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1350\Box\【02_課所共有】05_02_温暖化対策課\R06年度\中小担当\22_事業者支援\22_05_CO2排出削減設備導入補助\22_05_010_設備補助　例規\【前田作業中】EMS関係\0806様式\最終チェック\チェック後（PASS付）\"/>
    </mc:Choice>
  </mc:AlternateContent>
  <xr:revisionPtr revIDLastSave="0" documentId="13_ncr:1_{242BF438-E3B5-485D-8CD8-B5F4B0572E5D}" xr6:coauthVersionLast="36" xr6:coauthVersionMax="36" xr10:uidLastSave="{00000000-0000-0000-0000-000000000000}"/>
  <workbookProtection workbookAlgorithmName="SHA-512" workbookHashValue="AkJg89etQGGoc7AgliDCGtXWno263P3jqqXLOO2qYNZRv6PYnoqtJI4xL0220ycjcwtha9buDT5JjnnPhHwB3A==" workbookSaltValue="hwew8h8MHYx7ZC7qXepNBA==" workbookSpinCount="100000" lockStructure="1"/>
  <bookViews>
    <workbookView xWindow="0" yWindow="0" windowWidth="20490" windowHeight="7785" tabRatio="885" xr2:uid="{00000000-000D-0000-FFFF-FFFF00000000}"/>
  </bookViews>
  <sheets>
    <sheet name="変更後の事業費内訳" sheetId="42" r:id="rId1"/>
    <sheet name="ボイラ排出量算定（追加)" sheetId="39" state="hidden" r:id="rId2"/>
    <sheet name="Sheet1" sheetId="40" state="hidden" r:id="rId3"/>
  </sheets>
  <externalReferences>
    <externalReference r:id="rId4"/>
    <externalReference r:id="rId5"/>
  </externalReferences>
  <definedNames>
    <definedName name="cmp_mode">#REF!</definedName>
    <definedName name="COP補正">#REF!</definedName>
    <definedName name="haishutukeisuu" localSheetId="0" hidden="1">{"'第２表'!$W$27:$AA$68"}</definedName>
    <definedName name="haishutukeisuu" hidden="1">{"'第２表'!$W$27:$AA$68"}</definedName>
    <definedName name="HTML_CodePage" hidden="1">932</definedName>
    <definedName name="HTML_Control" localSheetId="0" hidden="1">{"'第２表'!$W$27:$AA$68"}</definedName>
    <definedName name="HTML_Control" hidden="1">{"'第２表'!$W$27:$AA$68"}</definedName>
    <definedName name="HTML_Description" hidden="1">""</definedName>
    <definedName name="HTML_Email" hidden="1">""</definedName>
    <definedName name="HTML_Header" hidden="1">"第１表印刷用"</definedName>
    <definedName name="HTML_LastUpdate" hidden="1">"平成 11/08/04 (水)"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"N:\速報作業中\MyHTMLg.htm"</definedName>
    <definedName name="HTML_PathTemplate" hidden="1">"N:\速報作業中\MyHTMLg.htm"</definedName>
    <definedName name="HTML_Title" hidden="1">"10FYｿｸﾎｰ"</definedName>
    <definedName name="inv補正COP" localSheetId="0">#REF!</definedName>
    <definedName name="inv補正COP">#REF!</definedName>
    <definedName name="lpu" localSheetId="0" hidden="1">{"'第２表'!$W$27:$AA$68"}</definedName>
    <definedName name="lpu" hidden="1">{"'第２表'!$W$27:$AA$68"}</definedName>
    <definedName name="pps推移" localSheetId="0" hidden="1">{"'第２表'!$W$27:$AA$68"}</definedName>
    <definedName name="pps推移" hidden="1">{"'第２表'!$W$27:$AA$68"}</definedName>
    <definedName name="_xlnm.Print_Area" localSheetId="1">'ボイラ排出量算定（追加)'!$A$1:$AI$64</definedName>
    <definedName name="_xlnm.Print_Area" localSheetId="0">変更後の事業費内訳!$A$1:$AH$87</definedName>
    <definedName name="rangeIE1" localSheetId="0">#REF!</definedName>
    <definedName name="rangeIE1">#REF!</definedName>
    <definedName name="サービス業">#REF!</definedName>
    <definedName name="医療・福祉">#REF!</definedName>
    <definedName name="運輸業・郵便業">#REF!</definedName>
    <definedName name="卸売業・小売業">#REF!</definedName>
    <definedName name="学術研究・専門・技術サービス業">#REF!</definedName>
    <definedName name="漁業">#REF!</definedName>
    <definedName name="教育・学習支援業">#REF!</definedName>
    <definedName name="金融業・保険業">#REF!</definedName>
    <definedName name="計測・制御">[1]年間CO2排出削減予測量!$BA$6:$BA$7</definedName>
    <definedName name="建設業">#REF!</definedName>
    <definedName name="鉱業・採石業・砂利採取業">#REF!</definedName>
    <definedName name="宿泊業・飲食サービス業">#REF!</definedName>
    <definedName name="情報通信業">#REF!</definedName>
    <definedName name="生活関連サービス業・娯楽業">#REF!</definedName>
    <definedName name="製造業">#REF!</definedName>
    <definedName name="大分類" localSheetId="0">[2]事業実施者!$A$62:$R$62</definedName>
    <definedName name="大分類">#REF!</definedName>
    <definedName name="暖房日数" localSheetId="0">#REF!</definedName>
    <definedName name="暖房日数">#REF!</definedName>
    <definedName name="電気・ガス・熱供給・水道業">#REF!</definedName>
    <definedName name="都市ガスメーター種" localSheetId="0">[1]年間CO2排出削減予測量!#REF!</definedName>
    <definedName name="都市ガスメーター種">[1]年間CO2排出削減予測量!#REF!</definedName>
    <definedName name="燃料">#REF!</definedName>
    <definedName name="燃料等の種類">[1]年間CO2排出削減予測量!$AU$7:$AU$16</definedName>
    <definedName name="農業_林業">#REF!</definedName>
    <definedName name="農業・林業">#REF!</definedName>
    <definedName name="不動産業・物品賃貸業">#REF!</definedName>
    <definedName name="負荷率取得">#REF!</definedName>
    <definedName name="複合サービス事業">#REF!</definedName>
    <definedName name="冷房日数">#REF!</definedName>
  </definedNames>
  <calcPr calcId="191029"/>
</workbook>
</file>

<file path=xl/calcChain.xml><?xml version="1.0" encoding="utf-8"?>
<calcChain xmlns="http://schemas.openxmlformats.org/spreadsheetml/2006/main">
  <c r="X62" i="42" l="1"/>
  <c r="S61" i="42"/>
  <c r="S62" i="42" s="1"/>
  <c r="X59" i="42"/>
  <c r="S58" i="42"/>
  <c r="AC58" i="42" s="1"/>
  <c r="S57" i="42"/>
  <c r="AC57" i="42" s="1"/>
  <c r="AC56" i="42"/>
  <c r="AC59" i="42" s="1"/>
  <c r="S56" i="42"/>
  <c r="S59" i="42" s="1"/>
  <c r="X43" i="42"/>
  <c r="AC42" i="42"/>
  <c r="S42" i="42"/>
  <c r="AC41" i="42"/>
  <c r="S41" i="42"/>
  <c r="S40" i="42"/>
  <c r="AC40" i="42" s="1"/>
  <c r="S39" i="42"/>
  <c r="AC39" i="42" s="1"/>
  <c r="AC38" i="42"/>
  <c r="AC43" i="42" s="1"/>
  <c r="S38" i="42"/>
  <c r="S43" i="42" s="1"/>
  <c r="X36" i="42"/>
  <c r="AC35" i="42"/>
  <c r="S35" i="42"/>
  <c r="S34" i="42"/>
  <c r="AC34" i="42" s="1"/>
  <c r="S33" i="42"/>
  <c r="AC33" i="42" s="1"/>
  <c r="AC32" i="42"/>
  <c r="S32" i="42"/>
  <c r="AC31" i="42"/>
  <c r="S31" i="42"/>
  <c r="S30" i="42"/>
  <c r="S36" i="42" s="1"/>
  <c r="X22" i="42"/>
  <c r="S21" i="42"/>
  <c r="AC21" i="42" s="1"/>
  <c r="S20" i="42"/>
  <c r="AC20" i="42" s="1"/>
  <c r="AC19" i="42"/>
  <c r="S19" i="42"/>
  <c r="AC18" i="42"/>
  <c r="S18" i="42"/>
  <c r="S17" i="42"/>
  <c r="AC17" i="42" s="1"/>
  <c r="S16" i="42"/>
  <c r="AC16" i="42" s="1"/>
  <c r="AC15" i="42"/>
  <c r="S15" i="42"/>
  <c r="S22" i="42" s="1"/>
  <c r="X13" i="42"/>
  <c r="AC12" i="42"/>
  <c r="S12" i="42"/>
  <c r="AC11" i="42"/>
  <c r="S11" i="42"/>
  <c r="S10" i="42"/>
  <c r="AC10" i="42" s="1"/>
  <c r="S9" i="42"/>
  <c r="AC9" i="42" s="1"/>
  <c r="AC8" i="42"/>
  <c r="S8" i="42"/>
  <c r="AC7" i="42"/>
  <c r="S7" i="42"/>
  <c r="S6" i="42"/>
  <c r="AC6" i="42" s="1"/>
  <c r="AC63" i="42" l="1"/>
  <c r="B69" i="42"/>
  <c r="AC22" i="42"/>
  <c r="AC13" i="42"/>
  <c r="AC30" i="42"/>
  <c r="AC36" i="42" s="1"/>
  <c r="AC61" i="42"/>
  <c r="AC62" i="42" s="1"/>
  <c r="S13" i="42"/>
  <c r="AC23" i="42" l="1"/>
  <c r="B80" i="42"/>
  <c r="P80" i="42" s="1"/>
  <c r="Z86" i="42" s="1"/>
  <c r="AC44" i="42"/>
  <c r="T69" i="42"/>
  <c r="AC64" i="42"/>
  <c r="AC65" i="42" s="1"/>
  <c r="B74" i="42"/>
  <c r="AC45" i="42" l="1"/>
  <c r="AC46" i="42"/>
  <c r="AC24" i="42"/>
  <c r="AC25" i="42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G133" i="40" s="1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s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J110" i="40" l="1"/>
  <c r="C89" i="40"/>
  <c r="I119" i="40"/>
  <c r="D88" i="40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F111" i="40"/>
  <c r="F115" i="40"/>
  <c r="F119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6" i="40"/>
  <c r="E114" i="40"/>
  <c r="E112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1" i="40"/>
  <c r="E115" i="40"/>
  <c r="E119" i="40"/>
  <c r="E137" i="40"/>
  <c r="E123" i="40"/>
  <c r="E127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13" i="40"/>
  <c r="E117" i="40"/>
  <c r="E135" i="40"/>
  <c r="E121" i="40"/>
  <c r="E125" i="40"/>
  <c r="E129" i="40"/>
  <c r="E133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36" i="40"/>
  <c r="E138" i="40"/>
  <c r="E122" i="40"/>
  <c r="E124" i="40"/>
  <c r="E126" i="40"/>
  <c r="E128" i="40"/>
  <c r="E130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J158" i="40" l="1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W49" i="40" s="1"/>
  <c r="R30" i="40"/>
  <c r="R29" i="40"/>
  <c r="W47" i="40" s="1"/>
  <c r="R28" i="40"/>
  <c r="R27" i="40"/>
  <c r="W45" i="40" s="1"/>
  <c r="R26" i="40"/>
  <c r="W44" i="40" s="1"/>
  <c r="Q37" i="40"/>
  <c r="V55" i="40" s="1"/>
  <c r="Z55" i="40" s="1"/>
  <c r="Q36" i="40"/>
  <c r="V36" i="40" s="1"/>
  <c r="Q35" i="40"/>
  <c r="V53" i="40" s="1"/>
  <c r="Z53" i="40" s="1"/>
  <c r="Q34" i="40"/>
  <c r="V34" i="40" s="1"/>
  <c r="Q33" i="40"/>
  <c r="V51" i="40" s="1"/>
  <c r="Z51" i="40" s="1"/>
  <c r="Q32" i="40"/>
  <c r="V32" i="40" s="1"/>
  <c r="Q31" i="40"/>
  <c r="V49" i="40" s="1"/>
  <c r="Z49" i="40" s="1"/>
  <c r="Q30" i="40"/>
  <c r="V30" i="40" s="1"/>
  <c r="Q29" i="40"/>
  <c r="V47" i="40" s="1"/>
  <c r="Z47" i="40" s="1"/>
  <c r="Q28" i="40"/>
  <c r="V28" i="40" s="1"/>
  <c r="Q27" i="40"/>
  <c r="V45" i="40" s="1"/>
  <c r="Z45" i="40" s="1"/>
  <c r="Q26" i="40"/>
  <c r="V26" i="40" s="1"/>
  <c r="P27" i="40"/>
  <c r="U27" i="40" s="1"/>
  <c r="P28" i="40"/>
  <c r="U28" i="40" s="1"/>
  <c r="P29" i="40"/>
  <c r="P30" i="40"/>
  <c r="U30" i="40" s="1"/>
  <c r="W30" i="40" s="1"/>
  <c r="P31" i="40"/>
  <c r="U31" i="40" s="1"/>
  <c r="P32" i="40"/>
  <c r="U32" i="40" s="1"/>
  <c r="W32" i="40" s="1"/>
  <c r="P33" i="40"/>
  <c r="U33" i="40" s="1"/>
  <c r="P34" i="40"/>
  <c r="P35" i="40"/>
  <c r="U35" i="40" s="1"/>
  <c r="P36" i="40"/>
  <c r="U36" i="40" s="1"/>
  <c r="P37" i="40"/>
  <c r="U37" i="40" s="1"/>
  <c r="P26" i="40"/>
  <c r="U26" i="40" s="1"/>
  <c r="U34" i="40" l="1"/>
  <c r="W34" i="40" s="1"/>
  <c r="W48" i="40"/>
  <c r="U29" i="40"/>
  <c r="U38" i="40" s="1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Y48" i="40" s="1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W35" i="40" s="1"/>
  <c r="V33" i="40"/>
  <c r="W33" i="40" s="1"/>
  <c r="V31" i="40"/>
  <c r="W31" i="40" s="1"/>
  <c r="V29" i="40"/>
  <c r="W29" i="40" s="1"/>
  <c r="V27" i="40"/>
  <c r="U55" i="40"/>
  <c r="Y55" i="40" s="1"/>
  <c r="AA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Y46" i="40" l="1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s="1"/>
  <c r="AR41" i="39" l="1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<sst xmlns="http://schemas.openxmlformats.org/spreadsheetml/2006/main" count="561" uniqueCount="255">
  <si>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</si>
  <si>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</si>
  <si>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</si>
  <si>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</si>
  <si>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</si>
  <si>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</si>
  <si>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</si>
  <si>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</si>
  <si>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</si>
  <si>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</si>
  <si>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</si>
  <si>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</si>
  <si>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</si>
  <si>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</si>
  <si>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</si>
  <si>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</si>
  <si>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</si>
  <si>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</si>
  <si>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</si>
  <si>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</si>
  <si>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</si>
  <si>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シート名</t>
    <rPh sb="3" eb="4">
      <t>メイ</t>
    </rPh>
    <phoneticPr fontId="17"/>
  </si>
  <si>
    <t>その他</t>
    <rPh sb="2" eb="3">
      <t>タ</t>
    </rPh>
    <phoneticPr fontId="17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</si>
  <si>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</si>
  <si>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</si>
  <si>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</si>
  <si>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</si>
  <si>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</si>
  <si>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</si>
  <si>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</si>
  <si>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</si>
  <si>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</si>
  <si>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</si>
  <si>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</si>
  <si>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</si>
  <si>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</si>
  <si>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</si>
  <si>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</si>
  <si>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</si>
  <si>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</si>
  <si>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</si>
  <si>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</si>
  <si>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</si>
  <si>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</si>
  <si>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</si>
  <si>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7"/>
  </si>
  <si>
    <t>貫流ボイラ</t>
    <rPh sb="0" eb="2">
      <t>カンリュウ</t>
    </rPh>
    <phoneticPr fontId="17"/>
  </si>
  <si>
    <t>2018年</t>
    <rPh sb="4" eb="5">
      <t>ネン</t>
    </rPh>
    <phoneticPr fontId="17"/>
  </si>
  <si>
    <t>強制循環ボイラ</t>
    <rPh sb="0" eb="2">
      <t>キョウセイ</t>
    </rPh>
    <rPh sb="2" eb="4">
      <t>ジュンカン</t>
    </rPh>
    <phoneticPr fontId="17"/>
  </si>
  <si>
    <t>2017年</t>
    <rPh sb="4" eb="5">
      <t>ネン</t>
    </rPh>
    <phoneticPr fontId="17"/>
  </si>
  <si>
    <t>自然循環ボイラ</t>
    <rPh sb="0" eb="2">
      <t>シゼン</t>
    </rPh>
    <rPh sb="2" eb="4">
      <t>ジュンカン</t>
    </rPh>
    <phoneticPr fontId="17"/>
  </si>
  <si>
    <t>2016年</t>
    <rPh sb="4" eb="5">
      <t>ネン</t>
    </rPh>
    <phoneticPr fontId="17"/>
  </si>
  <si>
    <t>煙管ボイラ</t>
    <rPh sb="0" eb="2">
      <t>エンカン</t>
    </rPh>
    <phoneticPr fontId="17"/>
  </si>
  <si>
    <t>名称・型式等</t>
    <rPh sb="0" eb="2">
      <t>メイショウ</t>
    </rPh>
    <rPh sb="3" eb="5">
      <t>カタシキ</t>
    </rPh>
    <rPh sb="5" eb="6">
      <t>トウ</t>
    </rPh>
    <phoneticPr fontId="17"/>
  </si>
  <si>
    <t>方式</t>
    <rPh sb="0" eb="2">
      <t>ホウシキ</t>
    </rPh>
    <phoneticPr fontId="17"/>
  </si>
  <si>
    <t>年式等</t>
    <rPh sb="0" eb="2">
      <t>ネンシキ</t>
    </rPh>
    <rPh sb="2" eb="3">
      <t>トウ</t>
    </rPh>
    <phoneticPr fontId="17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</si>
  <si>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</si>
  <si>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</si>
  <si>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7"/>
  </si>
  <si>
    <t>2015年</t>
    <rPh sb="4" eb="5">
      <t>ネン</t>
    </rPh>
    <phoneticPr fontId="17"/>
  </si>
  <si>
    <t>炉筒ボイラ</t>
    <rPh sb="0" eb="2">
      <t>ロトウ</t>
    </rPh>
    <phoneticPr fontId="17"/>
  </si>
  <si>
    <t>2014年</t>
    <rPh sb="4" eb="5">
      <t>ネン</t>
    </rPh>
    <phoneticPr fontId="17"/>
  </si>
  <si>
    <t>炉筒煙管ボイラ</t>
    <rPh sb="0" eb="2">
      <t>ロトウ</t>
    </rPh>
    <rPh sb="2" eb="4">
      <t>エンカン</t>
    </rPh>
    <phoneticPr fontId="17"/>
  </si>
  <si>
    <t>2013年</t>
    <rPh sb="4" eb="5">
      <t>ネン</t>
    </rPh>
    <phoneticPr fontId="17"/>
  </si>
  <si>
    <t>立てボイラ</t>
    <rPh sb="0" eb="1">
      <t>タ</t>
    </rPh>
    <phoneticPr fontId="17"/>
  </si>
  <si>
    <t>2012年</t>
    <rPh sb="4" eb="5">
      <t>ネン</t>
    </rPh>
    <phoneticPr fontId="17"/>
  </si>
  <si>
    <t>セクショナルボイラ</t>
    <phoneticPr fontId="17"/>
  </si>
  <si>
    <t>2011年</t>
    <rPh sb="4" eb="5">
      <t>ネン</t>
    </rPh>
    <phoneticPr fontId="17"/>
  </si>
  <si>
    <t>2010年</t>
    <rPh sb="4" eb="5">
      <t>ネン</t>
    </rPh>
    <phoneticPr fontId="17"/>
  </si>
  <si>
    <t>2009年</t>
    <rPh sb="4" eb="5">
      <t>ネン</t>
    </rPh>
    <phoneticPr fontId="17"/>
  </si>
  <si>
    <t>2008年</t>
    <rPh sb="4" eb="5">
      <t>ネン</t>
    </rPh>
    <phoneticPr fontId="17"/>
  </si>
  <si>
    <t>2007年</t>
    <rPh sb="4" eb="5">
      <t>ネン</t>
    </rPh>
    <phoneticPr fontId="17"/>
  </si>
  <si>
    <t>2006年</t>
    <rPh sb="4" eb="5">
      <t>ネン</t>
    </rPh>
    <phoneticPr fontId="17"/>
  </si>
  <si>
    <t>2005年</t>
    <rPh sb="4" eb="5">
      <t>ネン</t>
    </rPh>
    <phoneticPr fontId="17"/>
  </si>
  <si>
    <t>2004年</t>
    <rPh sb="4" eb="5">
      <t>ネン</t>
    </rPh>
    <phoneticPr fontId="17"/>
  </si>
  <si>
    <t>2003年</t>
    <rPh sb="4" eb="5">
      <t>ネン</t>
    </rPh>
    <phoneticPr fontId="17"/>
  </si>
  <si>
    <t>2002年</t>
    <rPh sb="4" eb="5">
      <t>ネン</t>
    </rPh>
    <phoneticPr fontId="17"/>
  </si>
  <si>
    <t>2001年</t>
    <rPh sb="4" eb="5">
      <t>ネン</t>
    </rPh>
    <phoneticPr fontId="17"/>
  </si>
  <si>
    <t>2000年</t>
    <rPh sb="4" eb="5">
      <t>ネン</t>
    </rPh>
    <phoneticPr fontId="17"/>
  </si>
  <si>
    <t>1999年</t>
    <rPh sb="4" eb="5">
      <t>ネン</t>
    </rPh>
    <phoneticPr fontId="17"/>
  </si>
  <si>
    <t>1998年</t>
    <rPh sb="4" eb="5">
      <t>ネン</t>
    </rPh>
    <phoneticPr fontId="17"/>
  </si>
  <si>
    <t>1997年</t>
    <rPh sb="4" eb="5">
      <t>ネン</t>
    </rPh>
    <phoneticPr fontId="17"/>
  </si>
  <si>
    <t>1996年</t>
    <rPh sb="4" eb="5">
      <t>ネン</t>
    </rPh>
    <phoneticPr fontId="17"/>
  </si>
  <si>
    <t>1995年</t>
    <rPh sb="4" eb="5">
      <t>ネン</t>
    </rPh>
    <phoneticPr fontId="17"/>
  </si>
  <si>
    <t>1994年</t>
    <rPh sb="4" eb="5">
      <t>ネン</t>
    </rPh>
    <phoneticPr fontId="17"/>
  </si>
  <si>
    <t>1993年</t>
    <rPh sb="4" eb="5">
      <t>ネン</t>
    </rPh>
    <phoneticPr fontId="17"/>
  </si>
  <si>
    <t>1992年</t>
    <rPh sb="4" eb="5">
      <t>ネン</t>
    </rPh>
    <phoneticPr fontId="17"/>
  </si>
  <si>
    <t>1991年</t>
    <rPh sb="4" eb="5">
      <t>ネン</t>
    </rPh>
    <phoneticPr fontId="17"/>
  </si>
  <si>
    <t>1990年</t>
    <rPh sb="4" eb="5">
      <t>ネン</t>
    </rPh>
    <phoneticPr fontId="17"/>
  </si>
  <si>
    <t>1989年</t>
    <rPh sb="4" eb="5">
      <t>ネン</t>
    </rPh>
    <phoneticPr fontId="17"/>
  </si>
  <si>
    <t>1988年</t>
    <rPh sb="4" eb="5">
      <t>ネン</t>
    </rPh>
    <phoneticPr fontId="17"/>
  </si>
  <si>
    <t>1987年</t>
    <rPh sb="4" eb="5">
      <t>ネン</t>
    </rPh>
    <phoneticPr fontId="17"/>
  </si>
  <si>
    <t>1986年</t>
    <rPh sb="4" eb="5">
      <t>ネン</t>
    </rPh>
    <phoneticPr fontId="17"/>
  </si>
  <si>
    <t>1985年</t>
    <rPh sb="4" eb="5">
      <t>ネン</t>
    </rPh>
    <phoneticPr fontId="17"/>
  </si>
  <si>
    <t>1984年</t>
    <rPh sb="4" eb="5">
      <t>ネン</t>
    </rPh>
    <phoneticPr fontId="17"/>
  </si>
  <si>
    <t>1983年</t>
    <rPh sb="4" eb="5">
      <t>ネン</t>
    </rPh>
    <phoneticPr fontId="17"/>
  </si>
  <si>
    <t>1982年</t>
    <rPh sb="4" eb="5">
      <t>ネン</t>
    </rPh>
    <phoneticPr fontId="17"/>
  </si>
  <si>
    <t>1981年</t>
    <rPh sb="4" eb="5">
      <t>ネン</t>
    </rPh>
    <phoneticPr fontId="17"/>
  </si>
  <si>
    <t>1980年</t>
    <rPh sb="4" eb="5">
      <t>ネン</t>
    </rPh>
    <phoneticPr fontId="17"/>
  </si>
  <si>
    <t>1979年</t>
    <rPh sb="4" eb="5">
      <t>ネン</t>
    </rPh>
    <phoneticPr fontId="17"/>
  </si>
  <si>
    <t>1978年</t>
    <rPh sb="4" eb="5">
      <t>ネン</t>
    </rPh>
    <phoneticPr fontId="17"/>
  </si>
  <si>
    <t>1977年</t>
    <rPh sb="4" eb="5">
      <t>ネン</t>
    </rPh>
    <phoneticPr fontId="17"/>
  </si>
  <si>
    <t>1976年</t>
    <rPh sb="4" eb="5">
      <t>ネン</t>
    </rPh>
    <phoneticPr fontId="17"/>
  </si>
  <si>
    <t>1975年</t>
    <rPh sb="4" eb="5">
      <t>ネン</t>
    </rPh>
    <phoneticPr fontId="17"/>
  </si>
  <si>
    <t>1974年</t>
    <rPh sb="4" eb="5">
      <t>ネン</t>
    </rPh>
    <phoneticPr fontId="17"/>
  </si>
  <si>
    <t>1973年</t>
    <rPh sb="4" eb="5">
      <t>ネン</t>
    </rPh>
    <phoneticPr fontId="17"/>
  </si>
  <si>
    <t>1970年</t>
    <rPh sb="4" eb="5">
      <t>ネン</t>
    </rPh>
    <phoneticPr fontId="17"/>
  </si>
  <si>
    <t>1969年</t>
    <rPh sb="4" eb="5">
      <t>ネン</t>
    </rPh>
    <phoneticPr fontId="17"/>
  </si>
  <si>
    <t>1968年</t>
    <rPh sb="4" eb="5">
      <t>ネン</t>
    </rPh>
    <phoneticPr fontId="17"/>
  </si>
  <si>
    <t>1967年</t>
    <rPh sb="4" eb="5">
      <t>ネン</t>
    </rPh>
    <phoneticPr fontId="17"/>
  </si>
  <si>
    <t>1966年</t>
    <rPh sb="4" eb="5">
      <t>ネン</t>
    </rPh>
    <phoneticPr fontId="17"/>
  </si>
  <si>
    <t>1965年</t>
    <rPh sb="4" eb="5">
      <t>ネン</t>
    </rPh>
    <phoneticPr fontId="17"/>
  </si>
  <si>
    <t>1964年</t>
    <rPh sb="4" eb="5">
      <t>ネン</t>
    </rPh>
    <phoneticPr fontId="17"/>
  </si>
  <si>
    <t>1963年</t>
    <rPh sb="4" eb="5">
      <t>ネン</t>
    </rPh>
    <phoneticPr fontId="17"/>
  </si>
  <si>
    <t>1962年</t>
    <rPh sb="4" eb="5">
      <t>ネン</t>
    </rPh>
    <phoneticPr fontId="17"/>
  </si>
  <si>
    <t>1961年</t>
    <rPh sb="4" eb="5">
      <t>ネン</t>
    </rPh>
    <phoneticPr fontId="17"/>
  </si>
  <si>
    <t>1960年</t>
    <rPh sb="4" eb="5">
      <t>ネン</t>
    </rPh>
    <phoneticPr fontId="17"/>
  </si>
  <si>
    <t>台数</t>
    <rPh sb="0" eb="2">
      <t>ダイスウ</t>
    </rPh>
    <phoneticPr fontId="17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</si>
  <si>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</si>
  <si>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7"/>
  </si>
  <si>
    <t>使用按分</t>
    <rPh sb="0" eb="2">
      <t>シヨウ</t>
    </rPh>
    <rPh sb="2" eb="4">
      <t>アンブン</t>
    </rPh>
    <phoneticPr fontId="17"/>
  </si>
  <si>
    <t>按分合計</t>
    <rPh sb="0" eb="2">
      <t>アンブン</t>
    </rPh>
    <rPh sb="2" eb="4">
      <t>ゴウケイ</t>
    </rPh>
    <phoneticPr fontId="17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</si>
  <si>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</si>
  <si>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7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</si>
  <si>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</si>
  <si>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</si>
  <si>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</si>
  <si>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7"/>
  </si>
  <si>
    <t>燃料消費量</t>
    <rPh sb="0" eb="2">
      <t>ネンリョウ</t>
    </rPh>
    <rPh sb="2" eb="5">
      <t>ショウヒリョウ</t>
    </rPh>
    <phoneticPr fontId="17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</si>
  <si>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7"/>
  </si>
  <si>
    <t>単位</t>
    <rPh sb="0" eb="2">
      <t>タンイ</t>
    </rPh>
    <phoneticPr fontId="17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</si>
  <si>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7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</si>
  <si>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7"/>
  </si>
  <si>
    <t>（２）エネルギー使用状況</t>
    <rPh sb="8" eb="10">
      <t>シヨウ</t>
    </rPh>
    <rPh sb="10" eb="12">
      <t>ジョウキョウ</t>
    </rPh>
    <phoneticPr fontId="17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</si>
  <si>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</si>
  <si>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</si>
  <si>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7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</si>
  <si>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7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</si>
  <si>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</si>
  <si>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19"/>
  </si>
  <si>
    <t>事務所</t>
    <rPh sb="0" eb="2">
      <t>ジム</t>
    </rPh>
    <rPh sb="2" eb="3">
      <t>ショ</t>
    </rPh>
    <phoneticPr fontId="19"/>
  </si>
  <si>
    <t>冷房</t>
    <rPh sb="0" eb="2">
      <t>レイボウ</t>
    </rPh>
    <phoneticPr fontId="4"/>
  </si>
  <si>
    <t>冷房</t>
    <rPh sb="0" eb="2">
      <t>レイボウ</t>
    </rPh>
    <phoneticPr fontId="19"/>
  </si>
  <si>
    <t>暖房</t>
    <rPh sb="0" eb="2">
      <t>ダンボウ</t>
    </rPh>
    <phoneticPr fontId="4"/>
  </si>
  <si>
    <t>暖房</t>
    <rPh sb="0" eb="2">
      <t>ダンボウ</t>
    </rPh>
    <phoneticPr fontId="19"/>
  </si>
  <si>
    <t>県北</t>
    <rPh sb="0" eb="2">
      <t>ケンホク</t>
    </rPh>
    <phoneticPr fontId="19"/>
  </si>
  <si>
    <t>県南</t>
    <rPh sb="0" eb="1">
      <t>ケン</t>
    </rPh>
    <rPh sb="1" eb="2">
      <t>ナン</t>
    </rPh>
    <phoneticPr fontId="19"/>
  </si>
  <si>
    <t>4月</t>
    <rPh sb="1" eb="2">
      <t>ガツ</t>
    </rPh>
    <phoneticPr fontId="19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</si>
  <si>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</si>
  <si>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</si>
  <si>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</si>
  <si>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</si>
  <si>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</si>
  <si>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</si>
  <si>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</si>
  <si>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</si>
  <si>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</si>
  <si>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</si>
  <si>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</si>
  <si>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19"/>
  </si>
  <si>
    <t>ＪＩＳＢ8616</t>
    <phoneticPr fontId="19"/>
  </si>
  <si>
    <t>稼働割合</t>
    <rPh sb="0" eb="2">
      <t>カドウ</t>
    </rPh>
    <rPh sb="2" eb="4">
      <t>ワリアイ</t>
    </rPh>
    <phoneticPr fontId="19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</si>
  <si>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7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</si>
  <si>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7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</si>
  <si>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7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</si>
  <si>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7"/>
  </si>
  <si>
    <t>年平均</t>
    <rPh sb="0" eb="3">
      <t>ネンヘイキン</t>
    </rPh>
    <phoneticPr fontId="17"/>
  </si>
  <si>
    <t>年平均</t>
    <rPh sb="0" eb="1">
      <t>ネン</t>
    </rPh>
    <rPh sb="1" eb="3">
      <t>ヘイキン</t>
    </rPh>
    <phoneticPr fontId="17"/>
  </si>
  <si>
    <t>最大値</t>
    <rPh sb="0" eb="2">
      <t>サイダイ</t>
    </rPh>
    <rPh sb="2" eb="3">
      <t>チ</t>
    </rPh>
    <phoneticPr fontId="17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</si>
  <si>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7"/>
  </si>
  <si>
    <t>平均</t>
    <rPh sb="0" eb="2">
      <t>ヘイキン</t>
    </rPh>
    <phoneticPr fontId="17"/>
  </si>
  <si>
    <t>引用値</t>
    <rPh sb="0" eb="2">
      <t>インヨウ</t>
    </rPh>
    <rPh sb="2" eb="3">
      <t>チ</t>
    </rPh>
    <phoneticPr fontId="17"/>
  </si>
  <si>
    <t>4月</t>
    <rPh sb="1" eb="2">
      <t>ガツ</t>
    </rPh>
    <phoneticPr fontId="17"/>
  </si>
  <si>
    <t>負荷×稼働率</t>
    <rPh sb="0" eb="2">
      <t>フカ</t>
    </rPh>
    <rPh sb="3" eb="5">
      <t>カドウ</t>
    </rPh>
    <rPh sb="5" eb="6">
      <t>リツ</t>
    </rPh>
    <phoneticPr fontId="17"/>
  </si>
  <si>
    <t>採用値１</t>
    <rPh sb="0" eb="2">
      <t>サイヨウ</t>
    </rPh>
    <rPh sb="2" eb="3">
      <t>チ</t>
    </rPh>
    <phoneticPr fontId="17"/>
  </si>
  <si>
    <t>採用値２</t>
    <rPh sb="0" eb="2">
      <t>サイヨウ</t>
    </rPh>
    <rPh sb="2" eb="3">
      <t>チ</t>
    </rPh>
    <phoneticPr fontId="17"/>
  </si>
  <si>
    <t>ＪＩＳＢ8616より</t>
    <phoneticPr fontId="17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</si>
  <si>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</si>
  <si>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</si>
  <si>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</si>
  <si>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</si>
  <si>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</si>
  <si>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19"/>
  </si>
  <si>
    <t>平均COP計数表ｂ</t>
    <rPh sb="0" eb="2">
      <t>ヘイキン</t>
    </rPh>
    <rPh sb="5" eb="7">
      <t>ケイスウ</t>
    </rPh>
    <rPh sb="7" eb="8">
      <t>ピョウ</t>
    </rPh>
    <phoneticPr fontId="19"/>
  </si>
  <si>
    <t>ＩＮＶ</t>
    <phoneticPr fontId="19"/>
  </si>
  <si>
    <t>一定速</t>
    <rPh sb="0" eb="2">
      <t>イッテイ</t>
    </rPh>
    <rPh sb="2" eb="3">
      <t>ソク</t>
    </rPh>
    <phoneticPr fontId="19"/>
  </si>
  <si>
    <t>店舗用</t>
    <rPh sb="0" eb="2">
      <t>テンポ</t>
    </rPh>
    <rPh sb="2" eb="3">
      <t>ヨウ</t>
    </rPh>
    <phoneticPr fontId="19"/>
  </si>
  <si>
    <t>設備用</t>
    <rPh sb="0" eb="2">
      <t>セツビ</t>
    </rPh>
    <rPh sb="2" eb="3">
      <t>ヨウ</t>
    </rPh>
    <phoneticPr fontId="19"/>
  </si>
  <si>
    <t>25%未満</t>
    <rPh sb="3" eb="5">
      <t>ミマン</t>
    </rPh>
    <phoneticPr fontId="19"/>
  </si>
  <si>
    <t>25%以上</t>
    <rPh sb="3" eb="5">
      <t>イジョウ</t>
    </rPh>
    <phoneticPr fontId="19"/>
  </si>
  <si>
    <t>a 冷房</t>
    <rPh sb="2" eb="4">
      <t>レイボウ</t>
    </rPh>
    <phoneticPr fontId="19"/>
  </si>
  <si>
    <t>a 暖房</t>
    <rPh sb="2" eb="3">
      <t>ダン</t>
    </rPh>
    <phoneticPr fontId="19"/>
  </si>
  <si>
    <t>b　冷房</t>
    <rPh sb="2" eb="4">
      <t>レイボウ</t>
    </rPh>
    <phoneticPr fontId="19"/>
  </si>
  <si>
    <t>ｂ　暖房</t>
    <rPh sb="2" eb="4">
      <t>ダンボウ</t>
    </rPh>
    <phoneticPr fontId="19"/>
  </si>
  <si>
    <t>y = a x + b</t>
    <phoneticPr fontId="17"/>
  </si>
  <si>
    <t>INV</t>
  </si>
  <si>
    <t>INV</t>
    <phoneticPr fontId="17"/>
  </si>
  <si>
    <t>一定速</t>
    <rPh sb="0" eb="2">
      <t>イッテイ</t>
    </rPh>
    <rPh sb="2" eb="3">
      <t>ソク</t>
    </rPh>
    <phoneticPr fontId="17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</si>
  <si>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7"/>
  </si>
  <si>
    <t>平均COP計数表b</t>
    <rPh sb="0" eb="2">
      <t>ヘイキン</t>
    </rPh>
    <rPh sb="5" eb="7">
      <t>ケイスウ</t>
    </rPh>
    <rPh sb="7" eb="8">
      <t>ピョウ</t>
    </rPh>
    <phoneticPr fontId="19"/>
  </si>
  <si>
    <t>COP補正</t>
    <rPh sb="3" eb="5">
      <t>ホセイ</t>
    </rPh>
    <phoneticPr fontId="17"/>
  </si>
  <si>
    <t>1995年以前</t>
    <rPh sb="4" eb="5">
      <t>ネン</t>
    </rPh>
    <rPh sb="5" eb="7">
      <t>イゼン</t>
    </rPh>
    <phoneticPr fontId="17"/>
  </si>
  <si>
    <t>取得値</t>
    <rPh sb="0" eb="2">
      <t>シュトク</t>
    </rPh>
    <rPh sb="2" eb="3">
      <t>トクネ</t>
    </rPh>
    <phoneticPr fontId="17"/>
  </si>
  <si>
    <t>冷房</t>
    <rPh sb="0" eb="2">
      <t>レイボウ</t>
    </rPh>
    <phoneticPr fontId="17"/>
  </si>
  <si>
    <t>暖房</t>
    <rPh sb="0" eb="2">
      <t>ダンボウ</t>
    </rPh>
    <phoneticPr fontId="17"/>
  </si>
  <si>
    <t>冷暖房平均</t>
    <rPh sb="0" eb="3">
      <t>レイダンボウ</t>
    </rPh>
    <rPh sb="3" eb="5">
      <t>ヘイキン</t>
    </rPh>
    <phoneticPr fontId="17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</si>
  <si>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</si>
  <si>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7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</si>
  <si>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</si>
  <si>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</si>
  <si>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</si>
  <si>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</si>
  <si>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</si>
  <si>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</si>
  <si>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</si>
  <si>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</si>
  <si>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</si>
  <si>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</si>
  <si>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</si>
  <si>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</si>
  <si>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</si>
  <si>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</si>
  <si>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</si>
  <si>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</si>
  <si>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</si>
  <si>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7"/>
  </si>
  <si>
    <t>※</t>
    <phoneticPr fontId="17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</si>
  <si>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</si>
  <si>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</si>
  <si>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小　計</t>
    <rPh sb="0" eb="1">
      <t>ショウ</t>
    </rPh>
    <rPh sb="2" eb="3">
      <t>ケイ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</si>
  <si>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</si>
  <si>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</si>
  <si>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変更後の事業費内訳</t>
    <rPh sb="0" eb="3">
      <t>ヘンコウゴ</t>
    </rPh>
    <rPh sb="4" eb="7">
      <t>ジギョウヒ</t>
    </rPh>
    <rPh sb="7" eb="9">
      <t>ウチワケ</t>
    </rPh>
    <phoneticPr fontId="4"/>
  </si>
  <si>
    <t>＜第５条第１項第１号から第５号までの設備＞</t>
    <phoneticPr fontId="4"/>
  </si>
  <si>
    <t>（１）補助対象経費</t>
    <rPh sb="3" eb="5">
      <t>ホジョ</t>
    </rPh>
    <rPh sb="5" eb="7">
      <t>タイショウ</t>
    </rPh>
    <rPh sb="7" eb="9">
      <t>ケイヒ</t>
    </rPh>
    <phoneticPr fontId="4"/>
  </si>
  <si>
    <t>（２）補助対象外経費</t>
    <rPh sb="3" eb="5">
      <t>ホジョ</t>
    </rPh>
    <rPh sb="5" eb="7">
      <t>タイショウ</t>
    </rPh>
    <rPh sb="7" eb="8">
      <t>ガイ</t>
    </rPh>
    <rPh sb="8" eb="10">
      <t>ケイヒ</t>
    </rPh>
    <phoneticPr fontId="4"/>
  </si>
  <si>
    <t>その他（申請手数料、太陽光発電の電力申請費）</t>
    <rPh sb="2" eb="3">
      <t>タ</t>
    </rPh>
    <rPh sb="4" eb="6">
      <t>シンセイ</t>
    </rPh>
    <rPh sb="6" eb="9">
      <t>テスウリョウ</t>
    </rPh>
    <rPh sb="10" eb="13">
      <t>タイヨウコウ</t>
    </rPh>
    <rPh sb="13" eb="15">
      <t>ハツデン</t>
    </rPh>
    <rPh sb="16" eb="18">
      <t>デンリョク</t>
    </rPh>
    <rPh sb="18" eb="20">
      <t>シンセイ</t>
    </rPh>
    <rPh sb="20" eb="21">
      <t>ヒ</t>
    </rPh>
    <phoneticPr fontId="4"/>
  </si>
  <si>
    <t>サポート費</t>
    <rPh sb="4" eb="5">
      <t>ヒ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</si>
  <si>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游ゴシック"/>
        <family val="3"/>
        <charset val="128"/>
      </rPr>
      <t>すべて対象経費から差し引く</t>
    </r>
    <r>
      <rPr>
        <u/>
        <sz val="10"/>
        <color theme="1"/>
        <rFont val="游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</si>
  <si>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</si>
  <si>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</si>
  <si>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t>〇見積書が２枚ある場合は、以下の欄に記入してください、</t>
    <rPh sb="1" eb="4">
      <t>ミツモリショ</t>
    </rPh>
    <rPh sb="6" eb="7">
      <t>マイ</t>
    </rPh>
    <rPh sb="9" eb="11">
      <t>バアイ</t>
    </rPh>
    <rPh sb="13" eb="15">
      <t>イカ</t>
    </rPh>
    <rPh sb="16" eb="17">
      <t>ラン</t>
    </rPh>
    <rPh sb="18" eb="20">
      <t>キニュウ</t>
    </rPh>
    <phoneticPr fontId="4"/>
  </si>
  <si>
    <t>＜サポート費（ＥＭＳのサポート事業者を利用する場合のみ記入）＞</t>
    <rPh sb="5" eb="6">
      <t>ヒ</t>
    </rPh>
    <phoneticPr fontId="4"/>
  </si>
  <si>
    <t>＜サポート費＞</t>
    <rPh sb="5" eb="6">
      <t>ヒ</t>
    </rPh>
    <phoneticPr fontId="4"/>
  </si>
  <si>
    <t>対象となる経費</t>
    <rPh sb="0" eb="2">
      <t>タイショウ</t>
    </rPh>
    <rPh sb="5" eb="7">
      <t>ケイヒ</t>
    </rPh>
    <phoneticPr fontId="4"/>
  </si>
  <si>
    <t>上限額①</t>
    <rPh sb="0" eb="3">
      <t>ジョウゲンガク</t>
    </rPh>
    <phoneticPr fontId="4"/>
  </si>
  <si>
    <t>上限額②</t>
    <rPh sb="0" eb="3">
      <t>ジョウゲンガク</t>
    </rPh>
    <phoneticPr fontId="4"/>
  </si>
  <si>
    <t>※機器費及び工事費の補助対象経費を</t>
    <phoneticPr fontId="4"/>
  </si>
  <si>
    <t>　合計した額の２分の１の額</t>
    <phoneticPr fontId="4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</si>
  <si>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</si>
  <si>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※上記の金額のうち、最も低い額</t>
    <rPh sb="1" eb="3">
      <t>ジョウキ</t>
    </rPh>
    <rPh sb="4" eb="6">
      <t>キンガク</t>
    </rPh>
    <rPh sb="10" eb="11">
      <t>モット</t>
    </rPh>
    <rPh sb="12" eb="13">
      <t>ヒク</t>
    </rPh>
    <rPh sb="14" eb="15">
      <t>ガク</t>
    </rPh>
    <phoneticPr fontId="4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</si>
  <si>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</si>
  <si>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上限額</t>
    <rPh sb="0" eb="3">
      <t>ジョウゲンガク</t>
    </rPh>
    <phoneticPr fontId="4"/>
  </si>
  <si>
    <t>いずれか低い額</t>
    <rPh sb="4" eb="5">
      <t>ヒク</t>
    </rPh>
    <rPh sb="6" eb="7">
      <t>ガク</t>
    </rPh>
    <phoneticPr fontId="4"/>
  </si>
  <si>
    <t>＜第５条第１項第６号の設備（サポート費除く）＞</t>
    <rPh sb="9" eb="10">
      <t>ゴウ</t>
    </rPh>
    <rPh sb="18" eb="19">
      <t>ヒ</t>
    </rPh>
    <rPh sb="19" eb="20">
      <t>ノゾ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</si>
</sst>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0.0000_ "/>
    <numFmt numFmtId="179" formatCode="#,##0.00_);[Red]\(#,##0.00\)"/>
    <numFmt numFmtId="180" formatCode="0.0"/>
    <numFmt numFmtId="181" formatCode="0.0%"/>
    <numFmt numFmtId="182" formatCode="0.000"/>
    <numFmt numFmtId="183" formatCode="0.0000"/>
    <numFmt numFmtId="184" formatCode="#,##0;&quot;△ &quot;#,##0"/>
  </numFmts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u/>
      <sz val="10"/>
      <color theme="1"/>
      <name val="游ゴシック"/>
      <family val="3"/>
      <charset val="128"/>
    </font>
    <font>
      <b/>
      <u/>
      <sz val="10"/>
      <color theme="1"/>
      <name val="游ゴシック"/>
      <family val="3"/>
      <charset val="128"/>
    </font>
    <font>
      <sz val="14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4"/>
      <color theme="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6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49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horizontal="left" vertical="center"/>
      <protection hidden="1"/>
    </xf>
    <xf numFmtId="0" fontId="10" fillId="0" borderId="5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10" fillId="0" borderId="2" xfId="0" applyFont="1" applyBorder="1" applyAlignment="1" applyProtection="1">
      <alignment horizontal="left" vertical="center"/>
      <protection hidden="1"/>
    </xf>
    <xf numFmtId="0" fontId="10" fillId="0" borderId="2" xfId="0" applyFont="1" applyBorder="1" applyAlignment="1" applyProtection="1">
      <alignment vertical="center"/>
      <protection hidden="1"/>
    </xf>
    <xf numFmtId="0" fontId="10" fillId="0" borderId="6" xfId="0" applyFont="1" applyBorder="1" applyAlignment="1" applyProtection="1">
      <alignment horizontal="left" vertical="center"/>
      <protection hidden="1"/>
    </xf>
    <xf numFmtId="0" fontId="10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11" fillId="0" borderId="0" xfId="0" applyFo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177" fontId="12" fillId="0" borderId="0" xfId="0" applyNumberFormat="1" applyFont="1" applyBorder="1" applyAlignment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0" xfId="0" applyAlignment="1">
      <alignment horizontal="right" vertical="center"/>
    </xf>
    <xf numFmtId="0" fontId="14" fillId="0" borderId="0" xfId="0" applyFont="1" applyProtection="1">
      <alignment vertical="center"/>
      <protection hidden="1"/>
    </xf>
    <xf numFmtId="0" fontId="10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14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178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21" xfId="0" applyBorder="1" applyAlignment="1" applyProtection="1">
      <alignment vertical="center"/>
      <protection hidden="1"/>
    </xf>
    <xf numFmtId="0" fontId="10" fillId="0" borderId="1" xfId="0" applyFont="1" applyBorder="1" applyAlignment="1" applyProtection="1">
      <alignment vertical="center"/>
      <protection hidden="1"/>
    </xf>
    <xf numFmtId="0" fontId="0" fillId="0" borderId="64" xfId="0" applyFill="1" applyBorder="1" applyAlignment="1" applyProtection="1">
      <alignment vertical="center"/>
      <protection hidden="1"/>
    </xf>
    <xf numFmtId="0" fontId="24" fillId="0" borderId="0" xfId="0" applyFont="1" applyBorder="1" applyAlignment="1" applyProtection="1">
      <alignment horizontal="right" vertical="center"/>
      <protection hidden="1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0" fontId="23" fillId="0" borderId="3" xfId="0" applyFont="1" applyBorder="1" applyAlignment="1" applyProtection="1">
      <alignment horizontal="right" vertical="center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10" fillId="0" borderId="8" xfId="0" applyFont="1" applyFill="1" applyBorder="1" applyAlignment="1" applyProtection="1">
      <alignment horizontal="left" vertical="center"/>
      <protection hidden="1"/>
    </xf>
    <xf numFmtId="0" fontId="10" fillId="0" borderId="1" xfId="0" applyFont="1" applyFill="1" applyBorder="1" applyAlignment="1" applyProtection="1">
      <alignment horizontal="left" vertical="center"/>
      <protection hidden="1"/>
    </xf>
    <xf numFmtId="0" fontId="10" fillId="0" borderId="9" xfId="0" applyFont="1" applyBorder="1" applyAlignment="1" applyProtection="1">
      <alignment horizontal="left" vertical="center"/>
      <protection hidden="1"/>
    </xf>
    <xf numFmtId="49" fontId="10" fillId="0" borderId="0" xfId="0" applyNumberFormat="1" applyFont="1" applyBorder="1" applyAlignment="1" applyProtection="1">
      <alignment horizontal="left" vertical="center"/>
      <protection hidden="1"/>
    </xf>
    <xf numFmtId="179" fontId="10" fillId="0" borderId="0" xfId="0" applyNumberFormat="1" applyFont="1" applyBorder="1" applyAlignment="1" applyProtection="1">
      <alignment horizontal="left" vertical="center"/>
      <protection hidden="1"/>
    </xf>
    <xf numFmtId="0" fontId="10" fillId="0" borderId="0" xfId="0" applyFont="1" applyFill="1" applyBorder="1" applyAlignment="1" applyProtection="1">
      <alignment horizontal="left"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0" borderId="7" xfId="0" applyBorder="1" applyProtection="1">
      <alignment vertical="center"/>
      <protection hidden="1"/>
    </xf>
    <xf numFmtId="0" fontId="10" fillId="0" borderId="0" xfId="0" applyFont="1" applyBorder="1" applyAlignment="1" applyProtection="1">
      <alignment horizontal="right" vertical="center"/>
      <protection hidden="1"/>
    </xf>
    <xf numFmtId="0" fontId="23" fillId="0" borderId="0" xfId="0" applyFont="1" applyBorder="1" applyAlignment="1" applyProtection="1">
      <alignment horizontal="left" vertical="center"/>
      <protection hidden="1"/>
    </xf>
    <xf numFmtId="179" fontId="10" fillId="0" borderId="0" xfId="0" applyNumberFormat="1" applyFont="1" applyBorder="1" applyAlignme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7" xfId="0" applyFill="1" applyBorder="1" applyAlignment="1" applyProtection="1">
      <alignment horizontal="center"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 applyProtection="1">
      <alignment horizontal="center" vertical="center"/>
    </xf>
    <xf numFmtId="181" fontId="0" fillId="9" borderId="7" xfId="0" applyNumberFormat="1" applyFill="1" applyBorder="1" applyProtection="1">
      <alignment vertical="center"/>
    </xf>
    <xf numFmtId="181" fontId="0" fillId="5" borderId="7" xfId="1" applyNumberFormat="1" applyFont="1" applyFill="1" applyBorder="1" applyProtection="1">
      <alignment vertical="center"/>
    </xf>
    <xf numFmtId="181" fontId="0" fillId="9" borderId="0" xfId="0" applyNumberFormat="1" applyFill="1" applyProtection="1">
      <alignment vertical="center"/>
    </xf>
    <xf numFmtId="181" fontId="0" fillId="5" borderId="0" xfId="1" applyNumberFormat="1" applyFont="1" applyFill="1" applyProtection="1">
      <alignment vertical="center"/>
    </xf>
    <xf numFmtId="181" fontId="0" fillId="10" borderId="0" xfId="0" applyNumberFormat="1" applyFill="1" applyProtection="1">
      <alignment vertical="center"/>
    </xf>
    <xf numFmtId="181" fontId="0" fillId="0" borderId="0" xfId="1" applyNumberFormat="1" applyFont="1">
      <alignment vertical="center"/>
    </xf>
    <xf numFmtId="181" fontId="0" fillId="5" borderId="0" xfId="1" applyNumberFormat="1" applyFont="1" applyFill="1">
      <alignment vertical="center"/>
    </xf>
    <xf numFmtId="181" fontId="0" fillId="9" borderId="0" xfId="1" applyNumberFormat="1" applyFont="1" applyFill="1">
      <alignment vertical="center"/>
    </xf>
    <xf numFmtId="181" fontId="0" fillId="10" borderId="0" xfId="1" applyNumberFormat="1" applyFont="1" applyFill="1">
      <alignment vertical="center"/>
    </xf>
    <xf numFmtId="181" fontId="0" fillId="0" borderId="0" xfId="0" applyNumberFormat="1">
      <alignment vertical="center"/>
    </xf>
    <xf numFmtId="181" fontId="0" fillId="0" borderId="7" xfId="1" applyNumberFormat="1" applyFont="1" applyBorder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181" fontId="0" fillId="0" borderId="0" xfId="0" applyNumberFormat="1" applyBorder="1" applyProtection="1">
      <alignment vertical="center"/>
      <protection hidden="1"/>
    </xf>
    <xf numFmtId="0" fontId="0" fillId="0" borderId="24" xfId="0" applyBorder="1" applyProtection="1">
      <alignment vertical="center"/>
    </xf>
    <xf numFmtId="0" fontId="0" fillId="0" borderId="19" xfId="0" applyBorder="1" applyProtection="1">
      <alignment vertical="center"/>
    </xf>
    <xf numFmtId="0" fontId="0" fillId="0" borderId="21" xfId="0" applyBorder="1" applyProtection="1">
      <alignment vertical="center"/>
    </xf>
    <xf numFmtId="0" fontId="0" fillId="0" borderId="28" xfId="0" applyBorder="1" applyProtection="1">
      <alignment vertical="center"/>
    </xf>
    <xf numFmtId="0" fontId="0" fillId="0" borderId="7" xfId="0" applyBorder="1" applyProtection="1">
      <alignment vertical="center"/>
    </xf>
    <xf numFmtId="2" fontId="0" fillId="0" borderId="7" xfId="0" applyNumberFormat="1" applyBorder="1" applyProtection="1">
      <alignment vertical="center"/>
    </xf>
    <xf numFmtId="182" fontId="0" fillId="0" borderId="7" xfId="0" applyNumberFormat="1" applyBorder="1" applyProtection="1">
      <alignment vertical="center"/>
    </xf>
    <xf numFmtId="180" fontId="0" fillId="0" borderId="7" xfId="0" applyNumberFormat="1" applyBorder="1" applyProtection="1">
      <alignment vertical="center"/>
    </xf>
    <xf numFmtId="183" fontId="0" fillId="0" borderId="7" xfId="0" applyNumberFormat="1" applyBorder="1" applyProtection="1">
      <alignment vertical="center"/>
    </xf>
    <xf numFmtId="9" fontId="0" fillId="0" borderId="64" xfId="0" applyNumberFormat="1" applyBorder="1" applyProtection="1">
      <alignment vertical="center"/>
    </xf>
    <xf numFmtId="9" fontId="0" fillId="0" borderId="0" xfId="0" applyNumberFormat="1" applyBorder="1" applyProtection="1">
      <alignment vertical="center"/>
    </xf>
    <xf numFmtId="0" fontId="0" fillId="0" borderId="0" xfId="0" applyAlignment="1" applyProtection="1">
      <alignment horizontal="right" vertical="center"/>
    </xf>
    <xf numFmtId="2" fontId="0" fillId="0" borderId="7" xfId="0" applyNumberFormat="1" applyBorder="1">
      <alignment vertical="center"/>
    </xf>
    <xf numFmtId="0" fontId="0" fillId="0" borderId="21" xfId="0" applyBorder="1">
      <alignment vertical="center"/>
    </xf>
    <xf numFmtId="0" fontId="0" fillId="0" borderId="29" xfId="0" applyBorder="1">
      <alignment vertical="center"/>
    </xf>
    <xf numFmtId="0" fontId="0" fillId="0" borderId="20" xfId="0" applyBorder="1">
      <alignment vertical="center"/>
    </xf>
    <xf numFmtId="182" fontId="0" fillId="0" borderId="7" xfId="0" applyNumberFormat="1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2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3" fillId="0" borderId="1" xfId="0" applyFont="1" applyBorder="1" applyAlignment="1" applyProtection="1">
      <alignment horizontal="right" vertical="center"/>
      <protection hidden="1"/>
    </xf>
    <xf numFmtId="0" fontId="10" fillId="0" borderId="1" xfId="2" applyNumberFormat="1" applyFont="1" applyBorder="1" applyAlignment="1" applyProtection="1">
      <alignment vertical="center"/>
      <protection hidden="1"/>
    </xf>
    <xf numFmtId="0" fontId="10" fillId="7" borderId="0" xfId="0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32" fillId="0" borderId="0" xfId="0" applyFont="1" applyProtection="1">
      <alignment vertical="center"/>
      <protection hidden="1"/>
    </xf>
    <xf numFmtId="0" fontId="27" fillId="0" borderId="0" xfId="0" applyFont="1" applyAlignment="1" applyProtection="1">
      <alignment horizontal="right" vertical="center"/>
      <protection hidden="1"/>
    </xf>
    <xf numFmtId="0" fontId="29" fillId="0" borderId="0" xfId="0" applyFont="1" applyProtection="1">
      <alignment vertical="center"/>
      <protection hidden="1"/>
    </xf>
    <xf numFmtId="0" fontId="27" fillId="0" borderId="0" xfId="0" applyFont="1" applyBorder="1" applyAlignment="1" applyProtection="1">
      <alignment vertical="center" shrinkToFit="1"/>
      <protection hidden="1"/>
    </xf>
    <xf numFmtId="0" fontId="27" fillId="0" borderId="0" xfId="0" applyFont="1">
      <alignment vertical="center"/>
    </xf>
    <xf numFmtId="176" fontId="28" fillId="0" borderId="0" xfId="0" applyNumberFormat="1" applyFont="1" applyBorder="1" applyAlignment="1" applyProtection="1">
      <alignment horizontal="center" vertical="center"/>
      <protection hidden="1"/>
    </xf>
    <xf numFmtId="12" fontId="28" fillId="0" borderId="0" xfId="0" applyNumberFormat="1" applyFont="1" applyBorder="1" applyAlignment="1" applyProtection="1">
      <alignment horizontal="center" vertical="center"/>
      <protection hidden="1"/>
    </xf>
    <xf numFmtId="176" fontId="29" fillId="0" borderId="0" xfId="0" applyNumberFormat="1" applyFont="1" applyBorder="1" applyAlignment="1" applyProtection="1">
      <alignment horizontal="left" vertical="center"/>
      <protection hidden="1"/>
    </xf>
    <xf numFmtId="0" fontId="29" fillId="0" borderId="0" xfId="0" applyFont="1" applyAlignment="1" applyProtection="1">
      <alignment horizontal="left" vertical="center" shrinkToFit="1"/>
      <protection hidden="1"/>
    </xf>
    <xf numFmtId="0" fontId="27" fillId="0" borderId="0" xfId="0" applyFont="1" applyBorder="1" applyProtection="1">
      <alignment vertical="center"/>
      <protection hidden="1"/>
    </xf>
    <xf numFmtId="0" fontId="29" fillId="0" borderId="0" xfId="0" applyFont="1" applyBorder="1" applyAlignment="1" applyProtection="1">
      <alignment wrapText="1"/>
      <protection hidden="1"/>
    </xf>
    <xf numFmtId="0" fontId="37" fillId="0" borderId="0" xfId="0" applyFont="1" applyProtection="1">
      <alignment vertical="center"/>
      <protection hidden="1"/>
    </xf>
    <xf numFmtId="0" fontId="38" fillId="0" borderId="0" xfId="0" applyFont="1" applyBorder="1" applyProtection="1">
      <alignment vertical="center"/>
      <protection hidden="1"/>
    </xf>
    <xf numFmtId="0" fontId="38" fillId="0" borderId="0" xfId="0" applyFont="1" applyProtection="1">
      <alignment vertical="center"/>
      <protection hidden="1"/>
    </xf>
    <xf numFmtId="0" fontId="39" fillId="0" borderId="0" xfId="0" applyFont="1" applyProtection="1">
      <alignment vertical="center"/>
      <protection hidden="1"/>
    </xf>
    <xf numFmtId="0" fontId="29" fillId="0" borderId="0" xfId="0" applyFont="1" applyBorder="1" applyAlignment="1" applyProtection="1">
      <alignment vertical="center"/>
      <protection hidden="1"/>
    </xf>
    <xf numFmtId="0" fontId="27" fillId="0" borderId="0" xfId="0" applyFont="1" applyAlignment="1" applyProtection="1">
      <alignment vertical="center"/>
      <protection hidden="1"/>
    </xf>
    <xf numFmtId="184" fontId="35" fillId="0" borderId="0" xfId="0" applyNumberFormat="1" applyFont="1" applyBorder="1" applyAlignment="1" applyProtection="1">
      <alignment vertical="center"/>
      <protection hidden="1"/>
    </xf>
    <xf numFmtId="184" fontId="28" fillId="0" borderId="0" xfId="0" applyNumberFormat="1" applyFont="1" applyBorder="1" applyAlignment="1" applyProtection="1">
      <alignment vertical="center"/>
      <protection hidden="1"/>
    </xf>
    <xf numFmtId="176" fontId="40" fillId="0" borderId="0" xfId="0" applyNumberFormat="1" applyFont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left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left" vertical="center" shrinkToFit="1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84" fontId="28" fillId="0" borderId="7" xfId="0" applyNumberFormat="1" applyFont="1" applyBorder="1" applyAlignment="1" applyProtection="1">
      <alignment horizontal="center" vertical="center"/>
      <protection hidden="1"/>
    </xf>
    <xf numFmtId="0" fontId="29" fillId="0" borderId="60" xfId="0" applyFont="1" applyBorder="1" applyAlignment="1" applyProtection="1">
      <alignment horizontal="center" vertical="center"/>
      <protection hidden="1"/>
    </xf>
    <xf numFmtId="0" fontId="29" fillId="0" borderId="43" xfId="0" applyFont="1" applyBorder="1" applyAlignment="1" applyProtection="1">
      <alignment horizontal="center" vertical="center"/>
      <protection hidden="1"/>
    </xf>
    <xf numFmtId="0" fontId="29" fillId="0" borderId="61" xfId="0" applyFont="1" applyBorder="1" applyAlignment="1" applyProtection="1">
      <alignment horizontal="center" vertical="center"/>
      <protection hidden="1"/>
    </xf>
    <xf numFmtId="184" fontId="28" fillId="0" borderId="77" xfId="0" applyNumberFormat="1" applyFont="1" applyBorder="1" applyAlignment="1" applyProtection="1">
      <alignment horizontal="center" vertical="center"/>
      <protection hidden="1"/>
    </xf>
    <xf numFmtId="184" fontId="28" fillId="0" borderId="1" xfId="0" applyNumberFormat="1" applyFont="1" applyBorder="1" applyAlignment="1" applyProtection="1">
      <alignment horizontal="center" vertical="center"/>
      <protection hidden="1"/>
    </xf>
    <xf numFmtId="184" fontId="28" fillId="0" borderId="78" xfId="0" applyNumberFormat="1" applyFont="1" applyBorder="1" applyAlignment="1" applyProtection="1">
      <alignment horizontal="center" vertical="center"/>
      <protection hidden="1"/>
    </xf>
    <xf numFmtId="184" fontId="28" fillId="0" borderId="30" xfId="0" applyNumberFormat="1" applyFont="1" applyBorder="1" applyAlignment="1" applyProtection="1">
      <alignment horizontal="center" vertical="center"/>
      <protection hidden="1"/>
    </xf>
    <xf numFmtId="184" fontId="28" fillId="0" borderId="10" xfId="0" applyNumberFormat="1" applyFont="1" applyBorder="1" applyAlignment="1" applyProtection="1">
      <alignment horizontal="center" vertical="center"/>
      <protection hidden="1"/>
    </xf>
    <xf numFmtId="184" fontId="28" fillId="0" borderId="33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12" fontId="28" fillId="0" borderId="7" xfId="0" applyNumberFormat="1" applyFont="1" applyBorder="1" applyAlignment="1" applyProtection="1">
      <alignment horizontal="center" vertical="center"/>
      <protection hidden="1"/>
    </xf>
    <xf numFmtId="0" fontId="27" fillId="0" borderId="0" xfId="0" applyFont="1" applyBorder="1" applyAlignment="1" applyProtection="1">
      <alignment horizontal="center" vertical="center"/>
      <protection hidden="1"/>
    </xf>
    <xf numFmtId="0" fontId="27" fillId="0" borderId="2" xfId="0" applyFont="1" applyBorder="1" applyAlignment="1" applyProtection="1">
      <alignment horizontal="center" vertical="center"/>
      <protection hidden="1"/>
    </xf>
    <xf numFmtId="184" fontId="35" fillId="0" borderId="7" xfId="0" applyNumberFormat="1" applyFont="1" applyBorder="1" applyAlignment="1" applyProtection="1">
      <alignment horizontal="center" vertical="center"/>
      <protection hidden="1"/>
    </xf>
    <xf numFmtId="184" fontId="35" fillId="0" borderId="21" xfId="0" applyNumberFormat="1" applyFont="1" applyBorder="1" applyAlignment="1" applyProtection="1">
      <alignment horizontal="center" vertical="center"/>
      <protection hidden="1"/>
    </xf>
    <xf numFmtId="0" fontId="31" fillId="0" borderId="5" xfId="0" applyFont="1" applyBorder="1" applyAlignment="1" applyProtection="1">
      <alignment horizontal="center" vertical="center" wrapText="1"/>
      <protection hidden="1"/>
    </xf>
    <xf numFmtId="0" fontId="31" fillId="0" borderId="0" xfId="0" applyFont="1" applyAlignment="1" applyProtection="1">
      <alignment horizontal="center" vertical="center" wrapText="1"/>
      <protection hidden="1"/>
    </xf>
    <xf numFmtId="0" fontId="31" fillId="0" borderId="0" xfId="0" applyFont="1" applyBorder="1" applyAlignment="1" applyProtection="1">
      <alignment horizontal="center" vertical="center" wrapText="1"/>
      <protection hidden="1"/>
    </xf>
    <xf numFmtId="0" fontId="29" fillId="0" borderId="7" xfId="0" applyFont="1" applyBorder="1" applyAlignment="1" applyProtection="1">
      <alignment horizontal="center" vertical="center" shrinkToFit="1"/>
      <protection hidden="1"/>
    </xf>
    <xf numFmtId="0" fontId="29" fillId="0" borderId="7" xfId="0" applyFont="1" applyBorder="1" applyAlignment="1" applyProtection="1">
      <alignment horizontal="center" vertical="center"/>
      <protection hidden="1"/>
    </xf>
    <xf numFmtId="0" fontId="27" fillId="0" borderId="51" xfId="0" applyFont="1" applyBorder="1" applyAlignment="1" applyProtection="1">
      <alignment horizontal="center" vertical="center"/>
      <protection hidden="1"/>
    </xf>
    <xf numFmtId="0" fontId="27" fillId="0" borderId="38" xfId="0" applyFont="1" applyBorder="1" applyAlignment="1" applyProtection="1">
      <alignment horizontal="center" vertical="center"/>
      <protection hidden="1"/>
    </xf>
    <xf numFmtId="176" fontId="29" fillId="3" borderId="37" xfId="0" applyNumberFormat="1" applyFont="1" applyFill="1" applyBorder="1" applyAlignment="1" applyProtection="1">
      <alignment horizontal="center" vertical="center"/>
      <protection hidden="1"/>
    </xf>
    <xf numFmtId="176" fontId="29" fillId="3" borderId="38" xfId="0" applyNumberFormat="1" applyFont="1" applyFill="1" applyBorder="1" applyAlignment="1" applyProtection="1">
      <alignment horizontal="center" vertical="center"/>
      <protection hidden="1"/>
    </xf>
    <xf numFmtId="176" fontId="29" fillId="3" borderId="39" xfId="0" applyNumberFormat="1" applyFont="1" applyFill="1" applyBorder="1" applyAlignment="1" applyProtection="1">
      <alignment horizontal="center" vertical="center"/>
      <protection hidden="1"/>
    </xf>
    <xf numFmtId="176" fontId="29" fillId="0" borderId="35" xfId="0" applyNumberFormat="1" applyFont="1" applyFill="1" applyBorder="1" applyAlignment="1" applyProtection="1">
      <alignment horizontal="right" vertical="center"/>
      <protection hidden="1"/>
    </xf>
    <xf numFmtId="176" fontId="29" fillId="0" borderId="36" xfId="0" applyNumberFormat="1" applyFont="1" applyFill="1" applyBorder="1" applyAlignment="1" applyProtection="1">
      <alignment horizontal="right" vertical="center"/>
      <protection hidden="1"/>
    </xf>
    <xf numFmtId="0" fontId="27" fillId="0" borderId="23" xfId="0" applyFont="1" applyBorder="1" applyAlignment="1" applyProtection="1">
      <alignment horizontal="center" vertical="center"/>
      <protection hidden="1"/>
    </xf>
    <xf numFmtId="0" fontId="27" fillId="0" borderId="3" xfId="0" applyFont="1" applyBorder="1" applyAlignment="1" applyProtection="1">
      <alignment horizontal="center" vertical="center"/>
      <protection hidden="1"/>
    </xf>
    <xf numFmtId="176" fontId="29" fillId="3" borderId="16" xfId="0" applyNumberFormat="1" applyFont="1" applyFill="1" applyBorder="1" applyAlignment="1" applyProtection="1">
      <alignment horizontal="center" vertical="center"/>
      <protection hidden="1"/>
    </xf>
    <xf numFmtId="176" fontId="29" fillId="3" borderId="43" xfId="0" applyNumberFormat="1" applyFont="1" applyFill="1" applyBorder="1" applyAlignment="1" applyProtection="1">
      <alignment horizontal="center" vertical="center"/>
      <protection hidden="1"/>
    </xf>
    <xf numFmtId="176" fontId="29" fillId="3" borderId="17" xfId="0" applyNumberFormat="1" applyFont="1" applyFill="1" applyBorder="1" applyAlignment="1" applyProtection="1">
      <alignment horizontal="center" vertical="center"/>
      <protection hidden="1"/>
    </xf>
    <xf numFmtId="176" fontId="29" fillId="0" borderId="18" xfId="0" applyNumberFormat="1" applyFont="1" applyFill="1" applyBorder="1" applyAlignment="1" applyProtection="1">
      <alignment horizontal="right" vertical="center"/>
      <protection hidden="1"/>
    </xf>
    <xf numFmtId="176" fontId="29" fillId="0" borderId="41" xfId="0" applyNumberFormat="1" applyFont="1" applyFill="1" applyBorder="1" applyAlignment="1" applyProtection="1">
      <alignment horizontal="right" vertical="center"/>
      <protection hidden="1"/>
    </xf>
    <xf numFmtId="0" fontId="27" fillId="0" borderId="22" xfId="0" applyFont="1" applyBorder="1" applyAlignment="1" applyProtection="1">
      <alignment horizontal="center" vertical="center"/>
      <protection hidden="1"/>
    </xf>
    <xf numFmtId="0" fontId="27" fillId="0" borderId="29" xfId="0" applyFont="1" applyBorder="1" applyAlignment="1" applyProtection="1">
      <alignment horizontal="center" vertical="center"/>
      <protection hidden="1"/>
    </xf>
    <xf numFmtId="176" fontId="29" fillId="3" borderId="14" xfId="0" applyNumberFormat="1" applyFont="1" applyFill="1" applyBorder="1" applyAlignment="1" applyProtection="1">
      <alignment horizontal="center" vertical="center"/>
      <protection hidden="1"/>
    </xf>
    <xf numFmtId="176" fontId="29" fillId="3" borderId="12" xfId="0" applyNumberFormat="1" applyFont="1" applyFill="1" applyBorder="1" applyAlignment="1" applyProtection="1">
      <alignment horizontal="center" vertical="center"/>
      <protection hidden="1"/>
    </xf>
    <xf numFmtId="176" fontId="29" fillId="3" borderId="13" xfId="0" applyNumberFormat="1" applyFont="1" applyFill="1" applyBorder="1" applyAlignment="1" applyProtection="1">
      <alignment horizontal="center" vertical="center"/>
      <protection hidden="1"/>
    </xf>
    <xf numFmtId="176" fontId="29" fillId="0" borderId="15" xfId="0" applyNumberFormat="1" applyFont="1" applyFill="1" applyBorder="1" applyAlignment="1" applyProtection="1">
      <alignment horizontal="right" vertical="center"/>
      <protection hidden="1"/>
    </xf>
    <xf numFmtId="176" fontId="29" fillId="0" borderId="42" xfId="0" applyNumberFormat="1" applyFont="1" applyFill="1" applyBorder="1" applyAlignment="1" applyProtection="1">
      <alignment horizontal="right" vertical="center"/>
      <protection hidden="1"/>
    </xf>
    <xf numFmtId="0" fontId="27" fillId="12" borderId="82" xfId="0" applyFont="1" applyFill="1" applyBorder="1" applyAlignment="1" applyProtection="1">
      <alignment horizontal="center" vertical="center"/>
      <protection hidden="1"/>
    </xf>
    <xf numFmtId="0" fontId="27" fillId="12" borderId="50" xfId="0" applyFont="1" applyFill="1" applyBorder="1" applyAlignment="1" applyProtection="1">
      <alignment horizontal="center" vertical="center"/>
      <protection hidden="1"/>
    </xf>
    <xf numFmtId="0" fontId="27" fillId="12" borderId="81" xfId="0" applyFont="1" applyFill="1" applyBorder="1" applyAlignment="1" applyProtection="1">
      <alignment horizontal="center" vertical="center"/>
      <protection hidden="1"/>
    </xf>
    <xf numFmtId="176" fontId="29" fillId="3" borderId="19" xfId="0" applyNumberFormat="1" applyFont="1" applyFill="1" applyBorder="1" applyAlignment="1" applyProtection="1">
      <alignment horizontal="center" vertical="center"/>
      <protection hidden="1"/>
    </xf>
    <xf numFmtId="176" fontId="29" fillId="3" borderId="32" xfId="0" applyNumberFormat="1" applyFont="1" applyFill="1" applyBorder="1" applyAlignment="1" applyProtection="1">
      <alignment horizontal="center" vertical="center"/>
      <protection hidden="1"/>
    </xf>
    <xf numFmtId="176" fontId="29" fillId="12" borderId="32" xfId="0" applyNumberFormat="1" applyFont="1" applyFill="1" applyBorder="1" applyAlignment="1" applyProtection="1">
      <alignment horizontal="right" vertical="center"/>
      <protection hidden="1"/>
    </xf>
    <xf numFmtId="176" fontId="29" fillId="12" borderId="80" xfId="0" applyNumberFormat="1" applyFont="1" applyFill="1" applyBorder="1" applyAlignment="1" applyProtection="1">
      <alignment horizontal="right" vertical="center"/>
      <protection hidden="1"/>
    </xf>
    <xf numFmtId="0" fontId="29" fillId="0" borderId="60" xfId="0" applyFont="1" applyBorder="1" applyAlignment="1" applyProtection="1">
      <alignment vertical="center"/>
      <protection hidden="1"/>
    </xf>
    <xf numFmtId="0" fontId="29" fillId="0" borderId="43" xfId="0" applyFont="1" applyBorder="1" applyAlignment="1" applyProtection="1">
      <alignment vertical="center"/>
      <protection hidden="1"/>
    </xf>
    <xf numFmtId="0" fontId="29" fillId="0" borderId="61" xfId="0" applyFont="1" applyBorder="1" applyAlignment="1" applyProtection="1">
      <alignment vertical="center"/>
      <protection hidden="1"/>
    </xf>
    <xf numFmtId="0" fontId="27" fillId="0" borderId="85" xfId="0" applyFont="1" applyBorder="1" applyAlignment="1" applyProtection="1">
      <alignment horizontal="center" vertical="center"/>
      <protection locked="0"/>
    </xf>
    <xf numFmtId="0" fontId="27" fillId="0" borderId="49" xfId="0" applyFont="1" applyBorder="1" applyAlignment="1" applyProtection="1">
      <alignment horizontal="center" vertical="center"/>
      <protection locked="0"/>
    </xf>
    <xf numFmtId="0" fontId="27" fillId="0" borderId="79" xfId="0" applyFont="1" applyBorder="1" applyAlignment="1" applyProtection="1">
      <alignment horizontal="center" vertical="center"/>
      <protection locked="0"/>
    </xf>
    <xf numFmtId="176" fontId="29" fillId="0" borderId="88" xfId="0" applyNumberFormat="1" applyFont="1" applyFill="1" applyBorder="1" applyAlignment="1" applyProtection="1">
      <alignment horizontal="right" vertical="center"/>
      <protection hidden="1"/>
    </xf>
    <xf numFmtId="176" fontId="29" fillId="0" borderId="89" xfId="0" applyNumberFormat="1" applyFont="1" applyFill="1" applyBorder="1" applyAlignment="1" applyProtection="1">
      <alignment horizontal="center" vertical="center"/>
      <protection hidden="1"/>
    </xf>
    <xf numFmtId="176" fontId="29" fillId="0" borderId="90" xfId="0" applyNumberFormat="1" applyFont="1" applyFill="1" applyBorder="1" applyAlignment="1" applyProtection="1">
      <alignment horizontal="center" vertical="center"/>
      <protection hidden="1"/>
    </xf>
    <xf numFmtId="176" fontId="29" fillId="0" borderId="26" xfId="0" applyNumberFormat="1" applyFont="1" applyFill="1" applyBorder="1" applyAlignment="1" applyProtection="1">
      <alignment horizontal="right" vertical="center"/>
      <protection locked="0"/>
    </xf>
    <xf numFmtId="176" fontId="29" fillId="0" borderId="26" xfId="0" applyNumberFormat="1" applyFont="1" applyFill="1" applyBorder="1" applyAlignment="1" applyProtection="1">
      <alignment horizontal="right" vertical="center"/>
      <protection hidden="1"/>
    </xf>
    <xf numFmtId="176" fontId="29" fillId="0" borderId="34" xfId="0" applyNumberFormat="1" applyFont="1" applyFill="1" applyBorder="1" applyAlignment="1" applyProtection="1">
      <alignment horizontal="right" vertical="center"/>
      <protection hidden="1"/>
    </xf>
    <xf numFmtId="0" fontId="27" fillId="12" borderId="30" xfId="0" applyFont="1" applyFill="1" applyBorder="1" applyAlignment="1" applyProtection="1">
      <alignment horizontal="center" vertical="center"/>
      <protection hidden="1"/>
    </xf>
    <xf numFmtId="0" fontId="27" fillId="12" borderId="10" xfId="0" applyFont="1" applyFill="1" applyBorder="1" applyAlignment="1" applyProtection="1">
      <alignment horizontal="center" vertical="center"/>
      <protection hidden="1"/>
    </xf>
    <xf numFmtId="0" fontId="27" fillId="12" borderId="47" xfId="0" applyFont="1" applyFill="1" applyBorder="1" applyAlignment="1" applyProtection="1">
      <alignment horizontal="center" vertical="center"/>
      <protection hidden="1"/>
    </xf>
    <xf numFmtId="176" fontId="29" fillId="12" borderId="31" xfId="0" applyNumberFormat="1" applyFont="1" applyFill="1" applyBorder="1" applyAlignment="1" applyProtection="1">
      <alignment horizontal="center" vertical="center"/>
      <protection hidden="1"/>
    </xf>
    <xf numFmtId="176" fontId="29" fillId="12" borderId="10" xfId="0" applyNumberFormat="1" applyFont="1" applyFill="1" applyBorder="1" applyAlignment="1" applyProtection="1">
      <alignment horizontal="center" vertical="center"/>
      <protection hidden="1"/>
    </xf>
    <xf numFmtId="176" fontId="29" fillId="12" borderId="47" xfId="0" applyNumberFormat="1" applyFont="1" applyFill="1" applyBorder="1" applyAlignment="1" applyProtection="1">
      <alignment horizontal="center" vertical="center"/>
      <protection hidden="1"/>
    </xf>
    <xf numFmtId="176" fontId="29" fillId="12" borderId="40" xfId="0" applyNumberFormat="1" applyFont="1" applyFill="1" applyBorder="1" applyAlignment="1" applyProtection="1">
      <alignment horizontal="right" vertical="center"/>
      <protection hidden="1"/>
    </xf>
    <xf numFmtId="176" fontId="29" fillId="12" borderId="59" xfId="0" applyNumberFormat="1" applyFont="1" applyFill="1" applyBorder="1" applyAlignment="1" applyProtection="1">
      <alignment horizontal="right" vertical="center"/>
      <protection hidden="1"/>
    </xf>
    <xf numFmtId="0" fontId="27" fillId="0" borderId="22" xfId="0" applyFont="1" applyBorder="1" applyAlignment="1" applyProtection="1">
      <alignment horizontal="center" vertical="center"/>
      <protection locked="0"/>
    </xf>
    <xf numFmtId="0" fontId="27" fillId="0" borderId="29" xfId="0" applyFont="1" applyBorder="1" applyAlignment="1" applyProtection="1">
      <alignment horizontal="center" vertical="center"/>
      <protection locked="0"/>
    </xf>
    <xf numFmtId="0" fontId="27" fillId="0" borderId="20" xfId="0" applyFont="1" applyBorder="1" applyAlignment="1" applyProtection="1">
      <alignment horizontal="center" vertical="center"/>
      <protection locked="0"/>
    </xf>
    <xf numFmtId="176" fontId="29" fillId="0" borderId="94" xfId="0" applyNumberFormat="1" applyFont="1" applyFill="1" applyBorder="1" applyAlignment="1" applyProtection="1">
      <alignment horizontal="right" vertical="center"/>
      <protection hidden="1"/>
    </xf>
    <xf numFmtId="176" fontId="29" fillId="0" borderId="92" xfId="0" applyNumberFormat="1" applyFont="1" applyFill="1" applyBorder="1" applyAlignment="1" applyProtection="1">
      <alignment horizontal="right" vertical="center"/>
      <protection hidden="1"/>
    </xf>
    <xf numFmtId="176" fontId="29" fillId="0" borderId="93" xfId="0" applyNumberFormat="1" applyFont="1" applyFill="1" applyBorder="1" applyAlignment="1" applyProtection="1">
      <alignment horizontal="right" vertical="center"/>
      <protection hidden="1"/>
    </xf>
    <xf numFmtId="176" fontId="29" fillId="0" borderId="91" xfId="0" applyNumberFormat="1" applyFont="1" applyFill="1" applyBorder="1" applyAlignment="1" applyProtection="1">
      <alignment horizontal="center" vertical="center"/>
      <protection hidden="1"/>
    </xf>
    <xf numFmtId="176" fontId="29" fillId="0" borderId="93" xfId="0" applyNumberFormat="1" applyFont="1" applyFill="1" applyBorder="1" applyAlignment="1" applyProtection="1">
      <alignment horizontal="center" vertical="center"/>
      <protection hidden="1"/>
    </xf>
    <xf numFmtId="176" fontId="29" fillId="0" borderId="91" xfId="0" applyNumberFormat="1" applyFont="1" applyFill="1" applyBorder="1" applyAlignment="1" applyProtection="1">
      <alignment horizontal="right" vertical="center"/>
      <protection hidden="1"/>
    </xf>
    <xf numFmtId="176" fontId="29" fillId="0" borderId="21" xfId="0" applyNumberFormat="1" applyFont="1" applyFill="1" applyBorder="1" applyAlignment="1" applyProtection="1">
      <alignment horizontal="right" vertical="center"/>
      <protection locked="0"/>
    </xf>
    <xf numFmtId="176" fontId="29" fillId="0" borderId="29" xfId="0" applyNumberFormat="1" applyFont="1" applyFill="1" applyBorder="1" applyAlignment="1" applyProtection="1">
      <alignment horizontal="right" vertical="center"/>
      <protection locked="0"/>
    </xf>
    <xf numFmtId="176" fontId="29" fillId="0" borderId="20" xfId="0" applyNumberFormat="1" applyFont="1" applyFill="1" applyBorder="1" applyAlignment="1" applyProtection="1">
      <alignment horizontal="right" vertical="center"/>
      <protection locked="0"/>
    </xf>
    <xf numFmtId="176" fontId="29" fillId="0" borderId="21" xfId="0" applyNumberFormat="1" applyFont="1" applyFill="1" applyBorder="1" applyAlignment="1" applyProtection="1">
      <alignment horizontal="right" vertical="center"/>
      <protection hidden="1"/>
    </xf>
    <xf numFmtId="176" fontId="29" fillId="0" borderId="29" xfId="0" applyNumberFormat="1" applyFont="1" applyFill="1" applyBorder="1" applyAlignment="1" applyProtection="1">
      <alignment horizontal="right" vertical="center"/>
      <protection hidden="1"/>
    </xf>
    <xf numFmtId="176" fontId="29" fillId="0" borderId="87" xfId="0" applyNumberFormat="1" applyFont="1" applyFill="1" applyBorder="1" applyAlignment="1" applyProtection="1">
      <alignment horizontal="right" vertical="center"/>
      <protection hidden="1"/>
    </xf>
    <xf numFmtId="0" fontId="29" fillId="0" borderId="23" xfId="0" applyFont="1" applyBorder="1" applyAlignment="1" applyProtection="1">
      <alignment vertical="center"/>
      <protection hidden="1"/>
    </xf>
    <xf numFmtId="0" fontId="29" fillId="0" borderId="3" xfId="0" applyFont="1" applyBorder="1" applyAlignment="1" applyProtection="1">
      <alignment vertical="center"/>
      <protection hidden="1"/>
    </xf>
    <xf numFmtId="0" fontId="29" fillId="0" borderId="86" xfId="0" applyFont="1" applyBorder="1" applyAlignment="1" applyProtection="1">
      <alignment vertical="center"/>
      <protection hidden="1"/>
    </xf>
    <xf numFmtId="0" fontId="27" fillId="0" borderId="23" xfId="0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4" xfId="0" applyFont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left" vertical="center" shrinkToFit="1"/>
      <protection hidden="1"/>
    </xf>
    <xf numFmtId="0" fontId="29" fillId="12" borderId="46" xfId="0" applyFont="1" applyFill="1" applyBorder="1" applyAlignment="1" applyProtection="1">
      <alignment horizontal="center" vertical="center"/>
      <protection hidden="1"/>
    </xf>
    <xf numFmtId="0" fontId="29" fillId="12" borderId="44" xfId="0" applyFont="1" applyFill="1" applyBorder="1" applyAlignment="1" applyProtection="1">
      <alignment horizontal="center" vertical="center"/>
      <protection hidden="1"/>
    </xf>
    <xf numFmtId="0" fontId="29" fillId="12" borderId="45" xfId="0" applyFont="1" applyFill="1" applyBorder="1" applyAlignment="1" applyProtection="1">
      <alignment horizontal="center" vertical="center"/>
      <protection hidden="1"/>
    </xf>
    <xf numFmtId="0" fontId="29" fillId="12" borderId="30" xfId="0" applyFont="1" applyFill="1" applyBorder="1" applyAlignment="1" applyProtection="1">
      <alignment horizontal="center" vertical="center"/>
      <protection hidden="1"/>
    </xf>
    <xf numFmtId="0" fontId="29" fillId="12" borderId="10" xfId="0" applyFont="1" applyFill="1" applyBorder="1" applyAlignment="1" applyProtection="1">
      <alignment horizontal="center" vertical="center"/>
      <protection hidden="1"/>
    </xf>
    <xf numFmtId="0" fontId="29" fillId="12" borderId="47" xfId="0" applyFont="1" applyFill="1" applyBorder="1" applyAlignment="1" applyProtection="1">
      <alignment horizontal="center" vertical="center"/>
      <protection hidden="1"/>
    </xf>
    <xf numFmtId="176" fontId="29" fillId="12" borderId="16" xfId="0" applyNumberFormat="1" applyFont="1" applyFill="1" applyBorder="1" applyAlignment="1" applyProtection="1">
      <alignment horizontal="center" vertical="center"/>
      <protection hidden="1"/>
    </xf>
    <xf numFmtId="176" fontId="29" fillId="12" borderId="43" xfId="0" applyNumberFormat="1" applyFont="1" applyFill="1" applyBorder="1" applyAlignment="1" applyProtection="1">
      <alignment horizontal="center" vertical="center"/>
      <protection hidden="1"/>
    </xf>
    <xf numFmtId="176" fontId="29" fillId="12" borderId="17" xfId="0" applyNumberFormat="1" applyFont="1" applyFill="1" applyBorder="1" applyAlignment="1" applyProtection="1">
      <alignment horizontal="center" vertical="center"/>
      <protection hidden="1"/>
    </xf>
    <xf numFmtId="176" fontId="30" fillId="12" borderId="84" xfId="0" applyNumberFormat="1" applyFont="1" applyFill="1" applyBorder="1" applyAlignment="1" applyProtection="1">
      <alignment horizontal="center" vertical="center" wrapText="1"/>
      <protection hidden="1"/>
    </xf>
    <xf numFmtId="176" fontId="29" fillId="12" borderId="44" xfId="0" applyNumberFormat="1" applyFont="1" applyFill="1" applyBorder="1" applyAlignment="1" applyProtection="1">
      <alignment horizontal="center" vertical="center"/>
      <protection hidden="1"/>
    </xf>
    <xf numFmtId="176" fontId="29" fillId="12" borderId="45" xfId="0" applyNumberFormat="1" applyFont="1" applyFill="1" applyBorder="1" applyAlignment="1" applyProtection="1">
      <alignment horizontal="center" vertical="center"/>
      <protection hidden="1"/>
    </xf>
    <xf numFmtId="176" fontId="29" fillId="12" borderId="84" xfId="0" applyNumberFormat="1" applyFont="1" applyFill="1" applyBorder="1" applyAlignment="1" applyProtection="1">
      <alignment horizontal="center" vertical="center"/>
      <protection hidden="1"/>
    </xf>
    <xf numFmtId="176" fontId="29" fillId="12" borderId="11" xfId="0" applyNumberFormat="1" applyFont="1" applyFill="1" applyBorder="1" applyAlignment="1" applyProtection="1">
      <alignment horizontal="center" vertical="center"/>
      <protection hidden="1"/>
    </xf>
    <xf numFmtId="176" fontId="29" fillId="12" borderId="33" xfId="0" applyNumberFormat="1" applyFont="1" applyFill="1" applyBorder="1" applyAlignment="1" applyProtection="1">
      <alignment horizontal="center" vertical="center"/>
      <protection hidden="1"/>
    </xf>
    <xf numFmtId="176" fontId="29" fillId="12" borderId="14" xfId="0" applyNumberFormat="1" applyFont="1" applyFill="1" applyBorder="1" applyAlignment="1" applyProtection="1">
      <alignment horizontal="center" vertical="center"/>
      <protection hidden="1"/>
    </xf>
    <xf numFmtId="176" fontId="29" fillId="12" borderId="12" xfId="0" applyNumberFormat="1" applyFont="1" applyFill="1" applyBorder="1" applyAlignment="1" applyProtection="1">
      <alignment horizontal="center" vertical="center"/>
      <protection hidden="1"/>
    </xf>
    <xf numFmtId="176" fontId="29" fillId="12" borderId="13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76" fontId="29" fillId="3" borderId="40" xfId="0" applyNumberFormat="1" applyFont="1" applyFill="1" applyBorder="1" applyAlignment="1" applyProtection="1">
      <alignment horizontal="center" vertical="center"/>
      <protection hidden="1"/>
    </xf>
    <xf numFmtId="176" fontId="29" fillId="0" borderId="48" xfId="0" applyNumberFormat="1" applyFont="1" applyFill="1" applyBorder="1" applyAlignment="1" applyProtection="1">
      <alignment horizontal="right" vertical="center"/>
      <protection locked="0"/>
    </xf>
    <xf numFmtId="176" fontId="29" fillId="0" borderId="49" xfId="0" applyNumberFormat="1" applyFont="1" applyFill="1" applyBorder="1" applyAlignment="1" applyProtection="1">
      <alignment horizontal="right" vertical="center"/>
      <protection locked="0"/>
    </xf>
    <xf numFmtId="176" fontId="29" fillId="0" borderId="79" xfId="0" applyNumberFormat="1" applyFont="1" applyFill="1" applyBorder="1" applyAlignment="1" applyProtection="1">
      <alignment horizontal="right" vertical="center"/>
      <protection locked="0"/>
    </xf>
    <xf numFmtId="176" fontId="29" fillId="0" borderId="48" xfId="0" applyNumberFormat="1" applyFont="1" applyFill="1" applyBorder="1" applyAlignment="1" applyProtection="1">
      <alignment horizontal="center" vertical="center"/>
      <protection locked="0"/>
    </xf>
    <xf numFmtId="176" fontId="29" fillId="0" borderId="79" xfId="0" applyNumberFormat="1" applyFont="1" applyFill="1" applyBorder="1" applyAlignment="1" applyProtection="1">
      <alignment horizontal="center" vertical="center"/>
      <protection locked="0"/>
    </xf>
    <xf numFmtId="0" fontId="27" fillId="0" borderId="22" xfId="0" applyFont="1" applyBorder="1" applyAlignment="1" applyProtection="1">
      <alignment horizontal="center"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7" fillId="0" borderId="20" xfId="0" applyFont="1" applyBorder="1" applyAlignment="1" applyProtection="1">
      <alignment horizontal="center" vertical="center" shrinkToFit="1"/>
      <protection locked="0"/>
    </xf>
    <xf numFmtId="176" fontId="29" fillId="0" borderId="28" xfId="0" applyNumberFormat="1" applyFont="1" applyFill="1" applyBorder="1" applyAlignment="1" applyProtection="1">
      <alignment horizontal="right" vertical="center"/>
      <protection locked="0"/>
    </xf>
    <xf numFmtId="176" fontId="29" fillId="0" borderId="21" xfId="0" applyNumberFormat="1" applyFont="1" applyFill="1" applyBorder="1" applyAlignment="1" applyProtection="1">
      <alignment horizontal="center" vertical="center"/>
      <protection locked="0"/>
    </xf>
    <xf numFmtId="176" fontId="29" fillId="0" borderId="20" xfId="0" applyNumberFormat="1" applyFont="1" applyFill="1" applyBorder="1" applyAlignment="1" applyProtection="1">
      <alignment horizontal="center" vertical="center"/>
      <protection locked="0"/>
    </xf>
    <xf numFmtId="176" fontId="29" fillId="0" borderId="7" xfId="0" applyNumberFormat="1" applyFont="1" applyFill="1" applyBorder="1" applyAlignment="1" applyProtection="1">
      <alignment horizontal="right" vertical="center"/>
      <protection hidden="1"/>
    </xf>
    <xf numFmtId="176" fontId="29" fillId="0" borderId="7" xfId="0" applyNumberFormat="1" applyFont="1" applyFill="1" applyBorder="1" applyAlignment="1" applyProtection="1">
      <alignment horizontal="right" vertical="center"/>
      <protection locked="0"/>
    </xf>
    <xf numFmtId="176" fontId="29" fillId="0" borderId="25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 wrapText="1" shrinkToFit="1"/>
      <protection locked="0"/>
    </xf>
    <xf numFmtId="0" fontId="30" fillId="0" borderId="29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176" fontId="29" fillId="0" borderId="28" xfId="0" applyNumberFormat="1" applyFont="1" applyFill="1" applyBorder="1" applyAlignment="1" applyProtection="1">
      <alignment horizontal="center" vertical="center"/>
      <protection locked="0"/>
    </xf>
    <xf numFmtId="176" fontId="29" fillId="0" borderId="19" xfId="0" applyNumberFormat="1" applyFont="1" applyFill="1" applyBorder="1" applyAlignment="1" applyProtection="1">
      <alignment horizontal="right" vertical="center"/>
      <protection hidden="1"/>
    </xf>
    <xf numFmtId="176" fontId="29" fillId="0" borderId="28" xfId="0" applyNumberFormat="1" applyFont="1" applyFill="1" applyBorder="1" applyAlignment="1" applyProtection="1">
      <alignment horizontal="right" vertical="center"/>
      <protection hidden="1"/>
    </xf>
    <xf numFmtId="176" fontId="29" fillId="0" borderId="83" xfId="0" applyNumberFormat="1" applyFont="1" applyFill="1" applyBorder="1" applyAlignment="1" applyProtection="1">
      <alignment horizontal="right" vertical="center"/>
      <protection hidden="1"/>
    </xf>
    <xf numFmtId="176" fontId="29" fillId="0" borderId="20" xfId="0" applyNumberFormat="1" applyFont="1" applyFill="1" applyBorder="1" applyAlignment="1" applyProtection="1">
      <alignment horizontal="right" vertical="center"/>
      <protection hidden="1"/>
    </xf>
    <xf numFmtId="176" fontId="29" fillId="0" borderId="6" xfId="0" applyNumberFormat="1" applyFont="1" applyFill="1" applyBorder="1" applyAlignment="1" applyProtection="1">
      <alignment horizontal="right" vertical="center"/>
      <protection hidden="1"/>
    </xf>
    <xf numFmtId="176" fontId="29" fillId="12" borderId="84" xfId="0" applyNumberFormat="1" applyFont="1" applyFill="1" applyBorder="1" applyAlignment="1" applyProtection="1">
      <alignment horizontal="center" vertical="center" wrapText="1"/>
      <protection hidden="1"/>
    </xf>
    <xf numFmtId="176" fontId="29" fillId="0" borderId="48" xfId="0" applyNumberFormat="1" applyFont="1" applyFill="1" applyBorder="1" applyAlignment="1" applyProtection="1">
      <alignment horizontal="right" vertical="center"/>
      <protection hidden="1"/>
    </xf>
    <xf numFmtId="176" fontId="29" fillId="0" borderId="49" xfId="0" applyNumberFormat="1" applyFont="1" applyFill="1" applyBorder="1" applyAlignment="1" applyProtection="1">
      <alignment horizontal="right" vertical="center"/>
      <protection hidden="1"/>
    </xf>
    <xf numFmtId="176" fontId="29" fillId="0" borderId="79" xfId="0" applyNumberFormat="1" applyFont="1" applyFill="1" applyBorder="1" applyAlignment="1" applyProtection="1">
      <alignment horizontal="right" vertical="center"/>
      <protection hidden="1"/>
    </xf>
    <xf numFmtId="0" fontId="30" fillId="0" borderId="22" xfId="0" applyFont="1" applyBorder="1" applyAlignment="1" applyProtection="1">
      <alignment horizontal="center" vertical="center" wrapText="1" shrinkToFit="1"/>
      <protection hidden="1"/>
    </xf>
    <xf numFmtId="0" fontId="30" fillId="0" borderId="29" xfId="0" applyFont="1" applyBorder="1" applyAlignment="1" applyProtection="1">
      <alignment horizontal="center" vertical="center" wrapText="1" shrinkToFit="1"/>
      <protection hidden="1"/>
    </xf>
    <xf numFmtId="0" fontId="30" fillId="0" borderId="20" xfId="0" applyFont="1" applyBorder="1" applyAlignment="1" applyProtection="1">
      <alignment horizontal="center" vertical="center" wrapText="1" shrinkToFit="1"/>
      <protection hidden="1"/>
    </xf>
    <xf numFmtId="0" fontId="27" fillId="0" borderId="20" xfId="0" applyFont="1" applyBorder="1" applyAlignment="1" applyProtection="1">
      <alignment horizontal="center" vertical="center"/>
      <protection hidden="1"/>
    </xf>
    <xf numFmtId="0" fontId="27" fillId="0" borderId="4" xfId="0" applyFont="1" applyBorder="1" applyAlignment="1" applyProtection="1">
      <alignment horizontal="center" vertical="center"/>
      <protection hidden="1"/>
    </xf>
    <xf numFmtId="176" fontId="29" fillId="0" borderId="3" xfId="0" applyNumberFormat="1" applyFont="1" applyFill="1" applyBorder="1" applyAlignment="1" applyProtection="1">
      <alignment horizontal="right" vertical="center"/>
      <protection hidden="1"/>
    </xf>
    <xf numFmtId="176" fontId="29" fillId="0" borderId="4" xfId="0" applyNumberFormat="1" applyFont="1" applyFill="1" applyBorder="1" applyAlignment="1" applyProtection="1">
      <alignment horizontal="right" vertical="center"/>
      <protection hidden="1"/>
    </xf>
    <xf numFmtId="176" fontId="29" fillId="12" borderId="15" xfId="0" applyNumberFormat="1" applyFont="1" applyFill="1" applyBorder="1" applyAlignment="1" applyProtection="1">
      <alignment horizontal="center" vertical="center"/>
      <protection hidden="1"/>
    </xf>
    <xf numFmtId="0" fontId="16" fillId="5" borderId="8" xfId="0" applyFont="1" applyFill="1" applyBorder="1" applyAlignment="1" applyProtection="1">
      <alignment horizontal="center" vertical="center"/>
      <protection hidden="1"/>
    </xf>
    <xf numFmtId="0" fontId="16" fillId="5" borderId="1" xfId="0" applyFont="1" applyFill="1" applyBorder="1" applyAlignment="1" applyProtection="1">
      <alignment horizontal="center" vertical="center"/>
      <protection hidden="1"/>
    </xf>
    <xf numFmtId="0" fontId="16" fillId="5" borderId="9" xfId="0" applyFont="1" applyFill="1" applyBorder="1" applyAlignment="1" applyProtection="1">
      <alignment horizontal="center" vertical="center"/>
      <protection hidden="1"/>
    </xf>
    <xf numFmtId="0" fontId="16" fillId="5" borderId="6" xfId="0" applyFont="1" applyFill="1" applyBorder="1" applyAlignment="1" applyProtection="1">
      <alignment horizontal="center" vertical="center"/>
      <protection hidden="1"/>
    </xf>
    <xf numFmtId="0" fontId="16" fillId="5" borderId="3" xfId="0" applyFont="1" applyFill="1" applyBorder="1" applyAlignment="1" applyProtection="1">
      <alignment horizontal="center" vertical="center"/>
      <protection hidden="1"/>
    </xf>
    <xf numFmtId="0" fontId="16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5" fillId="0" borderId="8" xfId="0" applyFont="1" applyBorder="1" applyAlignment="1" applyProtection="1">
      <alignment horizontal="center" vertical="center" textRotation="255" wrapText="1"/>
      <protection hidden="1"/>
    </xf>
    <xf numFmtId="0" fontId="15" fillId="0" borderId="9" xfId="0" applyFont="1" applyBorder="1" applyAlignment="1" applyProtection="1">
      <alignment horizontal="center" vertical="center" textRotation="255" wrapText="1"/>
      <protection hidden="1"/>
    </xf>
    <xf numFmtId="0" fontId="15" fillId="0" borderId="6" xfId="0" applyFont="1" applyBorder="1" applyAlignment="1" applyProtection="1">
      <alignment horizontal="center" vertical="center" textRotation="255" wrapText="1"/>
      <protection hidden="1"/>
    </xf>
    <xf numFmtId="0" fontId="15" fillId="0" borderId="4" xfId="0" applyFont="1" applyBorder="1" applyAlignment="1" applyProtection="1">
      <alignment horizontal="center" vertical="center" textRotation="255" wrapText="1"/>
      <protection hidden="1"/>
    </xf>
    <xf numFmtId="0" fontId="9" fillId="0" borderId="8" xfId="0" applyFont="1" applyBorder="1" applyAlignment="1" applyProtection="1">
      <alignment horizontal="center" vertical="center" shrinkToFit="1"/>
      <protection hidden="1"/>
    </xf>
    <xf numFmtId="0" fontId="9" fillId="0" borderId="1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9" fillId="0" borderId="4" xfId="0" applyFont="1" applyBorder="1" applyAlignment="1" applyProtection="1">
      <alignment horizontal="center" vertical="center" shrinkToFit="1"/>
      <protection hidden="1"/>
    </xf>
    <xf numFmtId="0" fontId="16" fillId="0" borderId="8" xfId="0" applyFont="1" applyFill="1" applyBorder="1" applyAlignment="1" applyProtection="1">
      <alignment horizontal="center" vertical="center"/>
      <protection hidden="1"/>
    </xf>
    <xf numFmtId="0" fontId="16" fillId="0" borderId="1" xfId="0" applyFont="1" applyFill="1" applyBorder="1" applyAlignment="1" applyProtection="1">
      <alignment horizontal="center" vertical="center"/>
      <protection hidden="1"/>
    </xf>
    <xf numFmtId="0" fontId="16" fillId="0" borderId="6" xfId="0" applyFont="1" applyFill="1" applyBorder="1" applyAlignment="1" applyProtection="1">
      <alignment horizontal="center" vertical="center"/>
      <protection hidden="1"/>
    </xf>
    <xf numFmtId="0" fontId="16" fillId="0" borderId="3" xfId="0" applyFont="1" applyFill="1" applyBorder="1" applyAlignment="1" applyProtection="1">
      <alignment horizontal="center" vertical="center"/>
      <protection hidden="1"/>
    </xf>
    <xf numFmtId="0" fontId="16" fillId="0" borderId="7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0" fillId="0" borderId="21" xfId="0" applyFont="1" applyBorder="1" applyAlignment="1" applyProtection="1">
      <alignment horizontal="center" vertical="center"/>
      <protection hidden="1"/>
    </xf>
    <xf numFmtId="0" fontId="10" fillId="0" borderId="29" xfId="0" applyFont="1" applyBorder="1" applyAlignment="1" applyProtection="1">
      <alignment horizontal="center" vertical="center"/>
      <protection hidden="1"/>
    </xf>
    <xf numFmtId="0" fontId="10" fillId="0" borderId="20" xfId="0" applyFont="1" applyBorder="1" applyAlignment="1" applyProtection="1">
      <alignment horizontal="center" vertical="center"/>
      <protection hidden="1"/>
    </xf>
    <xf numFmtId="0" fontId="6" fillId="2" borderId="0" xfId="3" applyFont="1" applyFill="1" applyBorder="1" applyAlignment="1" applyProtection="1">
      <alignment horizontal="center" vertical="center" shrinkToFit="1"/>
      <protection hidden="1"/>
    </xf>
    <xf numFmtId="0" fontId="10" fillId="0" borderId="62" xfId="0" applyFont="1" applyBorder="1" applyAlignment="1" applyProtection="1">
      <alignment horizontal="center" vertical="center"/>
      <protection hidden="1"/>
    </xf>
    <xf numFmtId="0" fontId="10" fillId="0" borderId="63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0" fontId="10" fillId="0" borderId="4" xfId="0" applyFont="1" applyBorder="1" applyAlignment="1" applyProtection="1">
      <alignment horizontal="center" vertical="center" wrapText="1"/>
      <protection hidden="1"/>
    </xf>
    <xf numFmtId="0" fontId="10" fillId="0" borderId="65" xfId="0" applyFont="1" applyBorder="1" applyAlignment="1" applyProtection="1">
      <alignment horizontal="center" vertical="center" wrapText="1"/>
      <protection hidden="1"/>
    </xf>
    <xf numFmtId="0" fontId="10" fillId="0" borderId="66" xfId="0" applyFont="1" applyBorder="1" applyAlignment="1" applyProtection="1">
      <alignment horizontal="center" vertical="center" wrapText="1"/>
      <protection hidden="1"/>
    </xf>
    <xf numFmtId="0" fontId="10" fillId="0" borderId="68" xfId="0" applyFont="1" applyBorder="1" applyAlignment="1" applyProtection="1">
      <alignment horizontal="center" vertical="center" wrapText="1"/>
      <protection hidden="1"/>
    </xf>
    <xf numFmtId="0" fontId="10" fillId="0" borderId="69" xfId="0" applyFont="1" applyBorder="1" applyAlignment="1" applyProtection="1">
      <alignment horizontal="center" vertical="center" wrapText="1"/>
      <protection hidden="1"/>
    </xf>
    <xf numFmtId="0" fontId="10" fillId="0" borderId="66" xfId="0" applyFont="1" applyBorder="1" applyAlignment="1" applyProtection="1">
      <alignment horizontal="center" vertical="center"/>
      <protection hidden="1"/>
    </xf>
    <xf numFmtId="0" fontId="10" fillId="0" borderId="67" xfId="0" applyFont="1" applyBorder="1" applyAlignment="1" applyProtection="1">
      <alignment horizontal="center" vertical="center"/>
      <protection hidden="1"/>
    </xf>
    <xf numFmtId="0" fontId="10" fillId="0" borderId="69" xfId="0" applyFont="1" applyBorder="1" applyAlignment="1" applyProtection="1">
      <alignment horizontal="center" vertical="center"/>
      <protection hidden="1"/>
    </xf>
    <xf numFmtId="0" fontId="10" fillId="0" borderId="70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0" fillId="0" borderId="8" xfId="0" applyFont="1" applyBorder="1" applyAlignment="1" applyProtection="1">
      <alignment horizontal="center" vertical="center" wrapText="1"/>
      <protection hidden="1"/>
    </xf>
    <xf numFmtId="0" fontId="10" fillId="0" borderId="6" xfId="0" applyFont="1" applyBorder="1" applyAlignment="1" applyProtection="1">
      <alignment horizontal="center" vertical="center" wrapText="1"/>
      <protection hidden="1"/>
    </xf>
    <xf numFmtId="0" fontId="10" fillId="0" borderId="74" xfId="0" applyFont="1" applyBorder="1" applyAlignment="1" applyProtection="1">
      <alignment horizontal="center" vertical="center"/>
      <protection hidden="1"/>
    </xf>
    <xf numFmtId="0" fontId="10" fillId="0" borderId="75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0" fontId="10" fillId="0" borderId="9" xfId="0" applyFont="1" applyBorder="1" applyAlignment="1" applyProtection="1">
      <alignment horizontal="center" vertical="center"/>
      <protection hidden="1"/>
    </xf>
    <xf numFmtId="0" fontId="10" fillId="0" borderId="6" xfId="0" applyFont="1" applyBorder="1" applyAlignment="1" applyProtection="1">
      <alignment horizontal="center" vertical="center"/>
      <protection hidden="1"/>
    </xf>
    <xf numFmtId="0" fontId="10" fillId="0" borderId="3" xfId="0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10" fillId="0" borderId="8" xfId="0" applyFont="1" applyBorder="1" applyAlignment="1" applyProtection="1">
      <alignment horizontal="center" vertical="center" wrapText="1" shrinkToFit="1"/>
      <protection hidden="1"/>
    </xf>
    <xf numFmtId="0" fontId="10" fillId="0" borderId="1" xfId="0" applyFont="1" applyBorder="1" applyAlignment="1" applyProtection="1">
      <alignment horizontal="center" vertical="center" wrapText="1" shrinkToFit="1"/>
      <protection hidden="1"/>
    </xf>
    <xf numFmtId="0" fontId="10" fillId="0" borderId="9" xfId="0" applyFont="1" applyBorder="1" applyAlignment="1" applyProtection="1">
      <alignment horizontal="center" vertical="center" wrapText="1" shrinkToFit="1"/>
      <protection hidden="1"/>
    </xf>
    <xf numFmtId="0" fontId="10" fillId="0" borderId="6" xfId="0" applyFont="1" applyBorder="1" applyAlignment="1" applyProtection="1">
      <alignment horizontal="center" vertical="center" wrapText="1" shrinkToFit="1"/>
      <protection hidden="1"/>
    </xf>
    <xf numFmtId="0" fontId="10" fillId="0" borderId="3" xfId="0" applyFont="1" applyBorder="1" applyAlignment="1" applyProtection="1">
      <alignment horizontal="center" vertical="center" wrapText="1" shrinkToFit="1"/>
      <protection hidden="1"/>
    </xf>
    <xf numFmtId="0" fontId="10" fillId="0" borderId="4" xfId="0" applyFont="1" applyBorder="1" applyAlignment="1" applyProtection="1">
      <alignment horizontal="center" vertical="center" wrapText="1" shrinkToFit="1"/>
      <protection hidden="1"/>
    </xf>
    <xf numFmtId="0" fontId="10" fillId="0" borderId="8" xfId="0" applyFont="1" applyFill="1" applyBorder="1" applyAlignment="1" applyProtection="1">
      <alignment horizontal="center" vertical="center" wrapText="1" shrinkToFit="1"/>
      <protection hidden="1"/>
    </xf>
    <xf numFmtId="0" fontId="10" fillId="0" borderId="9" xfId="0" applyFont="1" applyFill="1" applyBorder="1" applyAlignment="1" applyProtection="1">
      <alignment horizontal="center" vertical="center" wrapText="1" shrinkToFit="1"/>
      <protection hidden="1"/>
    </xf>
    <xf numFmtId="0" fontId="10" fillId="0" borderId="6" xfId="0" applyFont="1" applyFill="1" applyBorder="1" applyAlignment="1" applyProtection="1">
      <alignment horizontal="center" vertical="center" wrapText="1" shrinkToFit="1"/>
      <protection hidden="1"/>
    </xf>
    <xf numFmtId="0" fontId="10" fillId="0" borderId="4" xfId="0" applyFont="1" applyFill="1" applyBorder="1" applyAlignment="1" applyProtection="1">
      <alignment horizontal="center" vertical="center" wrapText="1" shrinkToFit="1"/>
      <protection hidden="1"/>
    </xf>
    <xf numFmtId="0" fontId="10" fillId="0" borderId="7" xfId="0" applyFont="1" applyBorder="1" applyAlignment="1" applyProtection="1">
      <alignment horizontal="center" vertical="center" shrinkToFit="1"/>
      <protection hidden="1"/>
    </xf>
    <xf numFmtId="9" fontId="10" fillId="0" borderId="21" xfId="0" applyNumberFormat="1" applyFont="1" applyBorder="1" applyAlignment="1" applyProtection="1">
      <alignment horizontal="center" vertical="center"/>
      <protection locked="0"/>
    </xf>
    <xf numFmtId="9" fontId="10" fillId="0" borderId="20" xfId="0" applyNumberFormat="1" applyFont="1" applyBorder="1" applyAlignment="1" applyProtection="1">
      <alignment horizontal="center" vertical="center"/>
      <protection locked="0"/>
    </xf>
    <xf numFmtId="38" fontId="10" fillId="0" borderId="7" xfId="2" applyFont="1" applyBorder="1" applyAlignment="1" applyProtection="1">
      <alignment horizontal="right" vertical="center"/>
      <protection hidden="1"/>
    </xf>
    <xf numFmtId="0" fontId="6" fillId="0" borderId="0" xfId="3" applyFont="1" applyFill="1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 shrinkToFit="1"/>
      <protection locked="0"/>
    </xf>
    <xf numFmtId="0" fontId="10" fillId="0" borderId="29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0" borderId="7" xfId="2" applyNumberFormat="1" applyFont="1" applyBorder="1" applyAlignment="1" applyProtection="1">
      <alignment horizontal="right" vertical="center"/>
      <protection locked="0"/>
    </xf>
    <xf numFmtId="0" fontId="10" fillId="0" borderId="21" xfId="2" applyNumberFormat="1" applyFont="1" applyBorder="1" applyAlignment="1" applyProtection="1">
      <alignment horizontal="right" vertical="center"/>
      <protection locked="0"/>
    </xf>
    <xf numFmtId="0" fontId="10" fillId="0" borderId="20" xfId="2" applyNumberFormat="1" applyFont="1" applyBorder="1" applyAlignment="1" applyProtection="1">
      <alignment horizontal="center" vertical="center" shrinkToFit="1"/>
      <protection hidden="1"/>
    </xf>
    <xf numFmtId="0" fontId="10" fillId="0" borderId="7" xfId="2" applyNumberFormat="1" applyFont="1" applyBorder="1" applyAlignment="1" applyProtection="1">
      <alignment horizontal="center" vertical="center" shrinkToFit="1"/>
      <protection hidden="1"/>
    </xf>
    <xf numFmtId="0" fontId="15" fillId="0" borderId="0" xfId="0" applyFont="1" applyBorder="1" applyAlignment="1" applyProtection="1">
      <alignment horizontal="left" vertical="center" wrapText="1"/>
      <protection hidden="1"/>
    </xf>
    <xf numFmtId="0" fontId="15" fillId="0" borderId="2" xfId="0" applyFont="1" applyBorder="1" applyAlignment="1" applyProtection="1">
      <alignment horizontal="left" vertical="center" wrapText="1"/>
      <protection hidden="1"/>
    </xf>
    <xf numFmtId="0" fontId="15" fillId="0" borderId="3" xfId="0" applyFont="1" applyBorder="1" applyAlignment="1" applyProtection="1">
      <alignment horizontal="left" vertical="center" wrapText="1"/>
      <protection hidden="1"/>
    </xf>
    <xf numFmtId="0" fontId="15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22" fillId="0" borderId="6" xfId="0" applyFont="1" applyBorder="1" applyAlignment="1" applyProtection="1">
      <alignment horizontal="center" vertical="center" shrinkToFit="1"/>
      <protection locked="0"/>
    </xf>
    <xf numFmtId="0" fontId="22" fillId="0" borderId="3" xfId="0" applyFont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horizontal="left" vertical="center" shrinkToFit="1"/>
      <protection locked="0"/>
    </xf>
    <xf numFmtId="0" fontId="10" fillId="0" borderId="29" xfId="0" applyFont="1" applyBorder="1" applyAlignment="1" applyProtection="1">
      <alignment horizontal="left" vertical="center" shrinkToFit="1"/>
      <protection locked="0"/>
    </xf>
    <xf numFmtId="0" fontId="10" fillId="0" borderId="20" xfId="0" applyFont="1" applyBorder="1" applyAlignment="1" applyProtection="1">
      <alignment horizontal="left" vertical="center" shrinkToFit="1"/>
      <protection locked="0"/>
    </xf>
    <xf numFmtId="0" fontId="10" fillId="0" borderId="21" xfId="0" applyFont="1" applyFill="1" applyBorder="1" applyAlignment="1" applyProtection="1">
      <alignment horizontal="left" vertical="center"/>
      <protection locked="0"/>
    </xf>
    <xf numFmtId="0" fontId="10" fillId="0" borderId="29" xfId="0" applyFont="1" applyFill="1" applyBorder="1" applyAlignment="1" applyProtection="1">
      <alignment horizontal="left" vertical="center"/>
      <protection locked="0"/>
    </xf>
    <xf numFmtId="0" fontId="10" fillId="0" borderId="20" xfId="0" applyFont="1" applyFill="1" applyBorder="1" applyAlignment="1" applyProtection="1">
      <alignment horizontal="left" vertical="center"/>
      <protection locked="0"/>
    </xf>
    <xf numFmtId="0" fontId="10" fillId="8" borderId="8" xfId="0" applyFont="1" applyFill="1" applyBorder="1" applyAlignment="1" applyProtection="1">
      <alignment horizontal="center" vertical="center"/>
      <protection hidden="1"/>
    </xf>
    <xf numFmtId="0" fontId="10" fillId="8" borderId="1" xfId="0" applyFont="1" applyFill="1" applyBorder="1" applyAlignment="1" applyProtection="1">
      <alignment horizontal="center" vertical="center"/>
      <protection hidden="1"/>
    </xf>
    <xf numFmtId="0" fontId="10" fillId="8" borderId="9" xfId="0" applyFont="1" applyFill="1" applyBorder="1" applyAlignment="1" applyProtection="1">
      <alignment horizontal="center" vertical="center"/>
      <protection hidden="1"/>
    </xf>
    <xf numFmtId="0" fontId="10" fillId="8" borderId="6" xfId="0" applyFont="1" applyFill="1" applyBorder="1" applyAlignment="1" applyProtection="1">
      <alignment horizontal="center" vertical="center"/>
      <protection hidden="1"/>
    </xf>
    <xf numFmtId="0" fontId="10" fillId="8" borderId="3" xfId="0" applyFont="1" applyFill="1" applyBorder="1" applyAlignment="1" applyProtection="1">
      <alignment horizontal="center" vertical="center"/>
      <protection hidden="1"/>
    </xf>
    <xf numFmtId="0" fontId="10" fillId="8" borderId="4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left" vertical="center" wrapText="1"/>
      <protection hidden="1"/>
    </xf>
    <xf numFmtId="0" fontId="15" fillId="0" borderId="1" xfId="0" applyFont="1" applyBorder="1" applyAlignment="1" applyProtection="1">
      <alignment horizontal="left" vertical="center" wrapText="1"/>
      <protection hidden="1"/>
    </xf>
    <xf numFmtId="0" fontId="15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38" fontId="10" fillId="0" borderId="21" xfId="2" applyFont="1" applyBorder="1" applyAlignment="1" applyProtection="1">
      <alignment horizontal="center" vertical="center"/>
      <protection hidden="1"/>
    </xf>
    <xf numFmtId="38" fontId="10" fillId="0" borderId="29" xfId="2" applyFont="1" applyBorder="1" applyAlignment="1" applyProtection="1">
      <alignment horizontal="center" vertical="center"/>
      <protection hidden="1"/>
    </xf>
    <xf numFmtId="38" fontId="10" fillId="0" borderId="20" xfId="2" applyFon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center" vertical="center"/>
      <protection hidden="1"/>
    </xf>
    <xf numFmtId="0" fontId="15" fillId="0" borderId="29" xfId="0" applyFont="1" applyBorder="1" applyAlignment="1" applyProtection="1">
      <alignment horizontal="center" vertical="center"/>
      <protection hidden="1"/>
    </xf>
    <xf numFmtId="0" fontId="15" fillId="0" borderId="20" xfId="0" applyFon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177" fontId="12" fillId="0" borderId="52" xfId="0" applyNumberFormat="1" applyFont="1" applyBorder="1" applyAlignment="1" applyProtection="1">
      <alignment horizontal="center" vertical="center"/>
      <protection hidden="1"/>
    </xf>
    <xf numFmtId="0" fontId="12" fillId="0" borderId="53" xfId="0" applyFont="1" applyBorder="1" applyAlignment="1" applyProtection="1">
      <alignment horizontal="center" vertical="center"/>
      <protection hidden="1"/>
    </xf>
    <xf numFmtId="0" fontId="12" fillId="0" borderId="54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 vertical="center"/>
      <protection hidden="1"/>
    </xf>
    <xf numFmtId="0" fontId="0" fillId="0" borderId="54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177" fontId="12" fillId="0" borderId="21" xfId="0" applyNumberFormat="1" applyFont="1" applyBorder="1" applyAlignment="1" applyProtection="1">
      <alignment horizontal="center" vertical="center"/>
      <protection hidden="1"/>
    </xf>
    <xf numFmtId="177" fontId="12" fillId="0" borderId="29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2" fillId="0" borderId="8" xfId="0" applyNumberFormat="1" applyFont="1" applyBorder="1" applyAlignment="1" applyProtection="1">
      <alignment horizontal="center" vertical="center"/>
      <protection hidden="1"/>
    </xf>
    <xf numFmtId="177" fontId="12" fillId="0" borderId="1" xfId="0" applyNumberFormat="1" applyFont="1" applyBorder="1" applyAlignment="1" applyProtection="1">
      <alignment horizontal="center" vertical="center"/>
      <protection hidden="1"/>
    </xf>
    <xf numFmtId="177" fontId="12" fillId="0" borderId="6" xfId="0" applyNumberFormat="1" applyFont="1" applyBorder="1" applyAlignment="1" applyProtection="1">
      <alignment horizontal="center" vertical="center"/>
      <protection hidden="1"/>
    </xf>
    <xf numFmtId="177" fontId="12" fillId="0" borderId="3" xfId="0" applyNumberFormat="1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76" xfId="0" applyBorder="1" applyAlignment="1" applyProtection="1">
      <alignment horizontal="center" vertical="center"/>
    </xf>
    <xf numFmtId="0" fontId="0" fillId="0" borderId="63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24">
    <dxf>
      <fill>
        <patternFill>
          <bgColor theme="9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rgb="FFFFFF99"/>
        </patternFill>
      </fill>
    </dxf>
    <dxf>
      <font>
        <b val="0"/>
        <i val="0"/>
      </font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78875</xdr:colOff>
      <xdr:row>84</xdr:row>
      <xdr:rowOff>0</xdr:rowOff>
    </xdr:from>
    <xdr:to>
      <xdr:col>58</xdr:col>
      <xdr:colOff>26957</xdr:colOff>
      <xdr:row>86</xdr:row>
      <xdr:rowOff>71887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79775" y="18669000"/>
          <a:ext cx="4348632" cy="567187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上段の表を作成すると、補助申請額が自動で計算されます。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また、交付申請書に自動で転記されます。</a:t>
          </a:r>
        </a:p>
      </xdr:txBody>
    </xdr:sp>
    <xdr:clientData/>
  </xdr:twoCellAnchor>
  <xdr:twoCellAnchor>
    <xdr:from>
      <xdr:col>35</xdr:col>
      <xdr:colOff>143773</xdr:colOff>
      <xdr:row>1</xdr:row>
      <xdr:rowOff>26957</xdr:rowOff>
    </xdr:from>
    <xdr:to>
      <xdr:col>51</xdr:col>
      <xdr:colOff>133529</xdr:colOff>
      <xdr:row>2</xdr:row>
      <xdr:rowOff>127778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144648" y="274607"/>
          <a:ext cx="3190156" cy="34847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高効率設備への更新、再エネ・蓄電池の導入等</a:t>
          </a:r>
        </a:p>
      </xdr:txBody>
    </xdr:sp>
    <xdr:clientData/>
  </xdr:twoCellAnchor>
  <xdr:twoCellAnchor>
    <xdr:from>
      <xdr:col>35</xdr:col>
      <xdr:colOff>180177</xdr:colOff>
      <xdr:row>25</xdr:row>
      <xdr:rowOff>53964</xdr:rowOff>
    </xdr:from>
    <xdr:to>
      <xdr:col>50</xdr:col>
      <xdr:colOff>89858</xdr:colOff>
      <xdr:row>27</xdr:row>
      <xdr:rowOff>155755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81052" y="5368914"/>
          <a:ext cx="2910056" cy="558991"/>
        </a:xfrm>
        <a:prstGeom prst="wedgeRoundRectCallout">
          <a:avLst>
            <a:gd name="adj1" fmla="val -57613"/>
            <a:gd name="adj2" fmla="val -1669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エネルギー管理システム（</a:t>
          </a:r>
          <a:r>
            <a:rPr kumimoji="1" lang="en-US" altLang="ja-JP" sz="1100">
              <a:solidFill>
                <a:sysClr val="windowText" lastClr="000000"/>
              </a:solidFill>
            </a:rPr>
            <a:t>EMS</a:t>
          </a:r>
          <a:r>
            <a:rPr kumimoji="1" lang="ja-JP" altLang="en-US" sz="1100">
              <a:solidFill>
                <a:sysClr val="windowText" lastClr="000000"/>
              </a:solidFill>
            </a:rPr>
            <a:t>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サポート費に係る経費は下の表に記載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</xdr:row>
          <xdr:rowOff>47625</xdr:rowOff>
        </xdr:from>
        <xdr:to>
          <xdr:col>23</xdr:col>
          <xdr:colOff>114300</xdr:colOff>
          <xdr:row>3</xdr:row>
          <xdr:rowOff>123825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1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1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350/Desktop/&#12473;&#12510;&#12540;&#12488;&#35036;&#21161;/R6&#12395;&#21521;&#12369;&#12390;/&#27096;&#24335;&#31532;1-2&#21495;&#65288;&#20107;&#26989;&#35336;&#30011;&#26360;_&#12473;&#12510;&#12540;&#12488;&#65289;R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orm1-2_shinseisho_r6tous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・重要事項確認書"/>
      <sheetName val="事業計画書"/>
      <sheetName val="事業内容"/>
      <sheetName val="資金計画"/>
      <sheetName val="費用対効果"/>
      <sheetName val="年間CO2排出削減予測量"/>
      <sheetName val="EMS機器構成"/>
      <sheetName val="計測・制御点一覧"/>
      <sheetName val="システム概要図"/>
      <sheetName val="換算シート（添付不要）"/>
    </sheetNames>
    <sheetDataSet>
      <sheetData sheetId="0"/>
      <sheetData sheetId="1"/>
      <sheetData sheetId="2"/>
      <sheetData sheetId="3"/>
      <sheetData sheetId="4">
        <row r="2">
          <cell r="W2">
            <v>0</v>
          </cell>
        </row>
      </sheetData>
      <sheetData sheetId="5">
        <row r="6">
          <cell r="BA6" t="str">
            <v>計測</v>
          </cell>
        </row>
        <row r="7">
          <cell r="AU7" t="str">
            <v>都市ガス（13A:45MJ）</v>
          </cell>
          <cell r="BA7" t="str">
            <v>計測・制御</v>
          </cell>
        </row>
        <row r="8">
          <cell r="AU8" t="str">
            <v>都市ガス（13A:46.04M）</v>
          </cell>
        </row>
        <row r="9">
          <cell r="AU9" t="str">
            <v>LPG</v>
          </cell>
        </row>
        <row r="10">
          <cell r="AU10" t="str">
            <v>Ａ重油</v>
          </cell>
        </row>
        <row r="11">
          <cell r="AU11" t="str">
            <v>Ｂ・Ｃ重油</v>
          </cell>
        </row>
        <row r="12">
          <cell r="AU12" t="str">
            <v>ガソリン</v>
          </cell>
        </row>
        <row r="13">
          <cell r="AU13" t="str">
            <v>灯油</v>
          </cell>
        </row>
        <row r="14">
          <cell r="AU14" t="str">
            <v>軽油</v>
          </cell>
        </row>
        <row r="15">
          <cell r="AU15" t="str">
            <v>石油コークス</v>
          </cell>
        </row>
        <row r="16">
          <cell r="AU16" t="str">
            <v>LNG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交付申請書"/>
      <sheetName val="重要事項確認書"/>
      <sheetName val="事業実施者"/>
      <sheetName val="事業内容"/>
      <sheetName val="事業費内訳"/>
      <sheetName val="ボイラ排出量算定（追加)"/>
      <sheetName val="Sheet1"/>
      <sheetName val="費用対効果計算"/>
      <sheetName val="省エネ計画書"/>
      <sheetName val="換算シート（2023年度）"/>
      <sheetName val="換算シート（2022年度）"/>
      <sheetName val="換算シート（2021年度）"/>
      <sheetName val="現況写真"/>
      <sheetName val="チェックリスト"/>
      <sheetName val="省エネ計画書 (記入例)"/>
    </sheetNames>
    <sheetDataSet>
      <sheetData sheetId="0" refreshError="1"/>
      <sheetData sheetId="1" refreshError="1"/>
      <sheetData sheetId="2">
        <row r="62">
          <cell r="A62" t="str">
            <v>農業・林業</v>
          </cell>
          <cell r="B62" t="str">
            <v>漁業</v>
          </cell>
          <cell r="C62" t="str">
            <v>鉱業・採石業・砂利採取業</v>
          </cell>
          <cell r="D62" t="str">
            <v>建設業</v>
          </cell>
          <cell r="E62" t="str">
            <v>製造業</v>
          </cell>
          <cell r="F62" t="str">
            <v>電気・ガス・熱供給・水道業</v>
          </cell>
          <cell r="G62" t="str">
            <v>情報通信業</v>
          </cell>
          <cell r="H62" t="str">
            <v>運輸業・郵便業</v>
          </cell>
          <cell r="I62" t="str">
            <v>卸売業・小売業</v>
          </cell>
          <cell r="J62" t="str">
            <v>金融業・保険業</v>
          </cell>
          <cell r="K62" t="str">
            <v>不動産業・物品賃貸業</v>
          </cell>
          <cell r="L62" t="str">
            <v>学術研究・専門・技術サービス業</v>
          </cell>
          <cell r="M62" t="str">
            <v>宿泊業・飲食サービス業</v>
          </cell>
          <cell r="N62" t="str">
            <v>生活関連サービス業・娯楽業</v>
          </cell>
          <cell r="O62" t="str">
            <v>教育・学習支援業</v>
          </cell>
          <cell r="P62" t="str">
            <v>医療・福祉</v>
          </cell>
          <cell r="Q62" t="str">
            <v>複合サービス事業</v>
          </cell>
          <cell r="R62" t="str">
            <v>サービス業</v>
          </cell>
        </row>
      </sheetData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6B113-1D2B-41B2-A80A-CD5C7EF2360E}">
  <dimension ref="A1:AH88"/>
  <sheetViews>
    <sheetView showZeros="0" tabSelected="1" view="pageBreakPreview" zoomScaleNormal="100" zoomScaleSheetLayoutView="100" workbookViewId="0">
      <selection activeCell="L15" sqref="L15:P15"/>
    </sheetView>
  </sheetViews>
  <sheetFormatPr defaultColWidth="9" defaultRowHeight="19.5" customHeight="1"/>
  <cols>
    <col min="1" max="34" width="2.625" style="110" customWidth="1"/>
    <col min="35" max="59" width="2.625" style="5" customWidth="1"/>
    <col min="60" max="16384" width="9" style="5"/>
  </cols>
  <sheetData>
    <row r="1" spans="1:34" ht="19.5" customHeight="1">
      <c r="A1" s="111" t="s">
        <v>232</v>
      </c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H1" s="112"/>
    </row>
    <row r="2" spans="1:34" ht="19.5" customHeight="1" thickBot="1">
      <c r="A2" s="122" t="s">
        <v>233</v>
      </c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H2" s="112" t="s">
        <v>208</v>
      </c>
    </row>
    <row r="3" spans="1:34" ht="16.5" customHeight="1">
      <c r="A3" s="226" t="s">
        <v>12</v>
      </c>
      <c r="B3" s="227"/>
      <c r="C3" s="227"/>
      <c r="D3" s="227"/>
      <c r="E3" s="227"/>
      <c r="F3" s="227"/>
      <c r="G3" s="227"/>
      <c r="H3" s="227"/>
      <c r="I3" s="227"/>
      <c r="J3" s="227"/>
      <c r="K3" s="228"/>
      <c r="L3" s="238" t="s">
        <v>209</v>
      </c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8" t="s">
        <v>210</v>
      </c>
      <c r="Y3" s="236"/>
      <c r="Z3" s="236"/>
      <c r="AA3" s="236"/>
      <c r="AB3" s="237"/>
      <c r="AC3" s="236" t="s">
        <v>18</v>
      </c>
      <c r="AD3" s="236"/>
      <c r="AE3" s="236"/>
      <c r="AF3" s="236"/>
      <c r="AG3" s="236"/>
      <c r="AH3" s="239"/>
    </row>
    <row r="4" spans="1:34" ht="16.5" customHeight="1" thickBot="1">
      <c r="A4" s="229"/>
      <c r="B4" s="230"/>
      <c r="C4" s="230"/>
      <c r="D4" s="230"/>
      <c r="E4" s="230"/>
      <c r="F4" s="230"/>
      <c r="G4" s="230"/>
      <c r="H4" s="230"/>
      <c r="I4" s="230"/>
      <c r="J4" s="230"/>
      <c r="K4" s="231"/>
      <c r="L4" s="280" t="s">
        <v>211</v>
      </c>
      <c r="M4" s="280"/>
      <c r="N4" s="280"/>
      <c r="O4" s="280"/>
      <c r="P4" s="280"/>
      <c r="Q4" s="280" t="s">
        <v>212</v>
      </c>
      <c r="R4" s="280"/>
      <c r="S4" s="280" t="s">
        <v>20</v>
      </c>
      <c r="T4" s="280"/>
      <c r="U4" s="280"/>
      <c r="V4" s="280"/>
      <c r="W4" s="241"/>
      <c r="X4" s="199"/>
      <c r="Y4" s="200"/>
      <c r="Z4" s="200"/>
      <c r="AA4" s="200"/>
      <c r="AB4" s="201"/>
      <c r="AC4" s="200"/>
      <c r="AD4" s="200"/>
      <c r="AE4" s="200"/>
      <c r="AF4" s="200"/>
      <c r="AG4" s="200"/>
      <c r="AH4" s="240"/>
    </row>
    <row r="5" spans="1:34" ht="16.5" customHeight="1">
      <c r="A5" s="219" t="s">
        <v>234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1"/>
    </row>
    <row r="6" spans="1:34" ht="16.5" customHeight="1">
      <c r="A6" s="222"/>
      <c r="B6" s="223"/>
      <c r="C6" s="223"/>
      <c r="D6" s="223"/>
      <c r="E6" s="223"/>
      <c r="F6" s="223"/>
      <c r="G6" s="223"/>
      <c r="H6" s="223"/>
      <c r="I6" s="223"/>
      <c r="J6" s="223"/>
      <c r="K6" s="224"/>
      <c r="L6" s="254"/>
      <c r="M6" s="254"/>
      <c r="N6" s="254"/>
      <c r="O6" s="254"/>
      <c r="P6" s="254"/>
      <c r="Q6" s="263"/>
      <c r="R6" s="263"/>
      <c r="S6" s="268">
        <f>ROUND(L6*Q6,0)</f>
        <v>0</v>
      </c>
      <c r="T6" s="278"/>
      <c r="U6" s="278"/>
      <c r="V6" s="278"/>
      <c r="W6" s="279"/>
      <c r="X6" s="254"/>
      <c r="Y6" s="254"/>
      <c r="Z6" s="254"/>
      <c r="AA6" s="254"/>
      <c r="AB6" s="254"/>
      <c r="AC6" s="264">
        <f>S6+X6</f>
        <v>0</v>
      </c>
      <c r="AD6" s="264"/>
      <c r="AE6" s="264"/>
      <c r="AF6" s="264"/>
      <c r="AG6" s="264"/>
      <c r="AH6" s="266"/>
    </row>
    <row r="7" spans="1:34" ht="16.5" customHeight="1">
      <c r="A7" s="204"/>
      <c r="B7" s="205"/>
      <c r="C7" s="205"/>
      <c r="D7" s="205"/>
      <c r="E7" s="205"/>
      <c r="F7" s="205"/>
      <c r="G7" s="205"/>
      <c r="H7" s="205"/>
      <c r="I7" s="205"/>
      <c r="J7" s="205"/>
      <c r="K7" s="206"/>
      <c r="L7" s="254"/>
      <c r="M7" s="254"/>
      <c r="N7" s="254"/>
      <c r="O7" s="254"/>
      <c r="P7" s="254"/>
      <c r="Q7" s="263"/>
      <c r="R7" s="263"/>
      <c r="S7" s="257">
        <f t="shared" ref="S7:S12" si="0">ROUND(L7*Q7,0)</f>
        <v>0</v>
      </c>
      <c r="T7" s="257"/>
      <c r="U7" s="257"/>
      <c r="V7" s="257"/>
      <c r="W7" s="257"/>
      <c r="X7" s="254"/>
      <c r="Y7" s="254"/>
      <c r="Z7" s="254"/>
      <c r="AA7" s="254"/>
      <c r="AB7" s="254"/>
      <c r="AC7" s="257">
        <f t="shared" ref="AC7:AC12" si="1">S7+X7</f>
        <v>0</v>
      </c>
      <c r="AD7" s="257"/>
      <c r="AE7" s="257"/>
      <c r="AF7" s="257"/>
      <c r="AG7" s="257"/>
      <c r="AH7" s="259"/>
    </row>
    <row r="8" spans="1:34" ht="16.5" customHeight="1">
      <c r="A8" s="204"/>
      <c r="B8" s="205"/>
      <c r="C8" s="205"/>
      <c r="D8" s="205"/>
      <c r="E8" s="205"/>
      <c r="F8" s="205"/>
      <c r="G8" s="205"/>
      <c r="H8" s="205"/>
      <c r="I8" s="205"/>
      <c r="J8" s="205"/>
      <c r="K8" s="206"/>
      <c r="L8" s="254"/>
      <c r="M8" s="254"/>
      <c r="N8" s="254"/>
      <c r="O8" s="254"/>
      <c r="P8" s="254"/>
      <c r="Q8" s="255"/>
      <c r="R8" s="256"/>
      <c r="S8" s="257">
        <f t="shared" si="0"/>
        <v>0</v>
      </c>
      <c r="T8" s="257"/>
      <c r="U8" s="257"/>
      <c r="V8" s="257"/>
      <c r="W8" s="257"/>
      <c r="X8" s="254"/>
      <c r="Y8" s="254"/>
      <c r="Z8" s="254"/>
      <c r="AA8" s="254"/>
      <c r="AB8" s="254"/>
      <c r="AC8" s="257">
        <f t="shared" si="1"/>
        <v>0</v>
      </c>
      <c r="AD8" s="257"/>
      <c r="AE8" s="257"/>
      <c r="AF8" s="257"/>
      <c r="AG8" s="257"/>
      <c r="AH8" s="259"/>
    </row>
    <row r="9" spans="1:34" ht="16.5" customHeight="1">
      <c r="A9" s="204"/>
      <c r="B9" s="205"/>
      <c r="C9" s="205"/>
      <c r="D9" s="205"/>
      <c r="E9" s="205"/>
      <c r="F9" s="205"/>
      <c r="G9" s="205"/>
      <c r="H9" s="205"/>
      <c r="I9" s="205"/>
      <c r="J9" s="205"/>
      <c r="K9" s="206"/>
      <c r="L9" s="254"/>
      <c r="M9" s="254"/>
      <c r="N9" s="254"/>
      <c r="O9" s="254"/>
      <c r="P9" s="254"/>
      <c r="Q9" s="255"/>
      <c r="R9" s="256"/>
      <c r="S9" s="257">
        <f t="shared" si="0"/>
        <v>0</v>
      </c>
      <c r="T9" s="257"/>
      <c r="U9" s="257"/>
      <c r="V9" s="257"/>
      <c r="W9" s="257"/>
      <c r="X9" s="254"/>
      <c r="Y9" s="254"/>
      <c r="Z9" s="254"/>
      <c r="AA9" s="254"/>
      <c r="AB9" s="254"/>
      <c r="AC9" s="257">
        <f t="shared" si="1"/>
        <v>0</v>
      </c>
      <c r="AD9" s="257"/>
      <c r="AE9" s="257"/>
      <c r="AF9" s="257"/>
      <c r="AG9" s="257"/>
      <c r="AH9" s="259"/>
    </row>
    <row r="10" spans="1:34" ht="16.5" customHeight="1">
      <c r="A10" s="204"/>
      <c r="B10" s="205"/>
      <c r="C10" s="205"/>
      <c r="D10" s="205"/>
      <c r="E10" s="205"/>
      <c r="F10" s="205"/>
      <c r="G10" s="205"/>
      <c r="H10" s="205"/>
      <c r="I10" s="205"/>
      <c r="J10" s="205"/>
      <c r="K10" s="206"/>
      <c r="L10" s="254"/>
      <c r="M10" s="254"/>
      <c r="N10" s="254"/>
      <c r="O10" s="254"/>
      <c r="P10" s="254"/>
      <c r="Q10" s="255"/>
      <c r="R10" s="256"/>
      <c r="S10" s="257">
        <f t="shared" si="0"/>
        <v>0</v>
      </c>
      <c r="T10" s="257"/>
      <c r="U10" s="257"/>
      <c r="V10" s="257"/>
      <c r="W10" s="257"/>
      <c r="X10" s="254"/>
      <c r="Y10" s="254"/>
      <c r="Z10" s="254"/>
      <c r="AA10" s="254"/>
      <c r="AB10" s="254"/>
      <c r="AC10" s="257">
        <f t="shared" si="1"/>
        <v>0</v>
      </c>
      <c r="AD10" s="257"/>
      <c r="AE10" s="257"/>
      <c r="AF10" s="257"/>
      <c r="AG10" s="257"/>
      <c r="AH10" s="259"/>
    </row>
    <row r="11" spans="1:34" ht="16.5" customHeight="1">
      <c r="A11" s="204"/>
      <c r="B11" s="205"/>
      <c r="C11" s="205"/>
      <c r="D11" s="205"/>
      <c r="E11" s="205"/>
      <c r="F11" s="205"/>
      <c r="G11" s="205"/>
      <c r="H11" s="205"/>
      <c r="I11" s="205"/>
      <c r="J11" s="205"/>
      <c r="K11" s="206"/>
      <c r="L11" s="254"/>
      <c r="M11" s="254"/>
      <c r="N11" s="254"/>
      <c r="O11" s="254"/>
      <c r="P11" s="254"/>
      <c r="Q11" s="255"/>
      <c r="R11" s="256"/>
      <c r="S11" s="257">
        <f t="shared" si="0"/>
        <v>0</v>
      </c>
      <c r="T11" s="257"/>
      <c r="U11" s="257"/>
      <c r="V11" s="257"/>
      <c r="W11" s="257"/>
      <c r="X11" s="254"/>
      <c r="Y11" s="254"/>
      <c r="Z11" s="254"/>
      <c r="AA11" s="254"/>
      <c r="AB11" s="254"/>
      <c r="AC11" s="257">
        <f t="shared" si="1"/>
        <v>0</v>
      </c>
      <c r="AD11" s="257"/>
      <c r="AE11" s="257"/>
      <c r="AF11" s="257"/>
      <c r="AG11" s="257"/>
      <c r="AH11" s="259"/>
    </row>
    <row r="12" spans="1:34" ht="16.5" customHeight="1" thickBot="1">
      <c r="A12" s="187"/>
      <c r="B12" s="188"/>
      <c r="C12" s="188"/>
      <c r="D12" s="188"/>
      <c r="E12" s="188"/>
      <c r="F12" s="188"/>
      <c r="G12" s="188"/>
      <c r="H12" s="188"/>
      <c r="I12" s="188"/>
      <c r="J12" s="188"/>
      <c r="K12" s="189"/>
      <c r="L12" s="193"/>
      <c r="M12" s="193"/>
      <c r="N12" s="193"/>
      <c r="O12" s="193"/>
      <c r="P12" s="193"/>
      <c r="Q12" s="249"/>
      <c r="R12" s="250"/>
      <c r="S12" s="194">
        <f t="shared" si="0"/>
        <v>0</v>
      </c>
      <c r="T12" s="194"/>
      <c r="U12" s="194"/>
      <c r="V12" s="194"/>
      <c r="W12" s="194"/>
      <c r="X12" s="193"/>
      <c r="Y12" s="193"/>
      <c r="Z12" s="193"/>
      <c r="AA12" s="193"/>
      <c r="AB12" s="193"/>
      <c r="AC12" s="194">
        <f t="shared" si="1"/>
        <v>0</v>
      </c>
      <c r="AD12" s="194"/>
      <c r="AE12" s="194"/>
      <c r="AF12" s="194"/>
      <c r="AG12" s="194"/>
      <c r="AH12" s="195"/>
    </row>
    <row r="13" spans="1:34" ht="16.5" customHeight="1" thickTop="1" thickBot="1">
      <c r="A13" s="196" t="s">
        <v>229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8"/>
      <c r="L13" s="199"/>
      <c r="M13" s="200"/>
      <c r="N13" s="200"/>
      <c r="O13" s="200"/>
      <c r="P13" s="201"/>
      <c r="Q13" s="199"/>
      <c r="R13" s="201"/>
      <c r="S13" s="202">
        <f>SUM(S6:W12)</f>
        <v>0</v>
      </c>
      <c r="T13" s="202"/>
      <c r="U13" s="202"/>
      <c r="V13" s="202"/>
      <c r="W13" s="202"/>
      <c r="X13" s="202">
        <f>SUM(X6:AB12)</f>
        <v>0</v>
      </c>
      <c r="Y13" s="202"/>
      <c r="Z13" s="202"/>
      <c r="AA13" s="202"/>
      <c r="AB13" s="202"/>
      <c r="AC13" s="202">
        <f>SUM(AC6:AH12)</f>
        <v>0</v>
      </c>
      <c r="AD13" s="202"/>
      <c r="AE13" s="202"/>
      <c r="AF13" s="202"/>
      <c r="AG13" s="202"/>
      <c r="AH13" s="203"/>
    </row>
    <row r="14" spans="1:34" ht="16.5" customHeight="1">
      <c r="A14" s="184" t="s">
        <v>235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5"/>
      <c r="AF14" s="185"/>
      <c r="AG14" s="185"/>
      <c r="AH14" s="186"/>
    </row>
    <row r="15" spans="1:34" ht="16.5" customHeight="1">
      <c r="A15" s="163" t="s">
        <v>213</v>
      </c>
      <c r="B15" s="164"/>
      <c r="C15" s="164"/>
      <c r="D15" s="164"/>
      <c r="E15" s="164"/>
      <c r="F15" s="164"/>
      <c r="G15" s="164"/>
      <c r="H15" s="164"/>
      <c r="I15" s="164"/>
      <c r="J15" s="164"/>
      <c r="K15" s="277"/>
      <c r="L15" s="254"/>
      <c r="M15" s="254"/>
      <c r="N15" s="254"/>
      <c r="O15" s="254"/>
      <c r="P15" s="254"/>
      <c r="Q15" s="263"/>
      <c r="R15" s="263"/>
      <c r="S15" s="265">
        <f>ROUND(L15*Q15,0)</f>
        <v>0</v>
      </c>
      <c r="T15" s="265"/>
      <c r="U15" s="265"/>
      <c r="V15" s="265"/>
      <c r="W15" s="265"/>
      <c r="X15" s="254"/>
      <c r="Y15" s="254"/>
      <c r="Z15" s="254"/>
      <c r="AA15" s="254"/>
      <c r="AB15" s="254"/>
      <c r="AC15" s="264">
        <f t="shared" ref="AC15:AC21" si="2">S15+X15</f>
        <v>0</v>
      </c>
      <c r="AD15" s="264"/>
      <c r="AE15" s="264"/>
      <c r="AF15" s="264"/>
      <c r="AG15" s="264"/>
      <c r="AH15" s="266"/>
    </row>
    <row r="16" spans="1:34" ht="16.5" customHeight="1">
      <c r="A16" s="170" t="s">
        <v>214</v>
      </c>
      <c r="B16" s="171"/>
      <c r="C16" s="171"/>
      <c r="D16" s="171"/>
      <c r="E16" s="171"/>
      <c r="F16" s="171"/>
      <c r="G16" s="171"/>
      <c r="H16" s="171"/>
      <c r="I16" s="171"/>
      <c r="J16" s="171"/>
      <c r="K16" s="276"/>
      <c r="L16" s="254"/>
      <c r="M16" s="254"/>
      <c r="N16" s="254"/>
      <c r="O16" s="254"/>
      <c r="P16" s="254"/>
      <c r="Q16" s="263"/>
      <c r="R16" s="263"/>
      <c r="S16" s="264">
        <f t="shared" ref="S16:S21" si="3">ROUND(L16*Q16,0)</f>
        <v>0</v>
      </c>
      <c r="T16" s="264"/>
      <c r="U16" s="264"/>
      <c r="V16" s="264"/>
      <c r="W16" s="264"/>
      <c r="X16" s="258"/>
      <c r="Y16" s="258"/>
      <c r="Z16" s="258"/>
      <c r="AA16" s="258"/>
      <c r="AB16" s="258"/>
      <c r="AC16" s="257">
        <f t="shared" si="2"/>
        <v>0</v>
      </c>
      <c r="AD16" s="257"/>
      <c r="AE16" s="257"/>
      <c r="AF16" s="257"/>
      <c r="AG16" s="257"/>
      <c r="AH16" s="259"/>
    </row>
    <row r="17" spans="1:34" ht="16.5" customHeight="1">
      <c r="A17" s="273" t="s">
        <v>231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5"/>
      <c r="L17" s="254"/>
      <c r="M17" s="254"/>
      <c r="N17" s="254"/>
      <c r="O17" s="254"/>
      <c r="P17" s="254"/>
      <c r="Q17" s="255"/>
      <c r="R17" s="256"/>
      <c r="S17" s="257">
        <f t="shared" si="3"/>
        <v>0</v>
      </c>
      <c r="T17" s="257"/>
      <c r="U17" s="257"/>
      <c r="V17" s="257"/>
      <c r="W17" s="257"/>
      <c r="X17" s="258"/>
      <c r="Y17" s="258"/>
      <c r="Z17" s="258"/>
      <c r="AA17" s="258"/>
      <c r="AB17" s="258"/>
      <c r="AC17" s="257">
        <f t="shared" si="2"/>
        <v>0</v>
      </c>
      <c r="AD17" s="257"/>
      <c r="AE17" s="257"/>
      <c r="AF17" s="257"/>
      <c r="AG17" s="257"/>
      <c r="AH17" s="259"/>
    </row>
    <row r="18" spans="1:34" ht="16.5" customHeight="1">
      <c r="A18" s="251" t="s">
        <v>236</v>
      </c>
      <c r="B18" s="252"/>
      <c r="C18" s="252"/>
      <c r="D18" s="252"/>
      <c r="E18" s="252"/>
      <c r="F18" s="252"/>
      <c r="G18" s="252"/>
      <c r="H18" s="252"/>
      <c r="I18" s="252"/>
      <c r="J18" s="252"/>
      <c r="K18" s="253"/>
      <c r="L18" s="254"/>
      <c r="M18" s="254"/>
      <c r="N18" s="254"/>
      <c r="O18" s="254"/>
      <c r="P18" s="254"/>
      <c r="Q18" s="255"/>
      <c r="R18" s="256"/>
      <c r="S18" s="257">
        <f t="shared" si="3"/>
        <v>0</v>
      </c>
      <c r="T18" s="257"/>
      <c r="U18" s="257"/>
      <c r="V18" s="257"/>
      <c r="W18" s="257"/>
      <c r="X18" s="258"/>
      <c r="Y18" s="258"/>
      <c r="Z18" s="258"/>
      <c r="AA18" s="258"/>
      <c r="AB18" s="258"/>
      <c r="AC18" s="257">
        <f t="shared" si="2"/>
        <v>0</v>
      </c>
      <c r="AD18" s="257"/>
      <c r="AE18" s="257"/>
      <c r="AF18" s="257"/>
      <c r="AG18" s="257"/>
      <c r="AH18" s="259"/>
    </row>
    <row r="19" spans="1:34" ht="16.5" customHeight="1">
      <c r="A19" s="204"/>
      <c r="B19" s="205"/>
      <c r="C19" s="205"/>
      <c r="D19" s="205"/>
      <c r="E19" s="205"/>
      <c r="F19" s="205"/>
      <c r="G19" s="205"/>
      <c r="H19" s="205"/>
      <c r="I19" s="205"/>
      <c r="J19" s="205"/>
      <c r="K19" s="206"/>
      <c r="L19" s="213"/>
      <c r="M19" s="214"/>
      <c r="N19" s="214"/>
      <c r="O19" s="214"/>
      <c r="P19" s="215"/>
      <c r="Q19" s="255"/>
      <c r="R19" s="256"/>
      <c r="S19" s="257">
        <f>ROUND(L19*Q19,0)</f>
        <v>0</v>
      </c>
      <c r="T19" s="257"/>
      <c r="U19" s="257"/>
      <c r="V19" s="257"/>
      <c r="W19" s="257"/>
      <c r="X19" s="258"/>
      <c r="Y19" s="258"/>
      <c r="Z19" s="258"/>
      <c r="AA19" s="258"/>
      <c r="AB19" s="258"/>
      <c r="AC19" s="257">
        <f t="shared" si="2"/>
        <v>0</v>
      </c>
      <c r="AD19" s="257"/>
      <c r="AE19" s="257"/>
      <c r="AF19" s="257"/>
      <c r="AG19" s="257"/>
      <c r="AH19" s="259"/>
    </row>
    <row r="20" spans="1:34" ht="16.5" customHeight="1">
      <c r="A20" s="204"/>
      <c r="B20" s="205"/>
      <c r="C20" s="205"/>
      <c r="D20" s="205"/>
      <c r="E20" s="205"/>
      <c r="F20" s="205"/>
      <c r="G20" s="205"/>
      <c r="H20" s="205"/>
      <c r="I20" s="205"/>
      <c r="J20" s="205"/>
      <c r="K20" s="206"/>
      <c r="L20" s="213"/>
      <c r="M20" s="214"/>
      <c r="N20" s="214"/>
      <c r="O20" s="214"/>
      <c r="P20" s="215"/>
      <c r="Q20" s="255"/>
      <c r="R20" s="256"/>
      <c r="S20" s="257">
        <f>ROUND(L20*Q20,0)</f>
        <v>0</v>
      </c>
      <c r="T20" s="257"/>
      <c r="U20" s="257"/>
      <c r="V20" s="257"/>
      <c r="W20" s="257"/>
      <c r="X20" s="258"/>
      <c r="Y20" s="258"/>
      <c r="Z20" s="258"/>
      <c r="AA20" s="258"/>
      <c r="AB20" s="258"/>
      <c r="AC20" s="257">
        <f t="shared" si="2"/>
        <v>0</v>
      </c>
      <c r="AD20" s="257"/>
      <c r="AE20" s="257"/>
      <c r="AF20" s="257"/>
      <c r="AG20" s="257"/>
      <c r="AH20" s="259"/>
    </row>
    <row r="21" spans="1:34" ht="16.5" customHeight="1" thickBot="1">
      <c r="A21" s="187"/>
      <c r="B21" s="188"/>
      <c r="C21" s="188"/>
      <c r="D21" s="188"/>
      <c r="E21" s="188"/>
      <c r="F21" s="188"/>
      <c r="G21" s="188"/>
      <c r="H21" s="188"/>
      <c r="I21" s="188"/>
      <c r="J21" s="188"/>
      <c r="K21" s="189"/>
      <c r="L21" s="246"/>
      <c r="M21" s="247"/>
      <c r="N21" s="247"/>
      <c r="O21" s="247"/>
      <c r="P21" s="248"/>
      <c r="Q21" s="249"/>
      <c r="R21" s="250"/>
      <c r="S21" s="270">
        <f t="shared" si="3"/>
        <v>0</v>
      </c>
      <c r="T21" s="271"/>
      <c r="U21" s="271"/>
      <c r="V21" s="271"/>
      <c r="W21" s="272"/>
      <c r="X21" s="246"/>
      <c r="Y21" s="247"/>
      <c r="Z21" s="247"/>
      <c r="AA21" s="247"/>
      <c r="AB21" s="248"/>
      <c r="AC21" s="194">
        <f t="shared" si="2"/>
        <v>0</v>
      </c>
      <c r="AD21" s="194"/>
      <c r="AE21" s="194"/>
      <c r="AF21" s="194"/>
      <c r="AG21" s="194"/>
      <c r="AH21" s="195"/>
    </row>
    <row r="22" spans="1:34" ht="16.5" customHeight="1" thickTop="1" thickBot="1">
      <c r="A22" s="177" t="s">
        <v>229</v>
      </c>
      <c r="B22" s="178"/>
      <c r="C22" s="178"/>
      <c r="D22" s="178"/>
      <c r="E22" s="178"/>
      <c r="F22" s="178"/>
      <c r="G22" s="178"/>
      <c r="H22" s="178"/>
      <c r="I22" s="178"/>
      <c r="J22" s="178"/>
      <c r="K22" s="179"/>
      <c r="L22" s="180"/>
      <c r="M22" s="180"/>
      <c r="N22" s="180"/>
      <c r="O22" s="180"/>
      <c r="P22" s="180"/>
      <c r="Q22" s="181"/>
      <c r="R22" s="181"/>
      <c r="S22" s="182">
        <f>SUM(S15:W21)</f>
        <v>0</v>
      </c>
      <c r="T22" s="182"/>
      <c r="U22" s="182"/>
      <c r="V22" s="182"/>
      <c r="W22" s="182"/>
      <c r="X22" s="182">
        <f>SUM(X15:AB21)</f>
        <v>0</v>
      </c>
      <c r="Y22" s="182"/>
      <c r="Z22" s="182"/>
      <c r="AA22" s="182"/>
      <c r="AB22" s="182"/>
      <c r="AC22" s="182">
        <f>SUM(AC15:AH21)</f>
        <v>0</v>
      </c>
      <c r="AD22" s="182"/>
      <c r="AE22" s="182"/>
      <c r="AF22" s="182"/>
      <c r="AG22" s="182"/>
      <c r="AH22" s="183"/>
    </row>
    <row r="23" spans="1:34" ht="16.5" customHeight="1">
      <c r="A23" s="163" t="s">
        <v>14</v>
      </c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5" t="s">
        <v>215</v>
      </c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7"/>
      <c r="AC23" s="168">
        <f>+AC13+AC22</f>
        <v>0</v>
      </c>
      <c r="AD23" s="168"/>
      <c r="AE23" s="168"/>
      <c r="AF23" s="168"/>
      <c r="AG23" s="168"/>
      <c r="AH23" s="169"/>
    </row>
    <row r="24" spans="1:34" ht="16.5" customHeight="1" thickBot="1">
      <c r="A24" s="170" t="s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71"/>
      <c r="L24" s="172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4"/>
      <c r="AC24" s="175">
        <f>ROUNDDOWN(AC23*0.1,0)</f>
        <v>0</v>
      </c>
      <c r="AD24" s="175"/>
      <c r="AE24" s="175"/>
      <c r="AF24" s="175"/>
      <c r="AG24" s="175"/>
      <c r="AH24" s="176"/>
    </row>
    <row r="25" spans="1:34" ht="16.5" customHeight="1" thickBot="1">
      <c r="A25" s="156" t="s">
        <v>4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216</v>
      </c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60"/>
      <c r="AC25" s="161">
        <f>AC23+AC24</f>
        <v>0</v>
      </c>
      <c r="AD25" s="161"/>
      <c r="AE25" s="161"/>
      <c r="AF25" s="161"/>
      <c r="AG25" s="161"/>
      <c r="AH25" s="162"/>
    </row>
    <row r="26" spans="1:34" s="125" customFormat="1" ht="19.5" customHeight="1" thickBot="1">
      <c r="A26" s="122" t="s">
        <v>254</v>
      </c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4"/>
      <c r="AE26" s="124"/>
      <c r="AF26" s="124"/>
      <c r="AG26" s="124"/>
      <c r="AH26" s="112" t="s">
        <v>208</v>
      </c>
    </row>
    <row r="27" spans="1:34" ht="16.5" customHeight="1">
      <c r="A27" s="226" t="s">
        <v>12</v>
      </c>
      <c r="B27" s="227"/>
      <c r="C27" s="227"/>
      <c r="D27" s="227"/>
      <c r="E27" s="227"/>
      <c r="F27" s="227"/>
      <c r="G27" s="227"/>
      <c r="H27" s="227"/>
      <c r="I27" s="227"/>
      <c r="J27" s="227"/>
      <c r="K27" s="228"/>
      <c r="L27" s="232" t="s">
        <v>209</v>
      </c>
      <c r="M27" s="233"/>
      <c r="N27" s="233"/>
      <c r="O27" s="233"/>
      <c r="P27" s="233"/>
      <c r="Q27" s="233"/>
      <c r="R27" s="233"/>
      <c r="S27" s="233"/>
      <c r="T27" s="233"/>
      <c r="U27" s="233"/>
      <c r="V27" s="233"/>
      <c r="W27" s="234"/>
      <c r="X27" s="269" t="s">
        <v>210</v>
      </c>
      <c r="Y27" s="236"/>
      <c r="Z27" s="236"/>
      <c r="AA27" s="236"/>
      <c r="AB27" s="237"/>
      <c r="AC27" s="238" t="s">
        <v>18</v>
      </c>
      <c r="AD27" s="236"/>
      <c r="AE27" s="236"/>
      <c r="AF27" s="236"/>
      <c r="AG27" s="236"/>
      <c r="AH27" s="239"/>
    </row>
    <row r="28" spans="1:34" ht="16.5" customHeight="1" thickBot="1">
      <c r="A28" s="229"/>
      <c r="B28" s="230"/>
      <c r="C28" s="230"/>
      <c r="D28" s="230"/>
      <c r="E28" s="230"/>
      <c r="F28" s="230"/>
      <c r="G28" s="230"/>
      <c r="H28" s="230"/>
      <c r="I28" s="230"/>
      <c r="J28" s="230"/>
      <c r="K28" s="231"/>
      <c r="L28" s="241" t="s">
        <v>211</v>
      </c>
      <c r="M28" s="242"/>
      <c r="N28" s="242"/>
      <c r="O28" s="242"/>
      <c r="P28" s="243"/>
      <c r="Q28" s="241" t="s">
        <v>212</v>
      </c>
      <c r="R28" s="243"/>
      <c r="S28" s="241" t="s">
        <v>20</v>
      </c>
      <c r="T28" s="242"/>
      <c r="U28" s="242"/>
      <c r="V28" s="242"/>
      <c r="W28" s="243"/>
      <c r="X28" s="199"/>
      <c r="Y28" s="200"/>
      <c r="Z28" s="200"/>
      <c r="AA28" s="200"/>
      <c r="AB28" s="201"/>
      <c r="AC28" s="199"/>
      <c r="AD28" s="200"/>
      <c r="AE28" s="200"/>
      <c r="AF28" s="200"/>
      <c r="AG28" s="200"/>
      <c r="AH28" s="240"/>
    </row>
    <row r="29" spans="1:34" ht="16.5" customHeight="1">
      <c r="A29" s="219" t="s">
        <v>234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1"/>
    </row>
    <row r="30" spans="1:34" ht="16.5" customHeight="1">
      <c r="A30" s="222"/>
      <c r="B30" s="223"/>
      <c r="C30" s="223"/>
      <c r="D30" s="223"/>
      <c r="E30" s="223"/>
      <c r="F30" s="223"/>
      <c r="G30" s="223"/>
      <c r="H30" s="223"/>
      <c r="I30" s="223"/>
      <c r="J30" s="223"/>
      <c r="K30" s="224"/>
      <c r="L30" s="213"/>
      <c r="M30" s="214"/>
      <c r="N30" s="214"/>
      <c r="O30" s="214"/>
      <c r="P30" s="215"/>
      <c r="Q30" s="255"/>
      <c r="R30" s="256"/>
      <c r="S30" s="268">
        <f>ROUND(L30*Q30,0)</f>
        <v>0</v>
      </c>
      <c r="T30" s="217"/>
      <c r="U30" s="217"/>
      <c r="V30" s="217"/>
      <c r="W30" s="267"/>
      <c r="X30" s="213"/>
      <c r="Y30" s="214"/>
      <c r="Z30" s="214"/>
      <c r="AA30" s="214"/>
      <c r="AB30" s="215"/>
      <c r="AC30" s="216">
        <f t="shared" ref="AC30:AC35" si="4">S30+X30</f>
        <v>0</v>
      </c>
      <c r="AD30" s="217"/>
      <c r="AE30" s="217"/>
      <c r="AF30" s="217"/>
      <c r="AG30" s="217"/>
      <c r="AH30" s="218"/>
    </row>
    <row r="31" spans="1:34" ht="16.5" customHeight="1">
      <c r="A31" s="204"/>
      <c r="B31" s="205"/>
      <c r="C31" s="205"/>
      <c r="D31" s="205"/>
      <c r="E31" s="205"/>
      <c r="F31" s="205"/>
      <c r="G31" s="205"/>
      <c r="H31" s="205"/>
      <c r="I31" s="205"/>
      <c r="J31" s="205"/>
      <c r="K31" s="206"/>
      <c r="L31" s="254"/>
      <c r="M31" s="214"/>
      <c r="N31" s="214"/>
      <c r="O31" s="214"/>
      <c r="P31" s="215"/>
      <c r="Q31" s="255"/>
      <c r="R31" s="256"/>
      <c r="S31" s="216">
        <f t="shared" ref="S31:S35" si="5">ROUND(L31*Q31,0)</f>
        <v>0</v>
      </c>
      <c r="T31" s="217"/>
      <c r="U31" s="217"/>
      <c r="V31" s="217"/>
      <c r="W31" s="267"/>
      <c r="X31" s="213"/>
      <c r="Y31" s="214"/>
      <c r="Z31" s="214"/>
      <c r="AA31" s="214"/>
      <c r="AB31" s="215"/>
      <c r="AC31" s="216">
        <f t="shared" si="4"/>
        <v>0</v>
      </c>
      <c r="AD31" s="217"/>
      <c r="AE31" s="217"/>
      <c r="AF31" s="217"/>
      <c r="AG31" s="217"/>
      <c r="AH31" s="218"/>
    </row>
    <row r="32" spans="1:34" ht="16.5" customHeight="1">
      <c r="A32" s="204"/>
      <c r="B32" s="205"/>
      <c r="C32" s="205"/>
      <c r="D32" s="205"/>
      <c r="E32" s="205"/>
      <c r="F32" s="205"/>
      <c r="G32" s="205"/>
      <c r="H32" s="205"/>
      <c r="I32" s="205"/>
      <c r="J32" s="205"/>
      <c r="K32" s="206"/>
      <c r="L32" s="254"/>
      <c r="M32" s="254"/>
      <c r="N32" s="254"/>
      <c r="O32" s="254"/>
      <c r="P32" s="254"/>
      <c r="Q32" s="255"/>
      <c r="R32" s="256"/>
      <c r="S32" s="257">
        <f t="shared" si="5"/>
        <v>0</v>
      </c>
      <c r="T32" s="257"/>
      <c r="U32" s="257"/>
      <c r="V32" s="257"/>
      <c r="W32" s="257"/>
      <c r="X32" s="254"/>
      <c r="Y32" s="254"/>
      <c r="Z32" s="254"/>
      <c r="AA32" s="254"/>
      <c r="AB32" s="254"/>
      <c r="AC32" s="257">
        <f t="shared" si="4"/>
        <v>0</v>
      </c>
      <c r="AD32" s="257"/>
      <c r="AE32" s="257"/>
      <c r="AF32" s="257"/>
      <c r="AG32" s="257"/>
      <c r="AH32" s="259"/>
    </row>
    <row r="33" spans="1:34" ht="16.5" customHeight="1">
      <c r="A33" s="204"/>
      <c r="B33" s="205"/>
      <c r="C33" s="205"/>
      <c r="D33" s="205"/>
      <c r="E33" s="205"/>
      <c r="F33" s="205"/>
      <c r="G33" s="205"/>
      <c r="H33" s="205"/>
      <c r="I33" s="205"/>
      <c r="J33" s="205"/>
      <c r="K33" s="206"/>
      <c r="L33" s="254"/>
      <c r="M33" s="254"/>
      <c r="N33" s="254"/>
      <c r="O33" s="254"/>
      <c r="P33" s="254"/>
      <c r="Q33" s="255"/>
      <c r="R33" s="256"/>
      <c r="S33" s="264">
        <f t="shared" si="5"/>
        <v>0</v>
      </c>
      <c r="T33" s="264"/>
      <c r="U33" s="264"/>
      <c r="V33" s="264"/>
      <c r="W33" s="264"/>
      <c r="X33" s="254"/>
      <c r="Y33" s="254"/>
      <c r="Z33" s="254"/>
      <c r="AA33" s="254"/>
      <c r="AB33" s="254"/>
      <c r="AC33" s="257">
        <f t="shared" si="4"/>
        <v>0</v>
      </c>
      <c r="AD33" s="257"/>
      <c r="AE33" s="257"/>
      <c r="AF33" s="257"/>
      <c r="AG33" s="257"/>
      <c r="AH33" s="259"/>
    </row>
    <row r="34" spans="1:34" ht="16.5" customHeight="1">
      <c r="A34" s="204"/>
      <c r="B34" s="205"/>
      <c r="C34" s="205"/>
      <c r="D34" s="205"/>
      <c r="E34" s="205"/>
      <c r="F34" s="205"/>
      <c r="G34" s="205"/>
      <c r="H34" s="205"/>
      <c r="I34" s="205"/>
      <c r="J34" s="205"/>
      <c r="K34" s="206"/>
      <c r="L34" s="254"/>
      <c r="M34" s="254"/>
      <c r="N34" s="254"/>
      <c r="O34" s="254"/>
      <c r="P34" s="254"/>
      <c r="Q34" s="255"/>
      <c r="R34" s="256"/>
      <c r="S34" s="257">
        <f t="shared" si="5"/>
        <v>0</v>
      </c>
      <c r="T34" s="257"/>
      <c r="U34" s="257"/>
      <c r="V34" s="257"/>
      <c r="W34" s="257"/>
      <c r="X34" s="254"/>
      <c r="Y34" s="254"/>
      <c r="Z34" s="254"/>
      <c r="AA34" s="254"/>
      <c r="AB34" s="254"/>
      <c r="AC34" s="257">
        <f t="shared" si="4"/>
        <v>0</v>
      </c>
      <c r="AD34" s="257"/>
      <c r="AE34" s="257"/>
      <c r="AF34" s="257"/>
      <c r="AG34" s="257"/>
      <c r="AH34" s="259"/>
    </row>
    <row r="35" spans="1:34" ht="16.5" customHeight="1" thickBot="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206"/>
      <c r="L35" s="193"/>
      <c r="M35" s="193"/>
      <c r="N35" s="193"/>
      <c r="O35" s="193"/>
      <c r="P35" s="193"/>
      <c r="Q35" s="249"/>
      <c r="R35" s="250"/>
      <c r="S35" s="194">
        <f t="shared" si="5"/>
        <v>0</v>
      </c>
      <c r="T35" s="194"/>
      <c r="U35" s="194"/>
      <c r="V35" s="194"/>
      <c r="W35" s="194"/>
      <c r="X35" s="193"/>
      <c r="Y35" s="193"/>
      <c r="Z35" s="193"/>
      <c r="AA35" s="193"/>
      <c r="AB35" s="193"/>
      <c r="AC35" s="194">
        <f t="shared" si="4"/>
        <v>0</v>
      </c>
      <c r="AD35" s="194"/>
      <c r="AE35" s="194"/>
      <c r="AF35" s="194"/>
      <c r="AG35" s="194"/>
      <c r="AH35" s="195"/>
    </row>
    <row r="36" spans="1:34" ht="16.5" customHeight="1" thickTop="1" thickBot="1">
      <c r="A36" s="177" t="s">
        <v>229</v>
      </c>
      <c r="B36" s="178"/>
      <c r="C36" s="178"/>
      <c r="D36" s="178"/>
      <c r="E36" s="178"/>
      <c r="F36" s="178"/>
      <c r="G36" s="178"/>
      <c r="H36" s="178"/>
      <c r="I36" s="178"/>
      <c r="J36" s="178"/>
      <c r="K36" s="179"/>
      <c r="L36" s="199"/>
      <c r="M36" s="200"/>
      <c r="N36" s="200"/>
      <c r="O36" s="200"/>
      <c r="P36" s="201"/>
      <c r="Q36" s="199"/>
      <c r="R36" s="201"/>
      <c r="S36" s="202">
        <f>SUM(S30:W35)</f>
        <v>0</v>
      </c>
      <c r="T36" s="202"/>
      <c r="U36" s="202"/>
      <c r="V36" s="202"/>
      <c r="W36" s="202"/>
      <c r="X36" s="202">
        <f>SUM(X30:AB35)</f>
        <v>0</v>
      </c>
      <c r="Y36" s="202"/>
      <c r="Z36" s="202"/>
      <c r="AA36" s="202"/>
      <c r="AB36" s="202"/>
      <c r="AC36" s="202">
        <f>SUM(AC30:AH35)</f>
        <v>0</v>
      </c>
      <c r="AD36" s="202"/>
      <c r="AE36" s="202"/>
      <c r="AF36" s="202"/>
      <c r="AG36" s="202"/>
      <c r="AH36" s="203"/>
    </row>
    <row r="37" spans="1:34" ht="16.5" customHeight="1">
      <c r="A37" s="184" t="s">
        <v>235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6"/>
    </row>
    <row r="38" spans="1:34" ht="16.5" customHeight="1">
      <c r="A38" s="222"/>
      <c r="B38" s="223"/>
      <c r="C38" s="223"/>
      <c r="D38" s="223"/>
      <c r="E38" s="223"/>
      <c r="F38" s="223"/>
      <c r="G38" s="223"/>
      <c r="H38" s="223"/>
      <c r="I38" s="223"/>
      <c r="J38" s="223"/>
      <c r="K38" s="224"/>
      <c r="L38" s="254"/>
      <c r="M38" s="254"/>
      <c r="N38" s="254"/>
      <c r="O38" s="254"/>
      <c r="P38" s="254"/>
      <c r="Q38" s="263"/>
      <c r="R38" s="263"/>
      <c r="S38" s="265">
        <f>ROUND(L38*Q38,0)</f>
        <v>0</v>
      </c>
      <c r="T38" s="265"/>
      <c r="U38" s="265"/>
      <c r="V38" s="265"/>
      <c r="W38" s="265"/>
      <c r="X38" s="254"/>
      <c r="Y38" s="254"/>
      <c r="Z38" s="254"/>
      <c r="AA38" s="254"/>
      <c r="AB38" s="254"/>
      <c r="AC38" s="264">
        <f t="shared" ref="AC38:AC42" si="6">S38+X38</f>
        <v>0</v>
      </c>
      <c r="AD38" s="264"/>
      <c r="AE38" s="264"/>
      <c r="AF38" s="264"/>
      <c r="AG38" s="264"/>
      <c r="AH38" s="266"/>
    </row>
    <row r="39" spans="1:34" ht="16.5" customHeight="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206"/>
      <c r="L39" s="254"/>
      <c r="M39" s="254"/>
      <c r="N39" s="254"/>
      <c r="O39" s="254"/>
      <c r="P39" s="254"/>
      <c r="Q39" s="263"/>
      <c r="R39" s="263"/>
      <c r="S39" s="264">
        <f t="shared" ref="S39:S41" si="7">ROUND(L39*Q39,0)</f>
        <v>0</v>
      </c>
      <c r="T39" s="264"/>
      <c r="U39" s="264"/>
      <c r="V39" s="264"/>
      <c r="W39" s="264"/>
      <c r="X39" s="258"/>
      <c r="Y39" s="258"/>
      <c r="Z39" s="258"/>
      <c r="AA39" s="258"/>
      <c r="AB39" s="258"/>
      <c r="AC39" s="257">
        <f t="shared" si="6"/>
        <v>0</v>
      </c>
      <c r="AD39" s="257"/>
      <c r="AE39" s="257"/>
      <c r="AF39" s="257"/>
      <c r="AG39" s="257"/>
      <c r="AH39" s="259"/>
    </row>
    <row r="40" spans="1:34" ht="16.5" customHeight="1">
      <c r="A40" s="260"/>
      <c r="B40" s="261"/>
      <c r="C40" s="261"/>
      <c r="D40" s="261"/>
      <c r="E40" s="261"/>
      <c r="F40" s="261"/>
      <c r="G40" s="261"/>
      <c r="H40" s="261"/>
      <c r="I40" s="261"/>
      <c r="J40" s="261"/>
      <c r="K40" s="262"/>
      <c r="L40" s="254"/>
      <c r="M40" s="254"/>
      <c r="N40" s="254"/>
      <c r="O40" s="254"/>
      <c r="P40" s="254"/>
      <c r="Q40" s="255"/>
      <c r="R40" s="256"/>
      <c r="S40" s="257">
        <f t="shared" si="7"/>
        <v>0</v>
      </c>
      <c r="T40" s="257"/>
      <c r="U40" s="257"/>
      <c r="V40" s="257"/>
      <c r="W40" s="257"/>
      <c r="X40" s="258"/>
      <c r="Y40" s="258"/>
      <c r="Z40" s="258"/>
      <c r="AA40" s="258"/>
      <c r="AB40" s="258"/>
      <c r="AC40" s="257">
        <f t="shared" si="6"/>
        <v>0</v>
      </c>
      <c r="AD40" s="257"/>
      <c r="AE40" s="257"/>
      <c r="AF40" s="257"/>
      <c r="AG40" s="257"/>
      <c r="AH40" s="259"/>
    </row>
    <row r="41" spans="1:34" ht="16.5" customHeight="1">
      <c r="A41" s="251"/>
      <c r="B41" s="252"/>
      <c r="C41" s="252"/>
      <c r="D41" s="252"/>
      <c r="E41" s="252"/>
      <c r="F41" s="252"/>
      <c r="G41" s="252"/>
      <c r="H41" s="252"/>
      <c r="I41" s="252"/>
      <c r="J41" s="252"/>
      <c r="K41" s="253"/>
      <c r="L41" s="254"/>
      <c r="M41" s="254"/>
      <c r="N41" s="254"/>
      <c r="O41" s="254"/>
      <c r="P41" s="254"/>
      <c r="Q41" s="255"/>
      <c r="R41" s="256"/>
      <c r="S41" s="257">
        <f t="shared" si="7"/>
        <v>0</v>
      </c>
      <c r="T41" s="257"/>
      <c r="U41" s="257"/>
      <c r="V41" s="257"/>
      <c r="W41" s="257"/>
      <c r="X41" s="258"/>
      <c r="Y41" s="258"/>
      <c r="Z41" s="258"/>
      <c r="AA41" s="258"/>
      <c r="AB41" s="258"/>
      <c r="AC41" s="257">
        <f t="shared" si="6"/>
        <v>0</v>
      </c>
      <c r="AD41" s="257"/>
      <c r="AE41" s="257"/>
      <c r="AF41" s="257"/>
      <c r="AG41" s="257"/>
      <c r="AH41" s="259"/>
    </row>
    <row r="42" spans="1:34" ht="16.5" customHeight="1" thickBot="1">
      <c r="A42" s="187"/>
      <c r="B42" s="188"/>
      <c r="C42" s="188"/>
      <c r="D42" s="188"/>
      <c r="E42" s="188"/>
      <c r="F42" s="188"/>
      <c r="G42" s="188"/>
      <c r="H42" s="188"/>
      <c r="I42" s="188"/>
      <c r="J42" s="188"/>
      <c r="K42" s="189"/>
      <c r="L42" s="246"/>
      <c r="M42" s="247"/>
      <c r="N42" s="247"/>
      <c r="O42" s="247"/>
      <c r="P42" s="248"/>
      <c r="Q42" s="249"/>
      <c r="R42" s="250"/>
      <c r="S42" s="194">
        <f>ROUND(L42*Q42,0)</f>
        <v>0</v>
      </c>
      <c r="T42" s="194"/>
      <c r="U42" s="194"/>
      <c r="V42" s="194"/>
      <c r="W42" s="194"/>
      <c r="X42" s="193"/>
      <c r="Y42" s="193"/>
      <c r="Z42" s="193"/>
      <c r="AA42" s="193"/>
      <c r="AB42" s="193"/>
      <c r="AC42" s="194">
        <f t="shared" si="6"/>
        <v>0</v>
      </c>
      <c r="AD42" s="194"/>
      <c r="AE42" s="194"/>
      <c r="AF42" s="194"/>
      <c r="AG42" s="194"/>
      <c r="AH42" s="195"/>
    </row>
    <row r="43" spans="1:34" ht="16.5" customHeight="1" thickTop="1" thickBot="1">
      <c r="A43" s="196" t="s">
        <v>229</v>
      </c>
      <c r="B43" s="197"/>
      <c r="C43" s="197"/>
      <c r="D43" s="197"/>
      <c r="E43" s="197"/>
      <c r="F43" s="197"/>
      <c r="G43" s="197"/>
      <c r="H43" s="197"/>
      <c r="I43" s="197"/>
      <c r="J43" s="197"/>
      <c r="K43" s="198"/>
      <c r="L43" s="180"/>
      <c r="M43" s="180"/>
      <c r="N43" s="180"/>
      <c r="O43" s="180"/>
      <c r="P43" s="180"/>
      <c r="Q43" s="245"/>
      <c r="R43" s="245"/>
      <c r="S43" s="202">
        <f>SUM(S38:W42)</f>
        <v>0</v>
      </c>
      <c r="T43" s="202"/>
      <c r="U43" s="202"/>
      <c r="V43" s="202"/>
      <c r="W43" s="202"/>
      <c r="X43" s="202">
        <f>SUM(X38:AB42)</f>
        <v>0</v>
      </c>
      <c r="Y43" s="202"/>
      <c r="Z43" s="202"/>
      <c r="AA43" s="202"/>
      <c r="AB43" s="202"/>
      <c r="AC43" s="202">
        <f>SUM(AC38:AH42)</f>
        <v>0</v>
      </c>
      <c r="AD43" s="202"/>
      <c r="AE43" s="202"/>
      <c r="AF43" s="202"/>
      <c r="AG43" s="202"/>
      <c r="AH43" s="203"/>
    </row>
    <row r="44" spans="1:34" ht="16.5" customHeight="1">
      <c r="A44" s="163" t="s">
        <v>14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5" t="s">
        <v>215</v>
      </c>
      <c r="M44" s="166"/>
      <c r="N44" s="166"/>
      <c r="O44" s="166"/>
      <c r="P44" s="166"/>
      <c r="Q44" s="166"/>
      <c r="R44" s="166"/>
      <c r="S44" s="166"/>
      <c r="T44" s="166"/>
      <c r="U44" s="166"/>
      <c r="V44" s="166"/>
      <c r="W44" s="166"/>
      <c r="X44" s="166"/>
      <c r="Y44" s="166"/>
      <c r="Z44" s="166"/>
      <c r="AA44" s="166"/>
      <c r="AB44" s="167"/>
      <c r="AC44" s="168">
        <f>+AC36+AC43</f>
        <v>0</v>
      </c>
      <c r="AD44" s="168"/>
      <c r="AE44" s="168"/>
      <c r="AF44" s="168"/>
      <c r="AG44" s="168"/>
      <c r="AH44" s="169"/>
    </row>
    <row r="45" spans="1:34" ht="16.5" customHeight="1" thickBot="1">
      <c r="A45" s="170" t="s">
        <v>13</v>
      </c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2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4"/>
      <c r="AC45" s="175">
        <f>ROUNDDOWN(AC44*0.1,0)</f>
        <v>0</v>
      </c>
      <c r="AD45" s="175"/>
      <c r="AE45" s="175"/>
      <c r="AF45" s="175"/>
      <c r="AG45" s="175"/>
      <c r="AH45" s="176"/>
    </row>
    <row r="46" spans="1:34" ht="16.5" customHeight="1" thickBot="1">
      <c r="A46" s="156" t="s">
        <v>4</v>
      </c>
      <c r="B46" s="157"/>
      <c r="C46" s="157"/>
      <c r="D46" s="157"/>
      <c r="E46" s="157"/>
      <c r="F46" s="157"/>
      <c r="G46" s="157"/>
      <c r="H46" s="157"/>
      <c r="I46" s="157"/>
      <c r="J46" s="157"/>
      <c r="K46" s="157"/>
      <c r="L46" s="158" t="s">
        <v>216</v>
      </c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59"/>
      <c r="AA46" s="159"/>
      <c r="AB46" s="160"/>
      <c r="AC46" s="161">
        <f>AC44+AC45</f>
        <v>0</v>
      </c>
      <c r="AD46" s="161"/>
      <c r="AE46" s="161"/>
      <c r="AF46" s="161"/>
      <c r="AG46" s="161"/>
      <c r="AH46" s="162"/>
    </row>
    <row r="47" spans="1:34" ht="19.5" customHeight="1">
      <c r="A47" s="244" t="s">
        <v>217</v>
      </c>
      <c r="B47" s="244"/>
      <c r="C47" s="225" t="s">
        <v>238</v>
      </c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225"/>
      <c r="Q47" s="225"/>
      <c r="R47" s="225"/>
      <c r="S47" s="225"/>
      <c r="T47" s="225"/>
      <c r="U47" s="225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</row>
    <row r="48" spans="1:34" ht="19.5" customHeight="1">
      <c r="A48" s="134"/>
      <c r="B48" s="134"/>
      <c r="C48" s="225" t="s">
        <v>239</v>
      </c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5"/>
      <c r="Y48" s="225"/>
      <c r="Z48" s="225"/>
      <c r="AA48" s="225"/>
      <c r="AB48" s="225"/>
      <c r="AC48" s="225"/>
      <c r="AD48" s="225"/>
      <c r="AE48" s="225"/>
      <c r="AF48" s="225"/>
      <c r="AG48" s="225"/>
      <c r="AH48" s="225"/>
    </row>
    <row r="49" spans="1:34" ht="19.5" customHeight="1">
      <c r="A49" s="134"/>
      <c r="B49" s="134"/>
      <c r="C49" s="225" t="s">
        <v>240</v>
      </c>
      <c r="D49" s="225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</row>
    <row r="50" spans="1:34" ht="19.5" customHeight="1">
      <c r="A50" s="134"/>
      <c r="B50" s="134"/>
      <c r="C50" s="225" t="s">
        <v>241</v>
      </c>
      <c r="D50" s="225"/>
      <c r="E50" s="225"/>
      <c r="F50" s="225"/>
      <c r="G50" s="225"/>
      <c r="H50" s="225"/>
      <c r="I50" s="225"/>
      <c r="J50" s="225"/>
      <c r="K50" s="225"/>
      <c r="L50" s="225"/>
      <c r="M50" s="225"/>
      <c r="N50" s="225"/>
      <c r="O50" s="225"/>
      <c r="P50" s="225"/>
      <c r="Q50" s="225"/>
      <c r="R50" s="225"/>
      <c r="S50" s="225"/>
      <c r="T50" s="225"/>
      <c r="U50" s="225"/>
      <c r="V50" s="225"/>
      <c r="W50" s="225"/>
      <c r="X50" s="225"/>
      <c r="Y50" s="225"/>
      <c r="Z50" s="225"/>
      <c r="AA50" s="225"/>
      <c r="AB50" s="225"/>
      <c r="AC50" s="225"/>
      <c r="AD50" s="225"/>
      <c r="AE50" s="225"/>
      <c r="AF50" s="225"/>
      <c r="AG50" s="225"/>
      <c r="AH50" s="225"/>
    </row>
    <row r="51" spans="1:34" ht="19.5" customHeight="1">
      <c r="A51" s="134"/>
      <c r="B51" s="134"/>
      <c r="C51" s="133"/>
      <c r="D51" s="133"/>
      <c r="E51" s="133"/>
      <c r="F51" s="133"/>
      <c r="G51" s="133"/>
      <c r="H51" s="133"/>
      <c r="I51" s="133"/>
      <c r="J51" s="133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</row>
    <row r="52" spans="1:34" s="125" customFormat="1" ht="19.5" customHeight="1" thickBot="1">
      <c r="A52" s="122" t="s">
        <v>242</v>
      </c>
      <c r="B52" s="123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4"/>
      <c r="AE52" s="124"/>
      <c r="AF52" s="124"/>
      <c r="AG52" s="124"/>
      <c r="AH52" s="112" t="s">
        <v>208</v>
      </c>
    </row>
    <row r="53" spans="1:34" ht="16.5" customHeight="1">
      <c r="A53" s="226" t="s">
        <v>12</v>
      </c>
      <c r="B53" s="227"/>
      <c r="C53" s="227"/>
      <c r="D53" s="227"/>
      <c r="E53" s="227"/>
      <c r="F53" s="227"/>
      <c r="G53" s="227"/>
      <c r="H53" s="227"/>
      <c r="I53" s="227"/>
      <c r="J53" s="227"/>
      <c r="K53" s="228"/>
      <c r="L53" s="232" t="s">
        <v>209</v>
      </c>
      <c r="M53" s="233"/>
      <c r="N53" s="233"/>
      <c r="O53" s="233"/>
      <c r="P53" s="233"/>
      <c r="Q53" s="233"/>
      <c r="R53" s="233"/>
      <c r="S53" s="233"/>
      <c r="T53" s="233"/>
      <c r="U53" s="233"/>
      <c r="V53" s="233"/>
      <c r="W53" s="234"/>
      <c r="X53" s="235" t="s">
        <v>237</v>
      </c>
      <c r="Y53" s="236"/>
      <c r="Z53" s="236"/>
      <c r="AA53" s="236"/>
      <c r="AB53" s="237"/>
      <c r="AC53" s="238" t="s">
        <v>18</v>
      </c>
      <c r="AD53" s="236"/>
      <c r="AE53" s="236"/>
      <c r="AF53" s="236"/>
      <c r="AG53" s="236"/>
      <c r="AH53" s="239"/>
    </row>
    <row r="54" spans="1:34" ht="16.5" customHeight="1" thickBot="1">
      <c r="A54" s="229"/>
      <c r="B54" s="230"/>
      <c r="C54" s="230"/>
      <c r="D54" s="230"/>
      <c r="E54" s="230"/>
      <c r="F54" s="230"/>
      <c r="G54" s="230"/>
      <c r="H54" s="230"/>
      <c r="I54" s="230"/>
      <c r="J54" s="230"/>
      <c r="K54" s="231"/>
      <c r="L54" s="241" t="s">
        <v>211</v>
      </c>
      <c r="M54" s="242"/>
      <c r="N54" s="242"/>
      <c r="O54" s="242"/>
      <c r="P54" s="243"/>
      <c r="Q54" s="241" t="s">
        <v>212</v>
      </c>
      <c r="R54" s="243"/>
      <c r="S54" s="241" t="s">
        <v>20</v>
      </c>
      <c r="T54" s="242"/>
      <c r="U54" s="242"/>
      <c r="V54" s="242"/>
      <c r="W54" s="243"/>
      <c r="X54" s="199"/>
      <c r="Y54" s="200"/>
      <c r="Z54" s="200"/>
      <c r="AA54" s="200"/>
      <c r="AB54" s="201"/>
      <c r="AC54" s="199"/>
      <c r="AD54" s="200"/>
      <c r="AE54" s="200"/>
      <c r="AF54" s="200"/>
      <c r="AG54" s="200"/>
      <c r="AH54" s="240"/>
    </row>
    <row r="55" spans="1:34" ht="16.5" customHeight="1">
      <c r="A55" s="219" t="s">
        <v>234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1"/>
    </row>
    <row r="56" spans="1:34" ht="16.5" customHeight="1">
      <c r="A56" s="222"/>
      <c r="B56" s="223"/>
      <c r="C56" s="223"/>
      <c r="D56" s="223"/>
      <c r="E56" s="223"/>
      <c r="F56" s="223"/>
      <c r="G56" s="223"/>
      <c r="H56" s="223"/>
      <c r="I56" s="223"/>
      <c r="J56" s="223"/>
      <c r="K56" s="224"/>
      <c r="L56" s="212"/>
      <c r="M56" s="208"/>
      <c r="N56" s="208"/>
      <c r="O56" s="208"/>
      <c r="P56" s="209"/>
      <c r="Q56" s="210"/>
      <c r="R56" s="211"/>
      <c r="S56" s="212">
        <f>ROUND(L56*Q56,0)</f>
        <v>0</v>
      </c>
      <c r="T56" s="208"/>
      <c r="U56" s="208"/>
      <c r="V56" s="208"/>
      <c r="W56" s="209"/>
      <c r="X56" s="213"/>
      <c r="Y56" s="214"/>
      <c r="Z56" s="214"/>
      <c r="AA56" s="214"/>
      <c r="AB56" s="215"/>
      <c r="AC56" s="216">
        <f t="shared" ref="AC56:AC58" si="8">S56+X56</f>
        <v>0</v>
      </c>
      <c r="AD56" s="217"/>
      <c r="AE56" s="217"/>
      <c r="AF56" s="217"/>
      <c r="AG56" s="217"/>
      <c r="AH56" s="218"/>
    </row>
    <row r="57" spans="1:34" ht="16.5" customHeight="1">
      <c r="A57" s="204"/>
      <c r="B57" s="205"/>
      <c r="C57" s="205"/>
      <c r="D57" s="205"/>
      <c r="E57" s="205"/>
      <c r="F57" s="205"/>
      <c r="G57" s="205"/>
      <c r="H57" s="205"/>
      <c r="I57" s="205"/>
      <c r="J57" s="205"/>
      <c r="K57" s="206"/>
      <c r="L57" s="207"/>
      <c r="M57" s="208"/>
      <c r="N57" s="208"/>
      <c r="O57" s="208"/>
      <c r="P57" s="209"/>
      <c r="Q57" s="210"/>
      <c r="R57" s="211"/>
      <c r="S57" s="212">
        <f t="shared" ref="S57:S58" si="9">ROUND(L57*Q57,0)</f>
        <v>0</v>
      </c>
      <c r="T57" s="208"/>
      <c r="U57" s="208"/>
      <c r="V57" s="208"/>
      <c r="W57" s="209"/>
      <c r="X57" s="213"/>
      <c r="Y57" s="214"/>
      <c r="Z57" s="214"/>
      <c r="AA57" s="214"/>
      <c r="AB57" s="215"/>
      <c r="AC57" s="216">
        <f t="shared" si="8"/>
        <v>0</v>
      </c>
      <c r="AD57" s="217"/>
      <c r="AE57" s="217"/>
      <c r="AF57" s="217"/>
      <c r="AG57" s="217"/>
      <c r="AH57" s="218"/>
    </row>
    <row r="58" spans="1:34" ht="16.5" customHeight="1" thickBot="1">
      <c r="A58" s="187"/>
      <c r="B58" s="188"/>
      <c r="C58" s="188"/>
      <c r="D58" s="188"/>
      <c r="E58" s="188"/>
      <c r="F58" s="188"/>
      <c r="G58" s="188"/>
      <c r="H58" s="188"/>
      <c r="I58" s="188"/>
      <c r="J58" s="188"/>
      <c r="K58" s="189"/>
      <c r="L58" s="190"/>
      <c r="M58" s="190"/>
      <c r="N58" s="190"/>
      <c r="O58" s="190"/>
      <c r="P58" s="190"/>
      <c r="Q58" s="191"/>
      <c r="R58" s="192"/>
      <c r="S58" s="190">
        <f t="shared" si="9"/>
        <v>0</v>
      </c>
      <c r="T58" s="190"/>
      <c r="U58" s="190"/>
      <c r="V58" s="190"/>
      <c r="W58" s="190"/>
      <c r="X58" s="193"/>
      <c r="Y58" s="193"/>
      <c r="Z58" s="193"/>
      <c r="AA58" s="193"/>
      <c r="AB58" s="193"/>
      <c r="AC58" s="194">
        <f t="shared" si="8"/>
        <v>0</v>
      </c>
      <c r="AD58" s="194"/>
      <c r="AE58" s="194"/>
      <c r="AF58" s="194"/>
      <c r="AG58" s="194"/>
      <c r="AH58" s="195"/>
    </row>
    <row r="59" spans="1:34" ht="16.5" customHeight="1" thickTop="1" thickBot="1">
      <c r="A59" s="196" t="s">
        <v>229</v>
      </c>
      <c r="B59" s="197"/>
      <c r="C59" s="197"/>
      <c r="D59" s="197"/>
      <c r="E59" s="197"/>
      <c r="F59" s="197"/>
      <c r="G59" s="197"/>
      <c r="H59" s="197"/>
      <c r="I59" s="197"/>
      <c r="J59" s="197"/>
      <c r="K59" s="198"/>
      <c r="L59" s="199"/>
      <c r="M59" s="200"/>
      <c r="N59" s="200"/>
      <c r="O59" s="200"/>
      <c r="P59" s="201"/>
      <c r="Q59" s="199"/>
      <c r="R59" s="201"/>
      <c r="S59" s="202">
        <f>SUM(S56:W58)</f>
        <v>0</v>
      </c>
      <c r="T59" s="202"/>
      <c r="U59" s="202"/>
      <c r="V59" s="202"/>
      <c r="W59" s="202"/>
      <c r="X59" s="202">
        <f>SUM(X56:AB58)</f>
        <v>0</v>
      </c>
      <c r="Y59" s="202"/>
      <c r="Z59" s="202"/>
      <c r="AA59" s="202"/>
      <c r="AB59" s="202"/>
      <c r="AC59" s="202">
        <f>SUM(AC56:AH58)</f>
        <v>0</v>
      </c>
      <c r="AD59" s="202"/>
      <c r="AE59" s="202"/>
      <c r="AF59" s="202"/>
      <c r="AG59" s="202"/>
      <c r="AH59" s="203"/>
    </row>
    <row r="60" spans="1:34" ht="16.5" customHeight="1">
      <c r="A60" s="184" t="s">
        <v>235</v>
      </c>
      <c r="B60" s="185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6"/>
    </row>
    <row r="61" spans="1:34" ht="16.5" customHeight="1" thickBot="1">
      <c r="A61" s="187"/>
      <c r="B61" s="188"/>
      <c r="C61" s="188"/>
      <c r="D61" s="188"/>
      <c r="E61" s="188"/>
      <c r="F61" s="188"/>
      <c r="G61" s="188"/>
      <c r="H61" s="188"/>
      <c r="I61" s="188"/>
      <c r="J61" s="188"/>
      <c r="K61" s="189"/>
      <c r="L61" s="190"/>
      <c r="M61" s="190"/>
      <c r="N61" s="190"/>
      <c r="O61" s="190"/>
      <c r="P61" s="190"/>
      <c r="Q61" s="191"/>
      <c r="R61" s="192"/>
      <c r="S61" s="190">
        <f t="shared" ref="S61" si="10">ROUND(L61*Q61,0)</f>
        <v>0</v>
      </c>
      <c r="T61" s="190"/>
      <c r="U61" s="190"/>
      <c r="V61" s="190"/>
      <c r="W61" s="190"/>
      <c r="X61" s="193"/>
      <c r="Y61" s="193"/>
      <c r="Z61" s="193"/>
      <c r="AA61" s="193"/>
      <c r="AB61" s="193"/>
      <c r="AC61" s="194">
        <f t="shared" ref="AC61" si="11">S61+X61</f>
        <v>0</v>
      </c>
      <c r="AD61" s="194"/>
      <c r="AE61" s="194"/>
      <c r="AF61" s="194"/>
      <c r="AG61" s="194"/>
      <c r="AH61" s="195"/>
    </row>
    <row r="62" spans="1:34" ht="16.5" customHeight="1" thickTop="1" thickBot="1">
      <c r="A62" s="177" t="s">
        <v>229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9"/>
      <c r="L62" s="180"/>
      <c r="M62" s="180"/>
      <c r="N62" s="180"/>
      <c r="O62" s="180"/>
      <c r="P62" s="180"/>
      <c r="Q62" s="181"/>
      <c r="R62" s="181"/>
      <c r="S62" s="182">
        <f>SUM(S61:W61)</f>
        <v>0</v>
      </c>
      <c r="T62" s="182"/>
      <c r="U62" s="182"/>
      <c r="V62" s="182"/>
      <c r="W62" s="182"/>
      <c r="X62" s="182">
        <f>SUM(X61:AB61)</f>
        <v>0</v>
      </c>
      <c r="Y62" s="182"/>
      <c r="Z62" s="182"/>
      <c r="AA62" s="182"/>
      <c r="AB62" s="182"/>
      <c r="AC62" s="182">
        <f>SUM(AC61:AH61)</f>
        <v>0</v>
      </c>
      <c r="AD62" s="182"/>
      <c r="AE62" s="182"/>
      <c r="AF62" s="182"/>
      <c r="AG62" s="182"/>
      <c r="AH62" s="183"/>
    </row>
    <row r="63" spans="1:34" ht="16.5" customHeight="1">
      <c r="A63" s="163" t="s">
        <v>14</v>
      </c>
      <c r="B63" s="164"/>
      <c r="C63" s="164"/>
      <c r="D63" s="164"/>
      <c r="E63" s="164"/>
      <c r="F63" s="164"/>
      <c r="G63" s="164"/>
      <c r="H63" s="164"/>
      <c r="I63" s="164"/>
      <c r="J63" s="164"/>
      <c r="K63" s="164"/>
      <c r="L63" s="165" t="s">
        <v>215</v>
      </c>
      <c r="M63" s="166"/>
      <c r="N63" s="166"/>
      <c r="O63" s="166"/>
      <c r="P63" s="166"/>
      <c r="Q63" s="166"/>
      <c r="R63" s="166"/>
      <c r="S63" s="166"/>
      <c r="T63" s="166"/>
      <c r="U63" s="166"/>
      <c r="V63" s="166"/>
      <c r="W63" s="166"/>
      <c r="X63" s="166"/>
      <c r="Y63" s="166"/>
      <c r="Z63" s="166"/>
      <c r="AA63" s="166"/>
      <c r="AB63" s="167"/>
      <c r="AC63" s="168">
        <f>+AC59+AC62</f>
        <v>0</v>
      </c>
      <c r="AD63" s="168"/>
      <c r="AE63" s="168"/>
      <c r="AF63" s="168"/>
      <c r="AG63" s="168"/>
      <c r="AH63" s="169"/>
    </row>
    <row r="64" spans="1:34" ht="16.5" customHeight="1" thickBot="1">
      <c r="A64" s="170" t="s">
        <v>13</v>
      </c>
      <c r="B64" s="171"/>
      <c r="C64" s="171"/>
      <c r="D64" s="171"/>
      <c r="E64" s="171"/>
      <c r="F64" s="171"/>
      <c r="G64" s="171"/>
      <c r="H64" s="171"/>
      <c r="I64" s="171"/>
      <c r="J64" s="171"/>
      <c r="K64" s="171"/>
      <c r="L64" s="172"/>
      <c r="M64" s="173"/>
      <c r="N64" s="173"/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  <c r="AA64" s="173"/>
      <c r="AB64" s="174"/>
      <c r="AC64" s="175">
        <f>ROUNDDOWN(AC63*0.1,0)</f>
        <v>0</v>
      </c>
      <c r="AD64" s="175"/>
      <c r="AE64" s="175"/>
      <c r="AF64" s="175"/>
      <c r="AG64" s="175"/>
      <c r="AH64" s="176"/>
    </row>
    <row r="65" spans="1:34" ht="16.5" customHeight="1" thickBot="1">
      <c r="A65" s="156" t="s">
        <v>4</v>
      </c>
      <c r="B65" s="157"/>
      <c r="C65" s="157"/>
      <c r="D65" s="157"/>
      <c r="E65" s="157"/>
      <c r="F65" s="157"/>
      <c r="G65" s="157"/>
      <c r="H65" s="157"/>
      <c r="I65" s="157"/>
      <c r="J65" s="157"/>
      <c r="K65" s="157"/>
      <c r="L65" s="158" t="s">
        <v>216</v>
      </c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60"/>
      <c r="AC65" s="161">
        <f>AC63+AC64</f>
        <v>0</v>
      </c>
      <c r="AD65" s="161"/>
      <c r="AE65" s="161"/>
      <c r="AF65" s="161"/>
      <c r="AG65" s="161"/>
      <c r="AH65" s="162"/>
    </row>
    <row r="66" spans="1:34" ht="19.5" customHeight="1">
      <c r="A66" s="134"/>
      <c r="B66" s="134"/>
      <c r="C66" s="133"/>
      <c r="D66" s="133"/>
      <c r="E66" s="133"/>
      <c r="F66" s="133"/>
      <c r="G66" s="133"/>
      <c r="H66" s="133"/>
      <c r="I66" s="133"/>
      <c r="J66" s="133"/>
      <c r="K66" s="133"/>
      <c r="L66" s="133"/>
      <c r="M66" s="133"/>
      <c r="N66" s="133"/>
      <c r="O66" s="133"/>
      <c r="P66" s="133"/>
      <c r="Q66" s="133"/>
      <c r="R66" s="133"/>
      <c r="S66" s="133"/>
      <c r="T66" s="133"/>
      <c r="U66" s="133"/>
      <c r="V66" s="133"/>
      <c r="W66" s="133"/>
      <c r="X66" s="133"/>
      <c r="Y66" s="133"/>
      <c r="Z66" s="133"/>
      <c r="AA66" s="133"/>
      <c r="AB66" s="133"/>
      <c r="AC66" s="133"/>
      <c r="AD66" s="133"/>
      <c r="AE66" s="133"/>
      <c r="AF66" s="133"/>
      <c r="AG66" s="133"/>
      <c r="AH66" s="133"/>
    </row>
    <row r="67" spans="1:34" ht="19.5" customHeight="1">
      <c r="A67" s="116"/>
      <c r="B67" s="110" t="s">
        <v>243</v>
      </c>
      <c r="C67" s="116"/>
      <c r="D67" s="116"/>
      <c r="E67" s="116"/>
      <c r="F67" s="116"/>
      <c r="G67" s="116"/>
      <c r="H67" s="116"/>
      <c r="I67" s="132"/>
      <c r="J67" s="132"/>
      <c r="K67" s="117"/>
      <c r="L67" s="117"/>
      <c r="M67" s="117"/>
      <c r="N67" s="132"/>
      <c r="O67" s="132"/>
      <c r="P67" s="118"/>
      <c r="Q67" s="116"/>
      <c r="R67" s="116"/>
      <c r="S67" s="116"/>
      <c r="T67" s="116"/>
      <c r="Z67" s="115"/>
      <c r="AA67" s="115"/>
      <c r="AB67" s="115"/>
      <c r="AC67" s="115"/>
      <c r="AD67" s="115"/>
      <c r="AE67" s="115"/>
      <c r="AF67" s="115"/>
    </row>
    <row r="68" spans="1:34" ht="19.5" customHeight="1">
      <c r="A68" s="116"/>
      <c r="B68" s="154" t="s">
        <v>244</v>
      </c>
      <c r="C68" s="154"/>
      <c r="D68" s="154"/>
      <c r="E68" s="154"/>
      <c r="F68" s="154"/>
      <c r="G68" s="154"/>
      <c r="H68" s="154"/>
      <c r="I68" s="114"/>
      <c r="K68" s="155" t="s">
        <v>245</v>
      </c>
      <c r="L68" s="155"/>
      <c r="M68" s="155"/>
      <c r="N68" s="155"/>
      <c r="O68" s="155"/>
      <c r="P68" s="155"/>
      <c r="Q68" s="155"/>
      <c r="R68" s="126"/>
      <c r="S68" s="126"/>
      <c r="T68" s="155" t="s">
        <v>246</v>
      </c>
      <c r="U68" s="155"/>
      <c r="V68" s="155"/>
      <c r="W68" s="155"/>
      <c r="X68" s="155"/>
      <c r="Y68" s="155"/>
      <c r="Z68" s="155"/>
      <c r="AA68" s="126"/>
      <c r="AB68" s="126"/>
      <c r="AC68" s="126"/>
      <c r="AD68" s="126"/>
      <c r="AE68" s="126"/>
      <c r="AF68" s="126"/>
    </row>
    <row r="69" spans="1:34" ht="19.5" customHeight="1">
      <c r="A69" s="116"/>
      <c r="B69" s="135">
        <f>AC59</f>
        <v>0</v>
      </c>
      <c r="C69" s="135"/>
      <c r="D69" s="135"/>
      <c r="E69" s="135"/>
      <c r="F69" s="135"/>
      <c r="G69" s="135"/>
      <c r="H69" s="135"/>
      <c r="I69" s="127"/>
      <c r="J69" s="127"/>
      <c r="K69" s="135">
        <v>1500000</v>
      </c>
      <c r="L69" s="135"/>
      <c r="M69" s="135"/>
      <c r="N69" s="135"/>
      <c r="O69" s="135"/>
      <c r="P69" s="135"/>
      <c r="Q69" s="135"/>
      <c r="R69" s="128"/>
      <c r="S69" s="128"/>
      <c r="T69" s="135">
        <f>ROUNDDOWN(AC36*1/2,0)</f>
        <v>0</v>
      </c>
      <c r="U69" s="135"/>
      <c r="V69" s="135"/>
      <c r="W69" s="135"/>
      <c r="X69" s="135"/>
      <c r="Y69" s="135"/>
      <c r="Z69" s="135"/>
      <c r="AA69" s="129"/>
      <c r="AB69" s="129"/>
      <c r="AC69" s="129"/>
      <c r="AD69" s="129"/>
      <c r="AE69" s="129"/>
      <c r="AF69" s="129"/>
    </row>
    <row r="70" spans="1:34" ht="19.5" customHeight="1">
      <c r="A70" s="116"/>
      <c r="B70" s="135"/>
      <c r="C70" s="135"/>
      <c r="D70" s="135"/>
      <c r="E70" s="135"/>
      <c r="F70" s="135"/>
      <c r="G70" s="135"/>
      <c r="H70" s="135"/>
      <c r="I70" s="127"/>
      <c r="J70" s="127"/>
      <c r="K70" s="135"/>
      <c r="L70" s="135"/>
      <c r="M70" s="135"/>
      <c r="N70" s="135"/>
      <c r="O70" s="135"/>
      <c r="P70" s="135"/>
      <c r="Q70" s="135"/>
      <c r="R70" s="128"/>
      <c r="S70" s="128"/>
      <c r="T70" s="135"/>
      <c r="U70" s="135"/>
      <c r="V70" s="135"/>
      <c r="W70" s="135"/>
      <c r="X70" s="135"/>
      <c r="Y70" s="135"/>
      <c r="Z70" s="135"/>
      <c r="AA70" s="129"/>
      <c r="AB70" s="129"/>
      <c r="AC70" s="129"/>
      <c r="AD70" s="129"/>
      <c r="AE70" s="129"/>
      <c r="AF70" s="129"/>
    </row>
    <row r="71" spans="1:34" ht="19.5" customHeight="1">
      <c r="A71" s="116"/>
      <c r="B71" s="116"/>
      <c r="C71" s="116"/>
      <c r="D71" s="116"/>
      <c r="E71" s="116"/>
      <c r="F71" s="116"/>
      <c r="G71" s="116"/>
      <c r="H71" s="116"/>
      <c r="I71" s="132"/>
      <c r="J71" s="132"/>
      <c r="K71" s="117"/>
      <c r="L71" s="117"/>
      <c r="M71" s="117"/>
      <c r="N71" s="132"/>
      <c r="O71" s="132"/>
      <c r="P71" s="118"/>
      <c r="Q71" s="116"/>
      <c r="R71" s="116"/>
      <c r="S71" s="116"/>
      <c r="T71" s="118" t="s">
        <v>247</v>
      </c>
      <c r="Z71" s="115"/>
      <c r="AA71" s="115"/>
      <c r="AB71" s="115"/>
      <c r="AC71" s="115"/>
      <c r="AD71" s="115"/>
      <c r="AE71" s="115"/>
      <c r="AF71" s="115"/>
    </row>
    <row r="72" spans="1:34" ht="19.5" customHeight="1">
      <c r="A72" s="116"/>
      <c r="B72" s="130"/>
      <c r="C72" s="116"/>
      <c r="D72" s="116"/>
      <c r="E72" s="116"/>
      <c r="F72" s="116"/>
      <c r="G72" s="116"/>
      <c r="H72" s="116"/>
      <c r="I72" s="132"/>
      <c r="J72" s="132"/>
      <c r="K72" s="117"/>
      <c r="L72" s="117"/>
      <c r="M72" s="117"/>
      <c r="N72" s="132"/>
      <c r="O72" s="132"/>
      <c r="P72" s="118"/>
      <c r="Q72" s="116"/>
      <c r="R72" s="116"/>
      <c r="S72" s="116"/>
      <c r="T72" s="118" t="s">
        <v>248</v>
      </c>
      <c r="Z72" s="115"/>
      <c r="AA72" s="115"/>
      <c r="AB72" s="115"/>
      <c r="AC72" s="115"/>
      <c r="AD72" s="115"/>
      <c r="AE72" s="115"/>
      <c r="AF72" s="115"/>
    </row>
    <row r="73" spans="1:34" ht="19.5" customHeight="1">
      <c r="A73" s="134"/>
      <c r="B73" s="154" t="s">
        <v>249</v>
      </c>
      <c r="C73" s="154"/>
      <c r="D73" s="154"/>
      <c r="E73" s="154"/>
      <c r="F73" s="154"/>
      <c r="G73" s="154"/>
      <c r="H73" s="154"/>
      <c r="I73" s="133"/>
      <c r="J73" s="133"/>
      <c r="K73" s="133"/>
      <c r="L73" s="133"/>
      <c r="M73" s="133"/>
      <c r="N73" s="133"/>
      <c r="O73" s="133"/>
      <c r="P73" s="133"/>
      <c r="Q73" s="133"/>
      <c r="R73" s="133"/>
      <c r="S73" s="133"/>
      <c r="T73" s="133"/>
      <c r="U73" s="133"/>
      <c r="V73" s="133"/>
      <c r="W73" s="133"/>
      <c r="X73" s="133"/>
      <c r="Y73" s="133"/>
      <c r="Z73" s="133"/>
      <c r="AA73" s="133"/>
      <c r="AB73" s="133"/>
      <c r="AC73" s="133"/>
      <c r="AD73" s="133"/>
      <c r="AE73" s="133"/>
      <c r="AF73" s="133"/>
      <c r="AG73" s="133"/>
      <c r="AH73" s="133"/>
    </row>
    <row r="74" spans="1:34" ht="19.5" customHeight="1">
      <c r="A74" s="134"/>
      <c r="B74" s="135">
        <f>MIN(B69,K69,T69)</f>
        <v>0</v>
      </c>
      <c r="C74" s="135"/>
      <c r="D74" s="135"/>
      <c r="E74" s="135"/>
      <c r="F74" s="135"/>
      <c r="G74" s="135"/>
      <c r="H74" s="135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33"/>
    </row>
    <row r="75" spans="1:34" ht="19.5" customHeight="1">
      <c r="A75" s="134"/>
      <c r="B75" s="135"/>
      <c r="C75" s="135"/>
      <c r="D75" s="135"/>
      <c r="E75" s="135"/>
      <c r="F75" s="135"/>
      <c r="G75" s="135"/>
      <c r="H75" s="135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</row>
    <row r="76" spans="1:34" ht="19.5" customHeight="1">
      <c r="A76" s="134"/>
      <c r="B76" s="131" t="s">
        <v>250</v>
      </c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</row>
    <row r="77" spans="1:34" ht="19.5" customHeight="1">
      <c r="A77" s="134"/>
      <c r="B77" s="134"/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</row>
    <row r="78" spans="1:34" ht="19.5" customHeight="1">
      <c r="A78" s="111" t="s">
        <v>251</v>
      </c>
      <c r="D78" s="113"/>
    </row>
    <row r="79" spans="1:34" ht="19.5" customHeight="1">
      <c r="B79" s="154" t="s">
        <v>218</v>
      </c>
      <c r="C79" s="154"/>
      <c r="D79" s="154"/>
      <c r="E79" s="154"/>
      <c r="F79" s="154"/>
      <c r="G79" s="154"/>
      <c r="H79" s="154"/>
      <c r="I79" s="114"/>
      <c r="K79" s="155" t="s">
        <v>219</v>
      </c>
      <c r="L79" s="155"/>
      <c r="M79" s="155"/>
      <c r="P79" s="155" t="s">
        <v>220</v>
      </c>
      <c r="Q79" s="155"/>
      <c r="R79" s="155"/>
      <c r="S79" s="155"/>
      <c r="T79" s="155"/>
      <c r="U79" s="155"/>
      <c r="V79" s="155"/>
      <c r="Y79" s="115"/>
      <c r="Z79" s="155" t="s">
        <v>252</v>
      </c>
      <c r="AA79" s="155"/>
      <c r="AB79" s="155"/>
      <c r="AC79" s="155"/>
      <c r="AD79" s="155"/>
      <c r="AE79" s="155"/>
      <c r="AF79" s="155"/>
    </row>
    <row r="80" spans="1:34" ht="19.5" customHeight="1">
      <c r="B80" s="135">
        <f>AC13+AC36+B74</f>
        <v>0</v>
      </c>
      <c r="C80" s="135"/>
      <c r="D80" s="135"/>
      <c r="E80" s="135"/>
      <c r="F80" s="135"/>
      <c r="G80" s="135"/>
      <c r="H80" s="135"/>
      <c r="I80" s="145" t="s">
        <v>221</v>
      </c>
      <c r="J80" s="145"/>
      <c r="K80" s="146">
        <v>0.5</v>
      </c>
      <c r="L80" s="146"/>
      <c r="M80" s="146"/>
      <c r="N80" s="147" t="s">
        <v>7</v>
      </c>
      <c r="O80" s="148"/>
      <c r="P80" s="149">
        <f>ROUNDDOWN(B80*1/2,-4)</f>
        <v>0</v>
      </c>
      <c r="Q80" s="149"/>
      <c r="R80" s="149"/>
      <c r="S80" s="149"/>
      <c r="T80" s="149"/>
      <c r="U80" s="149"/>
      <c r="V80" s="150"/>
      <c r="W80" s="151" t="s">
        <v>253</v>
      </c>
      <c r="X80" s="152"/>
      <c r="Y80" s="153"/>
      <c r="Z80" s="135">
        <v>10000000</v>
      </c>
      <c r="AA80" s="135"/>
      <c r="AB80" s="135"/>
      <c r="AC80" s="135"/>
      <c r="AD80" s="135"/>
      <c r="AE80" s="135"/>
      <c r="AF80" s="135"/>
    </row>
    <row r="81" spans="1:32" ht="19.5" customHeight="1">
      <c r="B81" s="135"/>
      <c r="C81" s="135"/>
      <c r="D81" s="135"/>
      <c r="E81" s="135"/>
      <c r="F81" s="135"/>
      <c r="G81" s="135"/>
      <c r="H81" s="135"/>
      <c r="I81" s="145"/>
      <c r="J81" s="145"/>
      <c r="K81" s="146"/>
      <c r="L81" s="146"/>
      <c r="M81" s="146"/>
      <c r="N81" s="147"/>
      <c r="O81" s="148"/>
      <c r="P81" s="149"/>
      <c r="Q81" s="149"/>
      <c r="R81" s="149"/>
      <c r="S81" s="149"/>
      <c r="T81" s="149"/>
      <c r="U81" s="149"/>
      <c r="V81" s="150"/>
      <c r="W81" s="151"/>
      <c r="X81" s="152"/>
      <c r="Y81" s="153"/>
      <c r="Z81" s="135"/>
      <c r="AA81" s="135"/>
      <c r="AB81" s="135"/>
      <c r="AC81" s="135"/>
      <c r="AD81" s="135"/>
      <c r="AE81" s="135"/>
      <c r="AF81" s="135"/>
    </row>
    <row r="82" spans="1:32" ht="19.5" customHeight="1">
      <c r="A82" s="116"/>
      <c r="B82" s="116"/>
      <c r="C82" s="116"/>
      <c r="D82" s="116"/>
      <c r="E82" s="116"/>
      <c r="F82" s="116"/>
      <c r="G82" s="116"/>
      <c r="H82" s="116"/>
      <c r="I82" s="132"/>
      <c r="J82" s="132"/>
      <c r="K82" s="117"/>
      <c r="L82" s="117"/>
      <c r="M82" s="117"/>
      <c r="N82" s="132"/>
      <c r="O82" s="132"/>
      <c r="P82" s="118" t="s">
        <v>222</v>
      </c>
      <c r="Q82" s="116"/>
      <c r="R82" s="116"/>
      <c r="S82" s="116"/>
      <c r="T82" s="116"/>
      <c r="Z82" s="115"/>
      <c r="AA82" s="115"/>
      <c r="AB82" s="115"/>
      <c r="AC82" s="115"/>
      <c r="AD82" s="115"/>
      <c r="AE82" s="115"/>
      <c r="AF82" s="115"/>
    </row>
    <row r="83" spans="1:32" ht="19.5" customHeight="1">
      <c r="A83" s="116"/>
      <c r="B83" s="116"/>
      <c r="C83" s="116"/>
      <c r="D83" s="116"/>
      <c r="E83" s="116"/>
      <c r="F83" s="116"/>
      <c r="G83" s="116"/>
      <c r="H83" s="116"/>
      <c r="I83" s="132"/>
      <c r="J83" s="132"/>
      <c r="K83" s="117"/>
      <c r="L83" s="117"/>
      <c r="M83" s="117"/>
      <c r="N83" s="132"/>
      <c r="O83" s="132"/>
      <c r="P83" s="118"/>
      <c r="Q83" s="116"/>
      <c r="R83" s="116"/>
      <c r="S83" s="116"/>
      <c r="T83" s="116"/>
      <c r="Z83" s="115"/>
      <c r="AA83" s="115"/>
      <c r="AB83" s="115"/>
      <c r="AC83" s="115"/>
      <c r="AD83" s="115"/>
      <c r="AE83" s="115"/>
      <c r="AF83" s="115"/>
    </row>
    <row r="84" spans="1:32" ht="19.5" customHeight="1" thickBot="1">
      <c r="A84" s="116"/>
      <c r="B84" s="116"/>
      <c r="C84" s="116"/>
      <c r="D84" s="116"/>
      <c r="E84" s="116"/>
      <c r="F84" s="116"/>
      <c r="G84" s="116"/>
      <c r="H84" s="116"/>
      <c r="I84" s="132"/>
      <c r="J84" s="132"/>
      <c r="K84" s="117"/>
      <c r="L84" s="117"/>
      <c r="M84" s="117"/>
      <c r="N84" s="132"/>
      <c r="O84" s="132"/>
      <c r="P84" s="118"/>
      <c r="Q84" s="116"/>
      <c r="R84" s="116"/>
      <c r="S84" s="116"/>
      <c r="T84" s="116"/>
      <c r="Z84" s="115"/>
      <c r="AA84" s="115"/>
      <c r="AB84" s="115"/>
      <c r="AC84" s="115"/>
      <c r="AD84" s="115"/>
      <c r="AE84" s="115"/>
      <c r="AF84" s="115"/>
    </row>
    <row r="85" spans="1:32" ht="19.5" customHeight="1">
      <c r="C85" s="119"/>
      <c r="D85" s="119"/>
      <c r="E85" s="119"/>
      <c r="F85" s="115"/>
      <c r="G85" s="115"/>
      <c r="H85" s="115"/>
      <c r="I85" s="115"/>
      <c r="J85" s="115"/>
      <c r="K85" s="115"/>
      <c r="L85" s="115"/>
      <c r="M85" s="115"/>
      <c r="N85" s="115"/>
      <c r="O85" s="115"/>
      <c r="P85" s="119"/>
      <c r="Q85" s="119"/>
      <c r="R85" s="118"/>
      <c r="S85" s="116"/>
      <c r="T85" s="116"/>
      <c r="U85" s="116"/>
      <c r="V85" s="116"/>
      <c r="W85" s="116"/>
      <c r="X85" s="116"/>
      <c r="Y85" s="116"/>
      <c r="Z85" s="136" t="s">
        <v>230</v>
      </c>
      <c r="AA85" s="137"/>
      <c r="AB85" s="137"/>
      <c r="AC85" s="137"/>
      <c r="AD85" s="137"/>
      <c r="AE85" s="137"/>
      <c r="AF85" s="138"/>
    </row>
    <row r="86" spans="1:32" ht="19.5" customHeight="1">
      <c r="A86" s="116"/>
      <c r="B86" s="116"/>
      <c r="C86" s="116"/>
      <c r="D86" s="116"/>
      <c r="E86" s="116"/>
      <c r="F86" s="116"/>
      <c r="G86" s="116"/>
      <c r="H86" s="116"/>
      <c r="I86" s="132"/>
      <c r="J86" s="132"/>
      <c r="K86" s="117"/>
      <c r="L86" s="117"/>
      <c r="M86" s="117"/>
      <c r="N86" s="132"/>
      <c r="O86" s="132"/>
      <c r="P86" s="118"/>
      <c r="Q86" s="116"/>
      <c r="R86" s="116"/>
      <c r="S86" s="116"/>
      <c r="T86" s="116"/>
      <c r="Z86" s="139">
        <f>IF(P80&lt;10000000,P80,10000000)</f>
        <v>0</v>
      </c>
      <c r="AA86" s="140"/>
      <c r="AB86" s="140"/>
      <c r="AC86" s="140"/>
      <c r="AD86" s="140"/>
      <c r="AE86" s="140"/>
      <c r="AF86" s="141"/>
    </row>
    <row r="87" spans="1:32" ht="19.5" customHeight="1" thickBot="1">
      <c r="A87" s="116"/>
      <c r="B87" s="116"/>
      <c r="C87" s="116"/>
      <c r="D87" s="116"/>
      <c r="E87" s="116"/>
      <c r="F87" s="116"/>
      <c r="G87" s="116"/>
      <c r="H87" s="116"/>
      <c r="I87" s="132"/>
      <c r="J87" s="132"/>
      <c r="K87" s="117"/>
      <c r="L87" s="117"/>
      <c r="M87" s="117"/>
      <c r="N87" s="132"/>
      <c r="O87" s="132"/>
      <c r="P87" s="118"/>
      <c r="Q87" s="116"/>
      <c r="R87" s="116"/>
      <c r="S87" s="116"/>
      <c r="T87" s="116"/>
      <c r="U87" s="120"/>
      <c r="V87" s="120"/>
      <c r="W87" s="121"/>
      <c r="X87" s="121"/>
      <c r="Y87" s="121"/>
      <c r="Z87" s="142"/>
      <c r="AA87" s="143"/>
      <c r="AB87" s="143"/>
      <c r="AC87" s="143"/>
      <c r="AD87" s="143"/>
      <c r="AE87" s="143"/>
      <c r="AF87" s="144"/>
    </row>
    <row r="88" spans="1:32" ht="19.5" customHeight="1">
      <c r="U88" s="120"/>
      <c r="V88" s="120"/>
      <c r="W88" s="121"/>
      <c r="X88" s="121"/>
      <c r="Y88" s="121"/>
      <c r="Z88" s="115"/>
      <c r="AA88" s="115"/>
      <c r="AB88" s="115"/>
      <c r="AC88" s="115"/>
      <c r="AD88" s="115"/>
      <c r="AE88" s="115"/>
      <c r="AF88" s="115"/>
    </row>
  </sheetData>
  <sheetProtection algorithmName="SHA-512" hashValue="brbXxAd/BLT4CWXuuYHmfcRssNjGn5+Uz6HNNouRTk0GJKQXEOwH+KY7uRuPhvuxWN+TOt5jE8ZczZpzwiz2qA==" saltValue="AThUyV+iywE7fh2mB4N0Vg==" spinCount="100000" sheet="1" formatCells="0"/>
  <mergeCells count="290">
    <mergeCell ref="A5:AH5"/>
    <mergeCell ref="A6:K6"/>
    <mergeCell ref="L6:P6"/>
    <mergeCell ref="Q6:R6"/>
    <mergeCell ref="S6:W6"/>
    <mergeCell ref="X6:AB6"/>
    <mergeCell ref="AC6:AH6"/>
    <mergeCell ref="A3:K4"/>
    <mergeCell ref="L3:W3"/>
    <mergeCell ref="X3:AB4"/>
    <mergeCell ref="AC3:AH4"/>
    <mergeCell ref="L4:P4"/>
    <mergeCell ref="Q4:R4"/>
    <mergeCell ref="S4:W4"/>
    <mergeCell ref="A8:K8"/>
    <mergeCell ref="L8:P8"/>
    <mergeCell ref="Q8:R8"/>
    <mergeCell ref="S8:W8"/>
    <mergeCell ref="X8:AB8"/>
    <mergeCell ref="AC8:AH8"/>
    <mergeCell ref="A7:K7"/>
    <mergeCell ref="L7:P7"/>
    <mergeCell ref="Q7:R7"/>
    <mergeCell ref="S7:W7"/>
    <mergeCell ref="X7:AB7"/>
    <mergeCell ref="AC7:AH7"/>
    <mergeCell ref="A10:K10"/>
    <mergeCell ref="L10:P10"/>
    <mergeCell ref="Q10:R10"/>
    <mergeCell ref="S10:W10"/>
    <mergeCell ref="X10:AB10"/>
    <mergeCell ref="AC10:AH10"/>
    <mergeCell ref="A9:K9"/>
    <mergeCell ref="L9:P9"/>
    <mergeCell ref="Q9:R9"/>
    <mergeCell ref="S9:W9"/>
    <mergeCell ref="X9:AB9"/>
    <mergeCell ref="AC9:AH9"/>
    <mergeCell ref="A12:K12"/>
    <mergeCell ref="L12:P12"/>
    <mergeCell ref="Q12:R12"/>
    <mergeCell ref="S12:W12"/>
    <mergeCell ref="X12:AB12"/>
    <mergeCell ref="AC12:AH12"/>
    <mergeCell ref="A11:K11"/>
    <mergeCell ref="L11:P11"/>
    <mergeCell ref="Q11:R11"/>
    <mergeCell ref="S11:W11"/>
    <mergeCell ref="X11:AB11"/>
    <mergeCell ref="AC11:AH11"/>
    <mergeCell ref="A14:AH14"/>
    <mergeCell ref="A15:K15"/>
    <mergeCell ref="L15:P15"/>
    <mergeCell ref="Q15:R15"/>
    <mergeCell ref="S15:W15"/>
    <mergeCell ref="X15:AB15"/>
    <mergeCell ref="AC15:AH15"/>
    <mergeCell ref="A13:K13"/>
    <mergeCell ref="L13:P13"/>
    <mergeCell ref="Q13:R13"/>
    <mergeCell ref="S13:W13"/>
    <mergeCell ref="X13:AB13"/>
    <mergeCell ref="AC13:AH13"/>
    <mergeCell ref="A17:K17"/>
    <mergeCell ref="L17:P17"/>
    <mergeCell ref="Q17:R17"/>
    <mergeCell ref="S17:W17"/>
    <mergeCell ref="X17:AB17"/>
    <mergeCell ref="AC17:AH17"/>
    <mergeCell ref="A16:K16"/>
    <mergeCell ref="L16:P16"/>
    <mergeCell ref="Q16:R16"/>
    <mergeCell ref="S16:W16"/>
    <mergeCell ref="X16:AB16"/>
    <mergeCell ref="AC16:AH16"/>
    <mergeCell ref="A19:K19"/>
    <mergeCell ref="L19:P19"/>
    <mergeCell ref="Q19:R19"/>
    <mergeCell ref="S19:W19"/>
    <mergeCell ref="X19:AB19"/>
    <mergeCell ref="AC19:AH19"/>
    <mergeCell ref="A18:K18"/>
    <mergeCell ref="L18:P18"/>
    <mergeCell ref="Q18:R18"/>
    <mergeCell ref="S18:W18"/>
    <mergeCell ref="X18:AB18"/>
    <mergeCell ref="AC18:AH18"/>
    <mergeCell ref="A21:K21"/>
    <mergeCell ref="L21:P21"/>
    <mergeCell ref="Q21:R21"/>
    <mergeCell ref="S21:W21"/>
    <mergeCell ref="X21:AB21"/>
    <mergeCell ref="AC21:AH21"/>
    <mergeCell ref="A20:K20"/>
    <mergeCell ref="L20:P20"/>
    <mergeCell ref="Q20:R20"/>
    <mergeCell ref="S20:W20"/>
    <mergeCell ref="X20:AB20"/>
    <mergeCell ref="AC20:AH20"/>
    <mergeCell ref="A23:K23"/>
    <mergeCell ref="L23:AB23"/>
    <mergeCell ref="AC23:AH23"/>
    <mergeCell ref="A24:K24"/>
    <mergeCell ref="L24:AB24"/>
    <mergeCell ref="AC24:AH24"/>
    <mergeCell ref="A22:K22"/>
    <mergeCell ref="L22:P22"/>
    <mergeCell ref="Q22:R22"/>
    <mergeCell ref="S22:W22"/>
    <mergeCell ref="X22:AB22"/>
    <mergeCell ref="AC22:AH22"/>
    <mergeCell ref="A29:AH29"/>
    <mergeCell ref="A30:K30"/>
    <mergeCell ref="L30:P30"/>
    <mergeCell ref="Q30:R30"/>
    <mergeCell ref="S30:W30"/>
    <mergeCell ref="X30:AB30"/>
    <mergeCell ref="AC30:AH30"/>
    <mergeCell ref="A25:K25"/>
    <mergeCell ref="L25:AB25"/>
    <mergeCell ref="AC25:AH25"/>
    <mergeCell ref="A27:K28"/>
    <mergeCell ref="L27:W27"/>
    <mergeCell ref="X27:AB28"/>
    <mergeCell ref="AC27:AH28"/>
    <mergeCell ref="L28:P28"/>
    <mergeCell ref="Q28:R28"/>
    <mergeCell ref="S28:W28"/>
    <mergeCell ref="A32:K32"/>
    <mergeCell ref="L32:P32"/>
    <mergeCell ref="Q32:R32"/>
    <mergeCell ref="S32:W32"/>
    <mergeCell ref="X32:AB32"/>
    <mergeCell ref="AC32:AH32"/>
    <mergeCell ref="A31:K31"/>
    <mergeCell ref="L31:P31"/>
    <mergeCell ref="Q31:R31"/>
    <mergeCell ref="S31:W31"/>
    <mergeCell ref="X31:AB31"/>
    <mergeCell ref="AC31:AH31"/>
    <mergeCell ref="A34:K34"/>
    <mergeCell ref="L34:P34"/>
    <mergeCell ref="Q34:R34"/>
    <mergeCell ref="S34:W34"/>
    <mergeCell ref="X34:AB34"/>
    <mergeCell ref="AC34:AH34"/>
    <mergeCell ref="A33:K33"/>
    <mergeCell ref="L33:P33"/>
    <mergeCell ref="Q33:R33"/>
    <mergeCell ref="S33:W33"/>
    <mergeCell ref="X33:AB33"/>
    <mergeCell ref="AC33:AH33"/>
    <mergeCell ref="A36:K36"/>
    <mergeCell ref="L36:P36"/>
    <mergeCell ref="Q36:R36"/>
    <mergeCell ref="S36:W36"/>
    <mergeCell ref="X36:AB36"/>
    <mergeCell ref="AC36:AH36"/>
    <mergeCell ref="A35:K35"/>
    <mergeCell ref="L35:P35"/>
    <mergeCell ref="Q35:R35"/>
    <mergeCell ref="S35:W35"/>
    <mergeCell ref="X35:AB35"/>
    <mergeCell ref="AC35:AH35"/>
    <mergeCell ref="A39:K39"/>
    <mergeCell ref="L39:P39"/>
    <mergeCell ref="Q39:R39"/>
    <mergeCell ref="S39:W39"/>
    <mergeCell ref="X39:AB39"/>
    <mergeCell ref="AC39:AH39"/>
    <mergeCell ref="A37:AH37"/>
    <mergeCell ref="A38:K38"/>
    <mergeCell ref="L38:P38"/>
    <mergeCell ref="Q38:R38"/>
    <mergeCell ref="S38:W38"/>
    <mergeCell ref="X38:AB38"/>
    <mergeCell ref="AC38:AH38"/>
    <mergeCell ref="A41:K41"/>
    <mergeCell ref="L41:P41"/>
    <mergeCell ref="Q41:R41"/>
    <mergeCell ref="S41:W41"/>
    <mergeCell ref="X41:AB41"/>
    <mergeCell ref="AC41:AH41"/>
    <mergeCell ref="A40:K40"/>
    <mergeCell ref="L40:P40"/>
    <mergeCell ref="Q40:R40"/>
    <mergeCell ref="S40:W40"/>
    <mergeCell ref="X40:AB40"/>
    <mergeCell ref="AC40:AH40"/>
    <mergeCell ref="A43:K43"/>
    <mergeCell ref="L43:P43"/>
    <mergeCell ref="Q43:R43"/>
    <mergeCell ref="S43:W43"/>
    <mergeCell ref="X43:AB43"/>
    <mergeCell ref="AC43:AH43"/>
    <mergeCell ref="A42:K42"/>
    <mergeCell ref="L42:P42"/>
    <mergeCell ref="Q42:R42"/>
    <mergeCell ref="S42:W42"/>
    <mergeCell ref="X42:AB42"/>
    <mergeCell ref="AC42:AH42"/>
    <mergeCell ref="A46:K46"/>
    <mergeCell ref="L46:AB46"/>
    <mergeCell ref="AC46:AH46"/>
    <mergeCell ref="A47:B47"/>
    <mergeCell ref="C47:AH47"/>
    <mergeCell ref="C48:AH48"/>
    <mergeCell ref="A44:K44"/>
    <mergeCell ref="L44:AB44"/>
    <mergeCell ref="AC44:AH44"/>
    <mergeCell ref="A45:K45"/>
    <mergeCell ref="L45:AB45"/>
    <mergeCell ref="AC45:AH45"/>
    <mergeCell ref="C49:AH49"/>
    <mergeCell ref="C50:AH50"/>
    <mergeCell ref="A53:K54"/>
    <mergeCell ref="L53:W53"/>
    <mergeCell ref="X53:AB54"/>
    <mergeCell ref="AC53:AH54"/>
    <mergeCell ref="L54:P54"/>
    <mergeCell ref="Q54:R54"/>
    <mergeCell ref="S54:W54"/>
    <mergeCell ref="A57:K57"/>
    <mergeCell ref="L57:P57"/>
    <mergeCell ref="Q57:R57"/>
    <mergeCell ref="S57:W57"/>
    <mergeCell ref="X57:AB57"/>
    <mergeCell ref="AC57:AH57"/>
    <mergeCell ref="A55:AH55"/>
    <mergeCell ref="A56:K56"/>
    <mergeCell ref="L56:P56"/>
    <mergeCell ref="Q56:R56"/>
    <mergeCell ref="S56:W56"/>
    <mergeCell ref="X56:AB56"/>
    <mergeCell ref="AC56:AH56"/>
    <mergeCell ref="A59:K59"/>
    <mergeCell ref="L59:P59"/>
    <mergeCell ref="Q59:R59"/>
    <mergeCell ref="S59:W59"/>
    <mergeCell ref="X59:AB59"/>
    <mergeCell ref="AC59:AH59"/>
    <mergeCell ref="A58:K58"/>
    <mergeCell ref="L58:P58"/>
    <mergeCell ref="Q58:R58"/>
    <mergeCell ref="S58:W58"/>
    <mergeCell ref="X58:AB58"/>
    <mergeCell ref="AC58:AH58"/>
    <mergeCell ref="A62:K62"/>
    <mergeCell ref="L62:P62"/>
    <mergeCell ref="Q62:R62"/>
    <mergeCell ref="S62:W62"/>
    <mergeCell ref="X62:AB62"/>
    <mergeCell ref="AC62:AH62"/>
    <mergeCell ref="A60:AH60"/>
    <mergeCell ref="A61:K61"/>
    <mergeCell ref="L61:P61"/>
    <mergeCell ref="Q61:R61"/>
    <mergeCell ref="S61:W61"/>
    <mergeCell ref="X61:AB61"/>
    <mergeCell ref="AC61:AH61"/>
    <mergeCell ref="A65:K65"/>
    <mergeCell ref="L65:AB65"/>
    <mergeCell ref="AC65:AH65"/>
    <mergeCell ref="B68:H68"/>
    <mergeCell ref="K68:Q68"/>
    <mergeCell ref="T68:Z68"/>
    <mergeCell ref="A63:K63"/>
    <mergeCell ref="L63:AB63"/>
    <mergeCell ref="AC63:AH63"/>
    <mergeCell ref="A64:K64"/>
    <mergeCell ref="L64:AB64"/>
    <mergeCell ref="AC64:AH64"/>
    <mergeCell ref="B69:H70"/>
    <mergeCell ref="K69:Q70"/>
    <mergeCell ref="T69:Z70"/>
    <mergeCell ref="B73:H73"/>
    <mergeCell ref="B74:H75"/>
    <mergeCell ref="B79:H79"/>
    <mergeCell ref="K79:M79"/>
    <mergeCell ref="P79:V79"/>
    <mergeCell ref="Z79:AF79"/>
    <mergeCell ref="Z80:AF81"/>
    <mergeCell ref="Z85:AF85"/>
    <mergeCell ref="Z86:AF87"/>
    <mergeCell ref="B80:H81"/>
    <mergeCell ref="I80:J81"/>
    <mergeCell ref="K80:M81"/>
    <mergeCell ref="N80:O81"/>
    <mergeCell ref="P80:V81"/>
    <mergeCell ref="W80:Y81"/>
  </mergeCells>
  <phoneticPr fontId="17"/>
  <conditionalFormatting sqref="L15:R21 A19:K21 X15:AB21 X6:AB12 A6:R12">
    <cfRule type="containsBlanks" dxfId="23" priority="3">
      <formula>LEN(TRIM(A6))=0</formula>
    </cfRule>
  </conditionalFormatting>
  <conditionalFormatting sqref="A30:R35 X30:AB35 A38:R42 X38:AB42">
    <cfRule type="containsBlanks" dxfId="22" priority="2">
      <formula>LEN(TRIM(A30))=0</formula>
    </cfRule>
  </conditionalFormatting>
  <conditionalFormatting sqref="A56:K58 X56:AB58 A61:K61 X61:AB61">
    <cfRule type="containsBlanks" dxfId="21" priority="1">
      <formula>LEN(TRIM(A56))=0</formula>
    </cfRule>
  </conditionalFormatting>
  <printOptions horizontalCentered="1"/>
  <pageMargins left="0.70866141732283472" right="0.70866141732283472" top="0.74803149606299213" bottom="0.47244094488188981" header="0.31496062992125984" footer="0.31496062992125984"/>
  <pageSetup paperSize="9" scale="91" fitToWidth="0" fitToHeight="0" orientation="portrait" r:id="rId1"/>
  <rowBreaks count="1" manualBreakCount="1">
    <brk id="51" max="3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.5"/>
  <cols>
    <col min="1" max="35" width="2.625" style="5" customWidth="1"/>
    <col min="36" max="40" width="2.625" style="5" hidden="1" customWidth="1"/>
    <col min="41" max="52" width="9" style="5" hidden="1" customWidth="1"/>
    <col min="53" max="16384" width="9" style="5"/>
  </cols>
  <sheetData>
    <row r="1" spans="1:49">
      <c r="A1" s="281" t="s">
        <v>137</v>
      </c>
      <c r="B1" s="282"/>
      <c r="C1" s="282"/>
      <c r="D1" s="282"/>
      <c r="E1" s="282"/>
      <c r="F1" s="282"/>
      <c r="G1" s="282"/>
      <c r="H1" s="282"/>
      <c r="I1" s="282"/>
      <c r="J1" s="282"/>
      <c r="K1" s="283"/>
      <c r="L1" s="287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9"/>
      <c r="AB1" s="293" t="s">
        <v>21</v>
      </c>
      <c r="AC1" s="294"/>
      <c r="AD1" s="297" t="str">
        <f ca="1">RIGHT(CELL("filename",AI1),LEN(CELL("filename",AI1))-FIND("]",CELL("filename",AI1)))</f>
        <v>ボイラ排出量算定（追加)</v>
      </c>
      <c r="AE1" s="298"/>
      <c r="AF1" s="298"/>
      <c r="AG1" s="298"/>
      <c r="AH1" s="298"/>
      <c r="AI1" s="299"/>
      <c r="AU1" s="5" t="s">
        <v>45</v>
      </c>
      <c r="AV1" s="5">
        <v>1</v>
      </c>
      <c r="AW1" s="30" t="s">
        <v>46</v>
      </c>
    </row>
    <row r="2" spans="1:49">
      <c r="A2" s="284"/>
      <c r="B2" s="285"/>
      <c r="C2" s="285"/>
      <c r="D2" s="285"/>
      <c r="E2" s="285"/>
      <c r="F2" s="285"/>
      <c r="G2" s="285"/>
      <c r="H2" s="285"/>
      <c r="I2" s="285"/>
      <c r="J2" s="285"/>
      <c r="K2" s="286"/>
      <c r="L2" s="290"/>
      <c r="M2" s="291"/>
      <c r="N2" s="291"/>
      <c r="O2" s="291"/>
      <c r="P2" s="291"/>
      <c r="Q2" s="291"/>
      <c r="R2" s="291"/>
      <c r="S2" s="291"/>
      <c r="T2" s="291"/>
      <c r="U2" s="291"/>
      <c r="V2" s="291"/>
      <c r="W2" s="291"/>
      <c r="X2" s="291"/>
      <c r="Y2" s="291"/>
      <c r="Z2" s="291"/>
      <c r="AA2" s="292"/>
      <c r="AB2" s="295"/>
      <c r="AC2" s="296"/>
      <c r="AD2" s="300"/>
      <c r="AE2" s="301"/>
      <c r="AF2" s="301"/>
      <c r="AG2" s="301"/>
      <c r="AH2" s="301"/>
      <c r="AI2" s="302"/>
      <c r="AU2" s="5" t="s">
        <v>47</v>
      </c>
      <c r="AV2" s="5">
        <v>0.995</v>
      </c>
      <c r="AW2" s="30" t="s">
        <v>48</v>
      </c>
    </row>
    <row r="3" spans="1:49" ht="13.5" customHeight="1">
      <c r="A3" s="303" t="s">
        <v>225</v>
      </c>
      <c r="B3" s="304"/>
      <c r="C3" s="304"/>
      <c r="D3" s="304"/>
      <c r="E3" s="304"/>
      <c r="F3" s="304"/>
      <c r="G3" s="304"/>
      <c r="H3" s="304"/>
      <c r="I3" s="307"/>
      <c r="J3" s="307"/>
      <c r="K3" s="307"/>
      <c r="L3" s="308" t="s">
        <v>126</v>
      </c>
      <c r="M3" s="309"/>
      <c r="N3" s="309"/>
      <c r="O3" s="309"/>
      <c r="P3" s="309"/>
      <c r="Q3" s="309"/>
      <c r="R3" s="309"/>
      <c r="S3" s="309"/>
      <c r="T3" s="309"/>
      <c r="U3" s="309"/>
      <c r="V3" s="310"/>
      <c r="W3" s="314"/>
      <c r="X3" s="315"/>
      <c r="Y3" s="315"/>
      <c r="Z3" s="315"/>
      <c r="AA3" s="315"/>
      <c r="AB3" s="315"/>
      <c r="AC3" s="315"/>
      <c r="AD3" s="315"/>
      <c r="AE3" s="315"/>
      <c r="AF3" s="315"/>
      <c r="AG3" s="315"/>
      <c r="AH3" s="315"/>
      <c r="AI3" s="316"/>
      <c r="AU3" s="5" t="s">
        <v>49</v>
      </c>
      <c r="AV3" s="5">
        <v>0.99</v>
      </c>
      <c r="AW3" s="30" t="s">
        <v>50</v>
      </c>
    </row>
    <row r="4" spans="1:49" ht="13.5" customHeight="1">
      <c r="A4" s="305"/>
      <c r="B4" s="306"/>
      <c r="C4" s="306"/>
      <c r="D4" s="306"/>
      <c r="E4" s="306"/>
      <c r="F4" s="306"/>
      <c r="G4" s="306"/>
      <c r="H4" s="306"/>
      <c r="I4" s="307"/>
      <c r="J4" s="307"/>
      <c r="K4" s="307"/>
      <c r="L4" s="311"/>
      <c r="M4" s="312"/>
      <c r="N4" s="312"/>
      <c r="O4" s="312"/>
      <c r="P4" s="312"/>
      <c r="Q4" s="312"/>
      <c r="R4" s="312"/>
      <c r="S4" s="312"/>
      <c r="T4" s="312"/>
      <c r="U4" s="312"/>
      <c r="V4" s="313"/>
      <c r="W4" s="317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9"/>
      <c r="AJ4" s="6"/>
      <c r="AK4" s="9"/>
      <c r="AU4" s="5" t="s">
        <v>51</v>
      </c>
      <c r="AV4" s="5">
        <v>0.98499999999999999</v>
      </c>
      <c r="AW4" s="30" t="s">
        <v>52</v>
      </c>
    </row>
    <row r="5" spans="1:49" ht="13.5" customHeight="1">
      <c r="A5" s="320" t="s">
        <v>2</v>
      </c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1"/>
      <c r="AF5" s="321"/>
      <c r="AG5" s="321"/>
      <c r="AH5" s="321"/>
      <c r="AI5" s="322"/>
      <c r="AJ5" s="6"/>
      <c r="AU5" s="5" t="s">
        <v>59</v>
      </c>
      <c r="AV5" s="5">
        <v>0.98</v>
      </c>
      <c r="AW5" s="30" t="s">
        <v>60</v>
      </c>
    </row>
    <row r="6" spans="1:49" ht="13.5" customHeight="1">
      <c r="A6" s="31" t="s">
        <v>124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107" t="str">
        <f>IF(AQ7=1,"",AO25)</f>
        <v/>
      </c>
      <c r="AJ6" s="6"/>
      <c r="AK6" s="9"/>
      <c r="AU6" s="5" t="s">
        <v>61</v>
      </c>
      <c r="AV6" s="5">
        <v>0.97499999999999998</v>
      </c>
      <c r="AW6" s="30" t="s">
        <v>62</v>
      </c>
    </row>
    <row r="7" spans="1:49" ht="13.5" customHeight="1">
      <c r="A7" s="8"/>
      <c r="B7" s="9" t="s">
        <v>132</v>
      </c>
      <c r="C7" s="9"/>
      <c r="D7" s="9"/>
      <c r="E7" s="9"/>
      <c r="F7" s="33"/>
      <c r="G7" s="33"/>
      <c r="H7" s="33"/>
      <c r="I7" s="10"/>
      <c r="J7" s="9"/>
      <c r="K7" s="10"/>
      <c r="L7" s="10"/>
      <c r="M7" s="33"/>
      <c r="N7" s="10"/>
      <c r="O7" s="10"/>
      <c r="P7" s="10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11"/>
      <c r="AQ7" s="65">
        <v>1</v>
      </c>
      <c r="AU7" s="5" t="s">
        <v>63</v>
      </c>
      <c r="AV7" s="5">
        <v>0.97</v>
      </c>
      <c r="AW7" s="30" t="s">
        <v>64</v>
      </c>
    </row>
    <row r="8" spans="1:49" ht="13.5" customHeight="1">
      <c r="A8" s="8"/>
      <c r="B8" s="9" t="s">
        <v>131</v>
      </c>
      <c r="C8" s="9"/>
      <c r="D8" s="9"/>
      <c r="E8" s="9"/>
      <c r="F8" s="9"/>
      <c r="G8" s="9"/>
      <c r="H8" s="9"/>
      <c r="I8" s="10"/>
      <c r="J8" s="10"/>
      <c r="K8" s="10"/>
      <c r="L8" s="10"/>
      <c r="M8" s="10"/>
      <c r="N8" s="10"/>
      <c r="O8" s="10"/>
      <c r="P8" s="10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1"/>
      <c r="AO8" s="323"/>
      <c r="AP8" s="323"/>
      <c r="AQ8" s="323"/>
      <c r="AU8" s="5" t="s">
        <v>65</v>
      </c>
      <c r="AV8" s="5">
        <v>0.96499999999999997</v>
      </c>
      <c r="AW8" s="30" t="s">
        <v>66</v>
      </c>
    </row>
    <row r="9" spans="1:49" ht="13.5" customHeight="1">
      <c r="A9" s="8"/>
      <c r="B9" s="324"/>
      <c r="C9" s="326" t="s">
        <v>127</v>
      </c>
      <c r="D9" s="326"/>
      <c r="E9" s="326"/>
      <c r="F9" s="326"/>
      <c r="G9" s="326"/>
      <c r="H9" s="326"/>
      <c r="I9" s="327"/>
      <c r="J9" s="330" t="s">
        <v>128</v>
      </c>
      <c r="K9" s="331"/>
      <c r="L9" s="331"/>
      <c r="M9" s="334" t="s">
        <v>130</v>
      </c>
      <c r="N9" s="335"/>
      <c r="O9" s="338" t="s">
        <v>129</v>
      </c>
      <c r="P9" s="338"/>
      <c r="Q9" s="338"/>
      <c r="R9" s="324"/>
      <c r="S9" s="340" t="s">
        <v>127</v>
      </c>
      <c r="T9" s="326"/>
      <c r="U9" s="326"/>
      <c r="V9" s="326"/>
      <c r="W9" s="326"/>
      <c r="X9" s="326"/>
      <c r="Y9" s="327"/>
      <c r="Z9" s="330" t="s">
        <v>128</v>
      </c>
      <c r="AA9" s="331"/>
      <c r="AB9" s="331"/>
      <c r="AC9" s="334" t="s">
        <v>130</v>
      </c>
      <c r="AD9" s="335"/>
      <c r="AE9" s="338" t="s">
        <v>129</v>
      </c>
      <c r="AF9" s="338"/>
      <c r="AG9" s="338"/>
      <c r="AH9" s="34"/>
      <c r="AI9" s="11"/>
      <c r="AU9" s="5" t="s">
        <v>67</v>
      </c>
      <c r="AV9" s="5">
        <v>0.96</v>
      </c>
      <c r="AW9" s="30" t="s">
        <v>22</v>
      </c>
    </row>
    <row r="10" spans="1:49" ht="13.5" customHeight="1">
      <c r="A10" s="8"/>
      <c r="B10" s="325"/>
      <c r="C10" s="328"/>
      <c r="D10" s="328"/>
      <c r="E10" s="328"/>
      <c r="F10" s="328"/>
      <c r="G10" s="328"/>
      <c r="H10" s="328"/>
      <c r="I10" s="329"/>
      <c r="J10" s="332"/>
      <c r="K10" s="333"/>
      <c r="L10" s="333"/>
      <c r="M10" s="336"/>
      <c r="N10" s="337"/>
      <c r="O10" s="339"/>
      <c r="P10" s="339"/>
      <c r="Q10" s="339"/>
      <c r="R10" s="325"/>
      <c r="S10" s="341"/>
      <c r="T10" s="328"/>
      <c r="U10" s="328"/>
      <c r="V10" s="328"/>
      <c r="W10" s="328"/>
      <c r="X10" s="328"/>
      <c r="Y10" s="329"/>
      <c r="Z10" s="332"/>
      <c r="AA10" s="333"/>
      <c r="AB10" s="333"/>
      <c r="AC10" s="342"/>
      <c r="AD10" s="343"/>
      <c r="AE10" s="339"/>
      <c r="AF10" s="339"/>
      <c r="AG10" s="339"/>
      <c r="AH10" s="34"/>
      <c r="AI10" s="11"/>
      <c r="AU10" s="5" t="s">
        <v>68</v>
      </c>
      <c r="AV10" s="5">
        <v>0.95499999999999996</v>
      </c>
    </row>
    <row r="11" spans="1:49" ht="13.5" customHeight="1">
      <c r="A11" s="8"/>
      <c r="B11" s="25">
        <v>1</v>
      </c>
      <c r="C11" s="344"/>
      <c r="D11" s="345"/>
      <c r="E11" s="345"/>
      <c r="F11" s="345"/>
      <c r="G11" s="345"/>
      <c r="H11" s="345"/>
      <c r="I11" s="346"/>
      <c r="J11" s="347"/>
      <c r="K11" s="348"/>
      <c r="L11" s="348"/>
      <c r="M11" s="348"/>
      <c r="N11" s="349"/>
      <c r="O11" s="344"/>
      <c r="P11" s="345"/>
      <c r="Q11" s="346"/>
      <c r="R11" s="24">
        <v>5</v>
      </c>
      <c r="S11" s="344"/>
      <c r="T11" s="345"/>
      <c r="U11" s="345"/>
      <c r="V11" s="345"/>
      <c r="W11" s="345"/>
      <c r="X11" s="345"/>
      <c r="Y11" s="346"/>
      <c r="Z11" s="347"/>
      <c r="AA11" s="348"/>
      <c r="AB11" s="348"/>
      <c r="AC11" s="348"/>
      <c r="AD11" s="349"/>
      <c r="AE11" s="344"/>
      <c r="AF11" s="345"/>
      <c r="AG11" s="346"/>
      <c r="AH11" s="35"/>
      <c r="AI11" s="11"/>
      <c r="AU11" s="5" t="s">
        <v>69</v>
      </c>
      <c r="AV11" s="5">
        <v>0.95</v>
      </c>
    </row>
    <row r="12" spans="1:49" ht="13.5" customHeight="1">
      <c r="A12" s="8"/>
      <c r="B12" s="25">
        <v>2</v>
      </c>
      <c r="C12" s="344"/>
      <c r="D12" s="345"/>
      <c r="E12" s="345"/>
      <c r="F12" s="345"/>
      <c r="G12" s="345"/>
      <c r="H12" s="345"/>
      <c r="I12" s="346"/>
      <c r="J12" s="347"/>
      <c r="K12" s="348"/>
      <c r="L12" s="348"/>
      <c r="M12" s="348"/>
      <c r="N12" s="349"/>
      <c r="O12" s="344"/>
      <c r="P12" s="345"/>
      <c r="Q12" s="346"/>
      <c r="R12" s="24">
        <v>6</v>
      </c>
      <c r="S12" s="344"/>
      <c r="T12" s="345"/>
      <c r="U12" s="345"/>
      <c r="V12" s="345"/>
      <c r="W12" s="345"/>
      <c r="X12" s="345"/>
      <c r="Y12" s="346"/>
      <c r="Z12" s="347"/>
      <c r="AA12" s="348"/>
      <c r="AB12" s="348"/>
      <c r="AC12" s="348"/>
      <c r="AD12" s="349"/>
      <c r="AE12" s="344"/>
      <c r="AF12" s="345"/>
      <c r="AG12" s="346"/>
      <c r="AH12" s="35"/>
      <c r="AI12" s="11"/>
      <c r="AU12" s="5" t="s">
        <v>70</v>
      </c>
      <c r="AV12" s="5">
        <v>0.94499999999999995</v>
      </c>
    </row>
    <row r="13" spans="1:49" ht="13.5" customHeight="1">
      <c r="A13" s="8"/>
      <c r="B13" s="25">
        <v>3</v>
      </c>
      <c r="C13" s="344"/>
      <c r="D13" s="345"/>
      <c r="E13" s="345"/>
      <c r="F13" s="345"/>
      <c r="G13" s="345"/>
      <c r="H13" s="345"/>
      <c r="I13" s="346"/>
      <c r="J13" s="347"/>
      <c r="K13" s="348"/>
      <c r="L13" s="348"/>
      <c r="M13" s="348"/>
      <c r="N13" s="349"/>
      <c r="O13" s="344"/>
      <c r="P13" s="345"/>
      <c r="Q13" s="346"/>
      <c r="R13" s="24">
        <v>7</v>
      </c>
      <c r="S13" s="344"/>
      <c r="T13" s="345"/>
      <c r="U13" s="345"/>
      <c r="V13" s="345"/>
      <c r="W13" s="345"/>
      <c r="X13" s="345"/>
      <c r="Y13" s="346"/>
      <c r="Z13" s="347"/>
      <c r="AA13" s="348"/>
      <c r="AB13" s="348"/>
      <c r="AC13" s="348"/>
      <c r="AD13" s="349"/>
      <c r="AE13" s="344"/>
      <c r="AF13" s="345"/>
      <c r="AG13" s="346"/>
      <c r="AH13" s="35"/>
      <c r="AI13" s="11"/>
      <c r="AU13" s="5" t="s">
        <v>71</v>
      </c>
      <c r="AV13" s="5">
        <v>0.94</v>
      </c>
    </row>
    <row r="14" spans="1:49" ht="13.5" customHeight="1">
      <c r="A14" s="8"/>
      <c r="B14" s="25">
        <v>4</v>
      </c>
      <c r="C14" s="344"/>
      <c r="D14" s="345"/>
      <c r="E14" s="345"/>
      <c r="F14" s="345"/>
      <c r="G14" s="345"/>
      <c r="H14" s="345"/>
      <c r="I14" s="346"/>
      <c r="J14" s="347"/>
      <c r="K14" s="348"/>
      <c r="L14" s="348"/>
      <c r="M14" s="348"/>
      <c r="N14" s="349"/>
      <c r="O14" s="344"/>
      <c r="P14" s="345"/>
      <c r="Q14" s="346"/>
      <c r="R14" s="24">
        <v>8</v>
      </c>
      <c r="S14" s="344"/>
      <c r="T14" s="345"/>
      <c r="U14" s="345"/>
      <c r="V14" s="345"/>
      <c r="W14" s="345"/>
      <c r="X14" s="345"/>
      <c r="Y14" s="346"/>
      <c r="Z14" s="347"/>
      <c r="AA14" s="348"/>
      <c r="AB14" s="348"/>
      <c r="AC14" s="348"/>
      <c r="AD14" s="349"/>
      <c r="AE14" s="344"/>
      <c r="AF14" s="345"/>
      <c r="AG14" s="346"/>
      <c r="AH14" s="35"/>
      <c r="AI14" s="11"/>
      <c r="AU14" s="5" t="s">
        <v>72</v>
      </c>
      <c r="AV14" s="5">
        <v>0.93500000000000005</v>
      </c>
    </row>
    <row r="15" spans="1:49">
      <c r="A15" s="8"/>
      <c r="B15" s="23"/>
      <c r="C15" s="10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11"/>
      <c r="AJ15" s="16"/>
      <c r="AK15" s="9"/>
      <c r="AL15" s="9"/>
      <c r="AU15" s="5" t="s">
        <v>73</v>
      </c>
      <c r="AV15" s="5">
        <v>0.93</v>
      </c>
    </row>
    <row r="16" spans="1:49">
      <c r="A16" s="8"/>
      <c r="B16" s="9" t="s">
        <v>133</v>
      </c>
      <c r="C16" s="9"/>
      <c r="D16" s="9"/>
      <c r="E16" s="9"/>
      <c r="F16" s="9"/>
      <c r="G16" s="9"/>
      <c r="H16" s="9"/>
      <c r="I16" s="10"/>
      <c r="J16" s="10"/>
      <c r="K16" s="10"/>
      <c r="L16" s="10"/>
      <c r="M16" s="10"/>
      <c r="N16" s="10"/>
      <c r="O16" s="10"/>
      <c r="P16" s="10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11"/>
      <c r="AU16" s="5" t="s">
        <v>74</v>
      </c>
      <c r="AV16" s="5">
        <v>0.92500000000000004</v>
      </c>
    </row>
    <row r="17" spans="1:48">
      <c r="A17" s="8"/>
      <c r="B17" s="324"/>
      <c r="C17" s="350" t="s">
        <v>53</v>
      </c>
      <c r="D17" s="351"/>
      <c r="E17" s="351"/>
      <c r="F17" s="351"/>
      <c r="G17" s="351"/>
      <c r="H17" s="351"/>
      <c r="I17" s="351"/>
      <c r="J17" s="352"/>
      <c r="K17" s="350" t="s">
        <v>54</v>
      </c>
      <c r="L17" s="351"/>
      <c r="M17" s="351"/>
      <c r="N17" s="352"/>
      <c r="O17" s="356" t="s">
        <v>55</v>
      </c>
      <c r="P17" s="357"/>
      <c r="Q17" s="340" t="s">
        <v>23</v>
      </c>
      <c r="R17" s="326"/>
      <c r="S17" s="326"/>
      <c r="T17" s="327"/>
      <c r="U17" s="350" t="s">
        <v>24</v>
      </c>
      <c r="V17" s="352"/>
      <c r="W17" s="360" t="s">
        <v>56</v>
      </c>
      <c r="X17" s="361"/>
      <c r="Y17" s="361"/>
      <c r="Z17" s="361"/>
      <c r="AA17" s="361"/>
      <c r="AB17" s="362"/>
      <c r="AC17" s="366" t="s">
        <v>57</v>
      </c>
      <c r="AD17" s="367"/>
      <c r="AE17" s="370" t="s">
        <v>58</v>
      </c>
      <c r="AF17" s="370"/>
      <c r="AG17" s="370"/>
      <c r="AH17" s="370"/>
      <c r="AI17" s="12"/>
      <c r="AJ17" s="16"/>
      <c r="AK17" s="9"/>
      <c r="AU17" s="5" t="s">
        <v>75</v>
      </c>
      <c r="AV17" s="5">
        <v>0.92</v>
      </c>
    </row>
    <row r="18" spans="1:48">
      <c r="A18" s="8"/>
      <c r="B18" s="325"/>
      <c r="C18" s="353"/>
      <c r="D18" s="354"/>
      <c r="E18" s="354"/>
      <c r="F18" s="354"/>
      <c r="G18" s="354"/>
      <c r="H18" s="354"/>
      <c r="I18" s="354"/>
      <c r="J18" s="355"/>
      <c r="K18" s="353"/>
      <c r="L18" s="354"/>
      <c r="M18" s="354"/>
      <c r="N18" s="355"/>
      <c r="O18" s="358"/>
      <c r="P18" s="359"/>
      <c r="Q18" s="341"/>
      <c r="R18" s="328"/>
      <c r="S18" s="328"/>
      <c r="T18" s="329"/>
      <c r="U18" s="353"/>
      <c r="V18" s="355"/>
      <c r="W18" s="363"/>
      <c r="X18" s="364"/>
      <c r="Y18" s="364"/>
      <c r="Z18" s="364"/>
      <c r="AA18" s="364"/>
      <c r="AB18" s="365"/>
      <c r="AC18" s="368"/>
      <c r="AD18" s="369"/>
      <c r="AE18" s="370"/>
      <c r="AF18" s="370"/>
      <c r="AG18" s="370"/>
      <c r="AH18" s="370"/>
      <c r="AI18" s="12"/>
      <c r="AJ18" s="16"/>
      <c r="AK18" s="9"/>
      <c r="AR18" s="5" t="s">
        <v>123</v>
      </c>
      <c r="AU18" s="5" t="s">
        <v>76</v>
      </c>
      <c r="AV18" s="5">
        <v>0.91500000000000004</v>
      </c>
    </row>
    <row r="19" spans="1:48" ht="13.5" customHeight="1">
      <c r="A19" s="35"/>
      <c r="B19" s="24">
        <v>1</v>
      </c>
      <c r="C19" s="344"/>
      <c r="D19" s="345"/>
      <c r="E19" s="345"/>
      <c r="F19" s="345"/>
      <c r="G19" s="345"/>
      <c r="H19" s="345"/>
      <c r="I19" s="345"/>
      <c r="J19" s="346"/>
      <c r="K19" s="375"/>
      <c r="L19" s="376"/>
      <c r="M19" s="376"/>
      <c r="N19" s="377"/>
      <c r="O19" s="378"/>
      <c r="P19" s="379"/>
      <c r="Q19" s="380"/>
      <c r="R19" s="381"/>
      <c r="S19" s="381"/>
      <c r="T19" s="382"/>
      <c r="U19" s="383"/>
      <c r="V19" s="384"/>
      <c r="W19" s="385"/>
      <c r="X19" s="385"/>
      <c r="Y19" s="385"/>
      <c r="Z19" s="386"/>
      <c r="AA19" s="387" t="str">
        <f>IF(Q19="","",VLOOKUP(Q19,$B$71:$Y$80,10,FALSE))</f>
        <v/>
      </c>
      <c r="AB19" s="388"/>
      <c r="AC19" s="371"/>
      <c r="AD19" s="372"/>
      <c r="AE19" s="373" t="str">
        <f>IF(Q19="","",W19*AL19*AP19*44/12)</f>
        <v/>
      </c>
      <c r="AF19" s="373"/>
      <c r="AG19" s="373"/>
      <c r="AH19" s="373"/>
      <c r="AI19" s="36"/>
      <c r="AJ19" s="16"/>
      <c r="AK19" s="9"/>
      <c r="AL19" s="5" t="e">
        <f>VLOOKUP(Q19,$B$71:$Y$80,13,FALSE)</f>
        <v>#N/A</v>
      </c>
      <c r="AM19" s="374" t="e">
        <f>VLOOKUP(Q19,$B$71:$Y$80,17,FALSE)</f>
        <v>#N/A</v>
      </c>
      <c r="AN19" s="374"/>
      <c r="AO19" s="374"/>
      <c r="AP19" s="37" t="e">
        <f>VLOOKUP(Q19,$B$71:$Y$80,21,FALSE)</f>
        <v>#N/A</v>
      </c>
      <c r="AQ19" s="37">
        <f>Q19</f>
        <v>0</v>
      </c>
      <c r="AR19" s="38" t="e">
        <f>IF(W19="","",W19*AM19)*AC19</f>
        <v>#VALUE!</v>
      </c>
      <c r="AT19" s="5" t="e">
        <f>VLOOKUP(O19,$AU$1:$AV$60,2,FALSE)</f>
        <v>#N/A</v>
      </c>
      <c r="AU19" s="5" t="s">
        <v>77</v>
      </c>
      <c r="AV19" s="5">
        <v>0.91</v>
      </c>
    </row>
    <row r="20" spans="1:48" ht="13.5" customHeight="1">
      <c r="A20" s="8"/>
      <c r="B20" s="24">
        <v>2</v>
      </c>
      <c r="C20" s="344"/>
      <c r="D20" s="345"/>
      <c r="E20" s="345"/>
      <c r="F20" s="345"/>
      <c r="G20" s="345"/>
      <c r="H20" s="345"/>
      <c r="I20" s="345"/>
      <c r="J20" s="346"/>
      <c r="K20" s="375"/>
      <c r="L20" s="376"/>
      <c r="M20" s="376"/>
      <c r="N20" s="377"/>
      <c r="O20" s="378"/>
      <c r="P20" s="379"/>
      <c r="Q20" s="380"/>
      <c r="R20" s="381"/>
      <c r="S20" s="381"/>
      <c r="T20" s="382"/>
      <c r="U20" s="383"/>
      <c r="V20" s="384"/>
      <c r="W20" s="385"/>
      <c r="X20" s="385"/>
      <c r="Y20" s="385"/>
      <c r="Z20" s="386"/>
      <c r="AA20" s="387" t="str">
        <f>IF(Q20="","",VLOOKUP(Q20,$B$71:$Y$80,10,FALSE))</f>
        <v/>
      </c>
      <c r="AB20" s="388"/>
      <c r="AC20" s="371"/>
      <c r="AD20" s="372"/>
      <c r="AE20" s="373" t="str">
        <f>IF(Q20="","",W20*AL20*AP20*44/12)</f>
        <v/>
      </c>
      <c r="AF20" s="373"/>
      <c r="AG20" s="373"/>
      <c r="AH20" s="373"/>
      <c r="AI20" s="36"/>
      <c r="AL20" s="5" t="e">
        <f>VLOOKUP(Q20,$B$71:$Y$80,13,FALSE)</f>
        <v>#N/A</v>
      </c>
      <c r="AM20" s="374" t="e">
        <f>VLOOKUP(Q20,$B$71:$Y$80,17,FALSE)</f>
        <v>#N/A</v>
      </c>
      <c r="AN20" s="374"/>
      <c r="AO20" s="374"/>
      <c r="AP20" s="37" t="e">
        <f>VLOOKUP(Q20,$B$71:$Y$80,21,FALSE)</f>
        <v>#N/A</v>
      </c>
      <c r="AR20" s="38" t="e">
        <f>IF(W20="","",W20*AM20)*AC20</f>
        <v>#VALUE!</v>
      </c>
      <c r="AT20" s="5" t="e">
        <f>VLOOKUP(O20,$AU$1:$AV$60,2,FALSE)</f>
        <v>#N/A</v>
      </c>
      <c r="AU20" s="5" t="s">
        <v>78</v>
      </c>
      <c r="AV20" s="5">
        <v>0.90500000000000003</v>
      </c>
    </row>
    <row r="21" spans="1:48" ht="13.5" customHeight="1">
      <c r="A21" s="8"/>
      <c r="B21" s="24">
        <v>3</v>
      </c>
      <c r="C21" s="344"/>
      <c r="D21" s="345"/>
      <c r="E21" s="345"/>
      <c r="F21" s="345"/>
      <c r="G21" s="345"/>
      <c r="H21" s="345"/>
      <c r="I21" s="345"/>
      <c r="J21" s="346"/>
      <c r="K21" s="409"/>
      <c r="L21" s="410"/>
      <c r="M21" s="410"/>
      <c r="N21" s="411"/>
      <c r="O21" s="378"/>
      <c r="P21" s="379"/>
      <c r="Q21" s="380"/>
      <c r="R21" s="381"/>
      <c r="S21" s="381"/>
      <c r="T21" s="382"/>
      <c r="U21" s="383"/>
      <c r="V21" s="384"/>
      <c r="W21" s="385"/>
      <c r="X21" s="385"/>
      <c r="Y21" s="385"/>
      <c r="Z21" s="386"/>
      <c r="AA21" s="387" t="str">
        <f>IF(Q21="","",VLOOKUP(Q21,$B$71:$Y$80,10,FALSE))</f>
        <v/>
      </c>
      <c r="AB21" s="388"/>
      <c r="AC21" s="371"/>
      <c r="AD21" s="372"/>
      <c r="AE21" s="373" t="str">
        <f>IF(Q21="","",W21*AL21*AP21*44/12)</f>
        <v/>
      </c>
      <c r="AF21" s="373"/>
      <c r="AG21" s="373"/>
      <c r="AH21" s="373"/>
      <c r="AI21" s="36"/>
      <c r="AL21" s="5" t="e">
        <f>VLOOKUP(Q21,$B$71:$Y$80,13,FALSE)</f>
        <v>#N/A</v>
      </c>
      <c r="AM21" s="374" t="e">
        <f>VLOOKUP(Q21,$B$71:$Y$80,17,FALSE)</f>
        <v>#N/A</v>
      </c>
      <c r="AN21" s="374"/>
      <c r="AO21" s="374"/>
      <c r="AP21" s="37" t="e">
        <f>VLOOKUP(Q21,$B$71:$Y$80,21,FALSE)</f>
        <v>#N/A</v>
      </c>
      <c r="AR21" s="38" t="e">
        <f>IF(W21="","",W21*AM21)*AC21</f>
        <v>#VALUE!</v>
      </c>
      <c r="AT21" s="5" t="e">
        <f>VLOOKUP(O21,$AU$1:$AV$60,2,FALSE)</f>
        <v>#N/A</v>
      </c>
      <c r="AU21" s="5" t="s">
        <v>79</v>
      </c>
      <c r="AV21" s="5">
        <v>0.9</v>
      </c>
    </row>
    <row r="22" spans="1:48" ht="13.5" customHeight="1" thickBot="1">
      <c r="A22" s="8"/>
      <c r="B22" s="24">
        <v>4</v>
      </c>
      <c r="C22" s="344"/>
      <c r="D22" s="345"/>
      <c r="E22" s="345"/>
      <c r="F22" s="345"/>
      <c r="G22" s="345"/>
      <c r="H22" s="345"/>
      <c r="I22" s="345"/>
      <c r="J22" s="346"/>
      <c r="K22" s="375"/>
      <c r="L22" s="376"/>
      <c r="M22" s="376"/>
      <c r="N22" s="377"/>
      <c r="O22" s="378"/>
      <c r="P22" s="379"/>
      <c r="Q22" s="380"/>
      <c r="R22" s="381"/>
      <c r="S22" s="381"/>
      <c r="T22" s="382"/>
      <c r="U22" s="383"/>
      <c r="V22" s="384"/>
      <c r="W22" s="385"/>
      <c r="X22" s="385"/>
      <c r="Y22" s="385"/>
      <c r="Z22" s="386"/>
      <c r="AA22" s="387" t="str">
        <f>IF(Q22="","",VLOOKUP(Q22,$B$71:$Y$80,10,FALSE))</f>
        <v/>
      </c>
      <c r="AB22" s="388"/>
      <c r="AC22" s="371"/>
      <c r="AD22" s="372"/>
      <c r="AE22" s="373" t="str">
        <f>IF(Q22="","",W22*AL22*AP22*44/12)</f>
        <v/>
      </c>
      <c r="AF22" s="373"/>
      <c r="AG22" s="373"/>
      <c r="AH22" s="373"/>
      <c r="AI22" s="36"/>
      <c r="AL22" s="5" t="e">
        <f>VLOOKUP(Q22,$B$71:$Y$80,13,FALSE)</f>
        <v>#N/A</v>
      </c>
      <c r="AM22" s="374" t="e">
        <f>VLOOKUP(Q22,$B$71:$Y$80,17,FALSE)</f>
        <v>#N/A</v>
      </c>
      <c r="AN22" s="374"/>
      <c r="AO22" s="374"/>
      <c r="AP22" s="37" t="e">
        <f>VLOOKUP(Q22,$B$71:$Y$80,21,FALSE)</f>
        <v>#N/A</v>
      </c>
      <c r="AR22" s="38" t="e">
        <f>IF(W22="","",W22*AM22)*AC22</f>
        <v>#VALUE!</v>
      </c>
      <c r="AT22" s="5" t="e">
        <f>VLOOKUP(O22,$AU$1:$AV$60,2,FALSE)</f>
        <v>#N/A</v>
      </c>
      <c r="AU22" s="5" t="s">
        <v>80</v>
      </c>
      <c r="AV22" s="5">
        <v>0.89500000000000002</v>
      </c>
    </row>
    <row r="23" spans="1:48" ht="13.5" customHeight="1" thickBot="1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39"/>
      <c r="R23" s="39"/>
      <c r="S23" s="39"/>
      <c r="T23" s="39"/>
      <c r="U23" s="108"/>
      <c r="V23" s="32"/>
      <c r="W23" s="108"/>
      <c r="X23" s="108"/>
      <c r="Y23" s="108"/>
      <c r="Z23" s="10"/>
      <c r="AA23" s="9"/>
      <c r="AB23" s="9"/>
      <c r="AC23" s="9"/>
      <c r="AD23" s="9"/>
      <c r="AE23" s="9"/>
      <c r="AF23" s="9"/>
      <c r="AG23" s="9"/>
      <c r="AH23" s="9"/>
      <c r="AI23" s="11"/>
      <c r="AR23" s="40">
        <f>_xlfn.AGGREGATE(9,7,AR19:AR22)</f>
        <v>0</v>
      </c>
      <c r="AU23" s="5" t="s">
        <v>81</v>
      </c>
      <c r="AV23" s="5">
        <v>0.89</v>
      </c>
    </row>
    <row r="24" spans="1:48" ht="13.5" customHeight="1">
      <c r="A24" s="8"/>
      <c r="B24" s="9"/>
      <c r="C24" s="10"/>
      <c r="D24" s="9"/>
      <c r="E24" s="9"/>
      <c r="F24" s="9"/>
      <c r="G24" s="10"/>
      <c r="H24" s="9"/>
      <c r="I24" s="10"/>
      <c r="J24" s="10"/>
      <c r="K24" s="41" t="str">
        <f>IF(COUNTIF(K19:K22,"その他")&gt;=1,"ボイラ方式がその他の場合の説明を記載→","")</f>
        <v/>
      </c>
      <c r="L24" s="109"/>
      <c r="M24" s="109"/>
      <c r="N24" s="109"/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9"/>
      <c r="AB24" s="9"/>
      <c r="AC24" s="9"/>
      <c r="AD24" s="9"/>
      <c r="AE24" s="9"/>
      <c r="AF24" s="9"/>
      <c r="AG24" s="9"/>
      <c r="AH24" s="9"/>
      <c r="AI24" s="11"/>
      <c r="AU24" s="5" t="s">
        <v>82</v>
      </c>
      <c r="AV24" s="5">
        <v>0.88500000000000001</v>
      </c>
    </row>
    <row r="25" spans="1:48" ht="13.5" customHeight="1">
      <c r="A25" s="8"/>
      <c r="B25" s="16"/>
      <c r="C25" s="16"/>
      <c r="D25" s="9"/>
      <c r="E25" s="9"/>
      <c r="F25" s="6"/>
      <c r="G25" s="16"/>
      <c r="H25" s="9"/>
      <c r="I25" s="9"/>
      <c r="J25" s="6"/>
      <c r="K25" s="16"/>
      <c r="L25" s="9"/>
      <c r="M25" s="9"/>
      <c r="N25" s="9"/>
      <c r="O25" s="9"/>
      <c r="P25" s="6"/>
      <c r="Q25" s="16"/>
      <c r="R25" s="42" t="s">
        <v>11</v>
      </c>
      <c r="S25" s="389" t="s">
        <v>19</v>
      </c>
      <c r="T25" s="389"/>
      <c r="U25" s="389"/>
      <c r="V25" s="389"/>
      <c r="W25" s="389"/>
      <c r="X25" s="389"/>
      <c r="Y25" s="389"/>
      <c r="Z25" s="389"/>
      <c r="AA25" s="389"/>
      <c r="AB25" s="389"/>
      <c r="AC25" s="389"/>
      <c r="AD25" s="389"/>
      <c r="AE25" s="389"/>
      <c r="AF25" s="389"/>
      <c r="AG25" s="389"/>
      <c r="AH25" s="389"/>
      <c r="AI25" s="390"/>
      <c r="AO25" s="5" t="s">
        <v>207</v>
      </c>
      <c r="AU25" s="5" t="s">
        <v>83</v>
      </c>
      <c r="AV25" s="5">
        <v>0.88</v>
      </c>
    </row>
    <row r="26" spans="1:48" ht="13.5" customHeight="1">
      <c r="A26" s="13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43" t="str">
        <f>IF(AQ7=1,"",AO26)</f>
        <v/>
      </c>
      <c r="Q26" s="14"/>
      <c r="R26" s="15"/>
      <c r="S26" s="391"/>
      <c r="T26" s="391"/>
      <c r="U26" s="391"/>
      <c r="V26" s="391"/>
      <c r="W26" s="391"/>
      <c r="X26" s="391"/>
      <c r="Y26" s="391"/>
      <c r="Z26" s="391"/>
      <c r="AA26" s="391"/>
      <c r="AB26" s="391"/>
      <c r="AC26" s="391"/>
      <c r="AD26" s="391"/>
      <c r="AE26" s="391"/>
      <c r="AF26" s="391"/>
      <c r="AG26" s="391"/>
      <c r="AH26" s="391"/>
      <c r="AI26" s="392"/>
      <c r="AO26" s="5" t="s">
        <v>206</v>
      </c>
      <c r="AU26" s="5" t="s">
        <v>84</v>
      </c>
      <c r="AV26" s="5">
        <v>0.875</v>
      </c>
    </row>
    <row r="27" spans="1:48" ht="13.5" customHeight="1">
      <c r="A27" s="44"/>
      <c r="B27" s="17"/>
      <c r="C27" s="18"/>
      <c r="D27" s="18"/>
      <c r="F27" s="18"/>
      <c r="G27" s="18"/>
      <c r="H27" s="393" t="s">
        <v>8</v>
      </c>
      <c r="I27" s="393"/>
      <c r="J27" s="393"/>
      <c r="K27" s="393"/>
      <c r="L27" s="393"/>
      <c r="M27" s="393"/>
      <c r="N27" s="393"/>
      <c r="O27" s="393"/>
      <c r="P27" s="395"/>
      <c r="Q27" s="396"/>
      <c r="R27" s="396"/>
      <c r="S27" s="396"/>
      <c r="T27" s="396"/>
      <c r="U27" s="396"/>
      <c r="V27" s="399" t="s">
        <v>5</v>
      </c>
      <c r="W27" s="399"/>
      <c r="X27" s="399"/>
      <c r="Y27" s="400"/>
      <c r="Z27" s="403">
        <f>SUM(AE19:AG22)</f>
        <v>0</v>
      </c>
      <c r="AA27" s="404"/>
      <c r="AB27" s="404"/>
      <c r="AC27" s="404"/>
      <c r="AD27" s="404"/>
      <c r="AE27" s="404"/>
      <c r="AF27" s="407" t="s">
        <v>5</v>
      </c>
      <c r="AG27" s="407"/>
      <c r="AH27" s="407"/>
      <c r="AI27" s="408"/>
      <c r="AU27" s="5" t="s">
        <v>85</v>
      </c>
      <c r="AV27" s="5">
        <v>0.87</v>
      </c>
    </row>
    <row r="28" spans="1:48" ht="13.5" customHeight="1">
      <c r="A28" s="44"/>
      <c r="B28" s="17"/>
      <c r="C28" s="18"/>
      <c r="D28" s="18"/>
      <c r="F28" s="18"/>
      <c r="G28" s="18"/>
      <c r="H28" s="394"/>
      <c r="I28" s="394"/>
      <c r="J28" s="394"/>
      <c r="K28" s="394"/>
      <c r="L28" s="394"/>
      <c r="M28" s="394"/>
      <c r="N28" s="394"/>
      <c r="O28" s="394"/>
      <c r="P28" s="397"/>
      <c r="Q28" s="398"/>
      <c r="R28" s="398"/>
      <c r="S28" s="398"/>
      <c r="T28" s="398"/>
      <c r="U28" s="398"/>
      <c r="V28" s="401"/>
      <c r="W28" s="401"/>
      <c r="X28" s="401"/>
      <c r="Y28" s="402"/>
      <c r="Z28" s="405"/>
      <c r="AA28" s="406"/>
      <c r="AB28" s="406"/>
      <c r="AC28" s="406"/>
      <c r="AD28" s="406"/>
      <c r="AE28" s="406"/>
      <c r="AF28" s="401"/>
      <c r="AG28" s="401"/>
      <c r="AH28" s="401"/>
      <c r="AI28" s="402"/>
      <c r="AU28" s="5" t="s">
        <v>86</v>
      </c>
      <c r="AV28" s="5">
        <v>0.86499999999999999</v>
      </c>
    </row>
    <row r="29" spans="1:48" ht="13.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U29" s="5" t="s">
        <v>87</v>
      </c>
      <c r="AV29" s="5">
        <v>0.86</v>
      </c>
    </row>
    <row r="30" spans="1:48" ht="13.5" customHeight="1">
      <c r="A30" s="320" t="s">
        <v>3</v>
      </c>
      <c r="B30" s="321"/>
      <c r="C30" s="321"/>
      <c r="D30" s="321"/>
      <c r="E30" s="321"/>
      <c r="F30" s="321"/>
      <c r="G30" s="321"/>
      <c r="H30" s="321"/>
      <c r="I30" s="321"/>
      <c r="J30" s="321"/>
      <c r="K30" s="321"/>
      <c r="L30" s="321"/>
      <c r="M30" s="321"/>
      <c r="N30" s="321"/>
      <c r="O30" s="321"/>
      <c r="P30" s="321"/>
      <c r="Q30" s="321"/>
      <c r="R30" s="321"/>
      <c r="S30" s="321"/>
      <c r="T30" s="321"/>
      <c r="U30" s="321"/>
      <c r="V30" s="321"/>
      <c r="W30" s="321"/>
      <c r="X30" s="321"/>
      <c r="Y30" s="321"/>
      <c r="Z30" s="321"/>
      <c r="AA30" s="321"/>
      <c r="AB30" s="321"/>
      <c r="AC30" s="321"/>
      <c r="AD30" s="321"/>
      <c r="AE30" s="321"/>
      <c r="AF30" s="321"/>
      <c r="AG30" s="321"/>
      <c r="AH30" s="321"/>
      <c r="AI30" s="322"/>
      <c r="AU30" s="5" t="s">
        <v>88</v>
      </c>
      <c r="AV30" s="5">
        <v>0.85499999999999998</v>
      </c>
    </row>
    <row r="31" spans="1:48" ht="13.5" customHeight="1">
      <c r="A31" s="45" t="s">
        <v>125</v>
      </c>
      <c r="B31" s="32"/>
      <c r="C31" s="46"/>
      <c r="D31" s="46"/>
      <c r="E31" s="46"/>
      <c r="F31" s="46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47"/>
      <c r="AU31" s="5" t="s">
        <v>89</v>
      </c>
      <c r="AV31" s="5">
        <v>0.85</v>
      </c>
    </row>
    <row r="32" spans="1:48" ht="13.5" customHeight="1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11"/>
      <c r="AU32" s="5" t="s">
        <v>90</v>
      </c>
      <c r="AV32" s="5">
        <v>0.84499999999999997</v>
      </c>
    </row>
    <row r="33" spans="1:48" ht="13.5" customHeight="1">
      <c r="A33" s="8"/>
      <c r="B33" s="9" t="s">
        <v>26</v>
      </c>
      <c r="C33" s="9"/>
      <c r="D33" s="9"/>
      <c r="E33" s="9"/>
      <c r="F33" s="9"/>
      <c r="G33" s="9"/>
      <c r="H33" s="9"/>
      <c r="I33" s="412"/>
      <c r="J33" s="413"/>
      <c r="K33" s="413"/>
      <c r="L33" s="413"/>
      <c r="M33" s="413"/>
      <c r="N33" s="413"/>
      <c r="O33" s="413"/>
      <c r="P33" s="414"/>
      <c r="Q33" s="6"/>
      <c r="R33" s="9"/>
      <c r="S33" s="48"/>
      <c r="T33" s="48"/>
      <c r="U33" s="9"/>
      <c r="V33" s="9"/>
      <c r="W33" s="9"/>
      <c r="X33" s="9"/>
      <c r="Y33" s="49"/>
      <c r="Z33" s="49"/>
      <c r="AA33" s="49"/>
      <c r="AB33" s="49"/>
      <c r="AC33" s="9"/>
      <c r="AD33" s="9"/>
      <c r="AE33" s="9"/>
      <c r="AF33" s="9"/>
      <c r="AG33" s="33"/>
      <c r="AH33" s="10"/>
      <c r="AI33" s="11"/>
      <c r="AU33" s="5" t="s">
        <v>91</v>
      </c>
      <c r="AV33" s="5">
        <v>0.84</v>
      </c>
    </row>
    <row r="34" spans="1:48" ht="13.5" customHeight="1">
      <c r="A34" s="8"/>
      <c r="B34" s="9" t="s">
        <v>0</v>
      </c>
      <c r="C34" s="9"/>
      <c r="D34" s="9"/>
      <c r="E34" s="9"/>
      <c r="F34" s="9"/>
      <c r="G34" s="9"/>
      <c r="H34" s="9"/>
      <c r="I34" s="415"/>
      <c r="J34" s="416"/>
      <c r="K34" s="416"/>
      <c r="L34" s="416"/>
      <c r="M34" s="416"/>
      <c r="N34" s="416"/>
      <c r="O34" s="416"/>
      <c r="P34" s="417"/>
      <c r="Q34" s="9" t="s">
        <v>134</v>
      </c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11"/>
      <c r="AU34" s="5" t="s">
        <v>92</v>
      </c>
      <c r="AV34" s="5">
        <v>0.83499999999999996</v>
      </c>
    </row>
    <row r="35" spans="1:48" ht="13.5" customHeight="1">
      <c r="A35" s="8"/>
      <c r="B35" s="9" t="s">
        <v>23</v>
      </c>
      <c r="C35" s="9"/>
      <c r="D35" s="9"/>
      <c r="E35" s="9"/>
      <c r="F35" s="9"/>
      <c r="G35" s="9"/>
      <c r="H35" s="9"/>
      <c r="I35" s="380"/>
      <c r="J35" s="381"/>
      <c r="K35" s="381"/>
      <c r="L35" s="381"/>
      <c r="M35" s="381"/>
      <c r="N35" s="381"/>
      <c r="O35" s="381"/>
      <c r="P35" s="382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11"/>
      <c r="AU35" s="5" t="s">
        <v>93</v>
      </c>
      <c r="AV35" s="5">
        <v>0.83</v>
      </c>
    </row>
    <row r="36" spans="1:48" ht="13.5" customHeight="1">
      <c r="A36" s="8"/>
      <c r="B36" s="10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11"/>
      <c r="AU36" s="5" t="s">
        <v>94</v>
      </c>
      <c r="AV36" s="5">
        <v>0.82499999999999996</v>
      </c>
    </row>
    <row r="37" spans="1:48" ht="13.5" customHeight="1">
      <c r="A37" s="8"/>
      <c r="B37" s="6"/>
      <c r="C37" s="6"/>
      <c r="D37" s="6"/>
      <c r="E37" s="9"/>
      <c r="F37" s="9"/>
      <c r="G37" s="6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11"/>
      <c r="AU37" s="5" t="s">
        <v>95</v>
      </c>
      <c r="AV37" s="5">
        <v>0.82</v>
      </c>
    </row>
    <row r="38" spans="1:48" ht="13.5" customHeight="1">
      <c r="A38" s="8"/>
      <c r="B38" s="9"/>
      <c r="C38" s="9"/>
      <c r="D38" s="9"/>
      <c r="E38" s="9"/>
      <c r="F38" s="9"/>
      <c r="G38" s="9"/>
      <c r="H38" s="9"/>
      <c r="I38" s="50"/>
      <c r="J38" s="50"/>
      <c r="K38" s="50"/>
      <c r="L38" s="50"/>
      <c r="M38" s="50"/>
      <c r="N38" s="9" t="s">
        <v>135</v>
      </c>
      <c r="O38" s="50"/>
      <c r="P38" s="50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11"/>
      <c r="AU38" s="5" t="s">
        <v>96</v>
      </c>
      <c r="AV38" s="5">
        <v>0.81499999999999995</v>
      </c>
    </row>
    <row r="39" spans="1:48" ht="13.5" customHeight="1">
      <c r="A39" s="8"/>
      <c r="B39" s="324"/>
      <c r="C39" s="418" t="s">
        <v>53</v>
      </c>
      <c r="D39" s="419"/>
      <c r="E39" s="419"/>
      <c r="F39" s="419"/>
      <c r="G39" s="419"/>
      <c r="H39" s="419"/>
      <c r="I39" s="419"/>
      <c r="J39" s="419"/>
      <c r="K39" s="420"/>
      <c r="L39" s="350" t="s">
        <v>54</v>
      </c>
      <c r="M39" s="351"/>
      <c r="N39" s="351"/>
      <c r="O39" s="352"/>
      <c r="P39" s="424" t="s">
        <v>117</v>
      </c>
      <c r="Q39" s="400"/>
      <c r="R39" s="366" t="s">
        <v>57</v>
      </c>
      <c r="S39" s="367"/>
      <c r="T39" s="340" t="s">
        <v>120</v>
      </c>
      <c r="U39" s="326"/>
      <c r="V39" s="327"/>
      <c r="W39" s="360" t="s">
        <v>122</v>
      </c>
      <c r="X39" s="361"/>
      <c r="Y39" s="361"/>
      <c r="Z39" s="361"/>
      <c r="AA39" s="361"/>
      <c r="AB39" s="362"/>
      <c r="AC39" s="370" t="s">
        <v>58</v>
      </c>
      <c r="AD39" s="370"/>
      <c r="AE39" s="370"/>
      <c r="AF39" s="370"/>
      <c r="AG39" s="6"/>
      <c r="AH39" s="9"/>
      <c r="AI39" s="11"/>
      <c r="AU39" s="5" t="s">
        <v>97</v>
      </c>
      <c r="AV39" s="5">
        <v>0.81</v>
      </c>
    </row>
    <row r="40" spans="1:48" ht="13.5" customHeight="1">
      <c r="A40" s="8"/>
      <c r="B40" s="325"/>
      <c r="C40" s="421"/>
      <c r="D40" s="422"/>
      <c r="E40" s="422"/>
      <c r="F40" s="422"/>
      <c r="G40" s="422"/>
      <c r="H40" s="422"/>
      <c r="I40" s="422"/>
      <c r="J40" s="422"/>
      <c r="K40" s="423"/>
      <c r="L40" s="353"/>
      <c r="M40" s="354"/>
      <c r="N40" s="354"/>
      <c r="O40" s="355"/>
      <c r="P40" s="425"/>
      <c r="Q40" s="402"/>
      <c r="R40" s="368"/>
      <c r="S40" s="369"/>
      <c r="T40" s="341"/>
      <c r="U40" s="328"/>
      <c r="V40" s="329"/>
      <c r="W40" s="363"/>
      <c r="X40" s="364"/>
      <c r="Y40" s="364"/>
      <c r="Z40" s="364"/>
      <c r="AA40" s="364"/>
      <c r="AB40" s="365"/>
      <c r="AC40" s="370"/>
      <c r="AD40" s="370"/>
      <c r="AE40" s="370"/>
      <c r="AF40" s="370"/>
      <c r="AG40" s="6"/>
      <c r="AH40" s="10"/>
      <c r="AI40" s="51"/>
      <c r="AU40" s="5" t="s">
        <v>98</v>
      </c>
      <c r="AV40" s="5">
        <v>0.80500000000000005</v>
      </c>
    </row>
    <row r="41" spans="1:48" ht="13.5" customHeight="1">
      <c r="A41" s="8"/>
      <c r="B41" s="52">
        <v>1</v>
      </c>
      <c r="C41" s="344"/>
      <c r="D41" s="345"/>
      <c r="E41" s="345"/>
      <c r="F41" s="345"/>
      <c r="G41" s="345"/>
      <c r="H41" s="345"/>
      <c r="I41" s="345"/>
      <c r="J41" s="345"/>
      <c r="K41" s="346"/>
      <c r="L41" s="375"/>
      <c r="M41" s="376"/>
      <c r="N41" s="376"/>
      <c r="O41" s="377"/>
      <c r="P41" s="344"/>
      <c r="Q41" s="346"/>
      <c r="R41" s="426"/>
      <c r="S41" s="427"/>
      <c r="T41" s="428"/>
      <c r="U41" s="429"/>
      <c r="V41" s="430"/>
      <c r="W41" s="434">
        <f>AR45</f>
        <v>0</v>
      </c>
      <c r="X41" s="435"/>
      <c r="Y41" s="435"/>
      <c r="Z41" s="435"/>
      <c r="AA41" s="436" t="str">
        <f>IF(I35="","",VLOOKUP(I35,$B$71:$Y$80,10,FALSE))</f>
        <v/>
      </c>
      <c r="AB41" s="437"/>
      <c r="AC41" s="438" t="str">
        <f>IF(I35="","",W41*AL41*AP41*44/12)</f>
        <v/>
      </c>
      <c r="AD41" s="439"/>
      <c r="AE41" s="439"/>
      <c r="AF41" s="440"/>
      <c r="AG41" s="16"/>
      <c r="AH41" s="10"/>
      <c r="AI41" s="11"/>
      <c r="AL41" s="5" t="e">
        <f>VLOOKUP(I35,$B$71:$Y$80,13,FALSE)</f>
        <v>#N/A</v>
      </c>
      <c r="AM41" s="374" t="e">
        <f>VLOOKUP(I35,$B$71:$Y$80,17,FALSE)</f>
        <v>#N/A</v>
      </c>
      <c r="AN41" s="374"/>
      <c r="AO41" s="374"/>
      <c r="AP41" s="37" t="e">
        <f>VLOOKUP(I35,$B$71:$Y$80,21,FALSE)</f>
        <v>#N/A</v>
      </c>
      <c r="AR41" s="5" t="e">
        <f>$AR$23*T41/R41/AM41</f>
        <v>#DIV/0!</v>
      </c>
      <c r="AU41" s="5" t="s">
        <v>99</v>
      </c>
      <c r="AV41" s="5">
        <v>0.8</v>
      </c>
    </row>
    <row r="42" spans="1:48" ht="13.5" customHeight="1">
      <c r="A42" s="8"/>
      <c r="B42" s="52">
        <v>2</v>
      </c>
      <c r="C42" s="344"/>
      <c r="D42" s="345"/>
      <c r="E42" s="345"/>
      <c r="F42" s="345"/>
      <c r="G42" s="345"/>
      <c r="H42" s="345"/>
      <c r="I42" s="345"/>
      <c r="J42" s="345"/>
      <c r="K42" s="346"/>
      <c r="L42" s="375"/>
      <c r="M42" s="376"/>
      <c r="N42" s="376"/>
      <c r="O42" s="377"/>
      <c r="P42" s="344"/>
      <c r="Q42" s="346"/>
      <c r="R42" s="426"/>
      <c r="S42" s="427"/>
      <c r="T42" s="428"/>
      <c r="U42" s="429"/>
      <c r="V42" s="430"/>
      <c r="W42" s="431" t="s">
        <v>138</v>
      </c>
      <c r="X42" s="432"/>
      <c r="Y42" s="432"/>
      <c r="Z42" s="432"/>
      <c r="AA42" s="432"/>
      <c r="AB42" s="432"/>
      <c r="AC42" s="432"/>
      <c r="AD42" s="432"/>
      <c r="AE42" s="432"/>
      <c r="AF42" s="432"/>
      <c r="AG42" s="16"/>
      <c r="AH42" s="9"/>
      <c r="AI42" s="11"/>
      <c r="AM42" s="374" t="e">
        <f>VLOOKUP(IF(C42="","",I$35),$B$71:$Y$80,17,FALSE)</f>
        <v>#N/A</v>
      </c>
      <c r="AN42" s="374"/>
      <c r="AO42" s="374"/>
      <c r="AP42" s="37" t="e">
        <f>VLOOKUP(IF(C42="","",I$35),$B$71:$Y$80,21,FALSE)</f>
        <v>#N/A</v>
      </c>
      <c r="AR42" s="5" t="e">
        <f>$AR$23*T42/R42/AM42</f>
        <v>#DIV/0!</v>
      </c>
      <c r="AU42" s="5" t="s">
        <v>100</v>
      </c>
      <c r="AV42" s="5">
        <v>0.79500000000000004</v>
      </c>
    </row>
    <row r="43" spans="1:48" ht="13.5" customHeight="1">
      <c r="A43" s="8"/>
      <c r="B43" s="52">
        <v>3</v>
      </c>
      <c r="C43" s="344"/>
      <c r="D43" s="345"/>
      <c r="E43" s="345"/>
      <c r="F43" s="345"/>
      <c r="G43" s="345"/>
      <c r="H43" s="345"/>
      <c r="I43" s="345"/>
      <c r="J43" s="345"/>
      <c r="K43" s="346"/>
      <c r="L43" s="375"/>
      <c r="M43" s="376"/>
      <c r="N43" s="376"/>
      <c r="O43" s="377"/>
      <c r="P43" s="344"/>
      <c r="Q43" s="346"/>
      <c r="R43" s="426"/>
      <c r="S43" s="427"/>
      <c r="T43" s="428"/>
      <c r="U43" s="429"/>
      <c r="V43" s="430"/>
      <c r="W43" s="433"/>
      <c r="X43" s="389"/>
      <c r="Y43" s="389"/>
      <c r="Z43" s="389"/>
      <c r="AA43" s="389"/>
      <c r="AB43" s="389"/>
      <c r="AC43" s="389"/>
      <c r="AD43" s="389"/>
      <c r="AE43" s="389"/>
      <c r="AF43" s="389"/>
      <c r="AG43" s="16"/>
      <c r="AH43" s="9"/>
      <c r="AI43" s="11"/>
      <c r="AM43" s="374" t="e">
        <f>VLOOKUP(IF(C43="","",I$35),$B$71:$Y$80,17,FALSE)</f>
        <v>#N/A</v>
      </c>
      <c r="AN43" s="374"/>
      <c r="AO43" s="374"/>
      <c r="AP43" s="37" t="e">
        <f>VLOOKUP(IF(C43="","",I$35),$B$71:$Y$80,21,FALSE)</f>
        <v>#N/A</v>
      </c>
      <c r="AR43" s="5" t="e">
        <f>$AR$23*T43/R43/AM43</f>
        <v>#DIV/0!</v>
      </c>
      <c r="AU43" s="5" t="s">
        <v>101</v>
      </c>
      <c r="AV43" s="5">
        <v>0.79</v>
      </c>
    </row>
    <row r="44" spans="1:48" ht="13.5" customHeight="1" thickBot="1">
      <c r="A44" s="8"/>
      <c r="B44" s="52">
        <v>4</v>
      </c>
      <c r="C44" s="344"/>
      <c r="D44" s="345"/>
      <c r="E44" s="345"/>
      <c r="F44" s="345"/>
      <c r="G44" s="345"/>
      <c r="H44" s="345"/>
      <c r="I44" s="345"/>
      <c r="J44" s="345"/>
      <c r="K44" s="346"/>
      <c r="L44" s="375"/>
      <c r="M44" s="376"/>
      <c r="N44" s="376"/>
      <c r="O44" s="377"/>
      <c r="P44" s="344"/>
      <c r="Q44" s="346"/>
      <c r="R44" s="426"/>
      <c r="S44" s="427"/>
      <c r="T44" s="428"/>
      <c r="U44" s="429"/>
      <c r="V44" s="430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16"/>
      <c r="AH44" s="9"/>
      <c r="AI44" s="11"/>
      <c r="AM44" s="374" t="e">
        <f>VLOOKUP(IF(C44="","",I$35),$B$71:$Y$80,17,FALSE)</f>
        <v>#N/A</v>
      </c>
      <c r="AN44" s="374"/>
      <c r="AO44" s="374"/>
      <c r="AP44" s="37" t="e">
        <f>VLOOKUP(IF(C44="","",I$35),$B$71:$Y$80,21,FALSE)</f>
        <v>#N/A</v>
      </c>
      <c r="AR44" s="5" t="e">
        <f>$AR$23*T44/R44/AM44</f>
        <v>#DIV/0!</v>
      </c>
      <c r="AU44" s="5" t="s">
        <v>102</v>
      </c>
      <c r="AV44" s="5">
        <v>0.78500000000000003</v>
      </c>
    </row>
    <row r="45" spans="1:48" ht="13.5" customHeight="1" thickBot="1">
      <c r="A45" s="8"/>
      <c r="B45" s="9"/>
      <c r="C45" s="9"/>
      <c r="D45" s="9"/>
      <c r="E45" s="9"/>
      <c r="F45" s="9"/>
      <c r="G45" s="9"/>
      <c r="H45" s="9"/>
      <c r="I45" s="50"/>
      <c r="J45" s="50"/>
      <c r="K45" s="50"/>
      <c r="L45" s="50"/>
      <c r="M45" s="50"/>
      <c r="N45" s="50"/>
      <c r="O45" s="50"/>
      <c r="P45" s="50"/>
      <c r="Q45" s="9"/>
      <c r="R45" s="9"/>
      <c r="S45" s="53" t="s">
        <v>121</v>
      </c>
      <c r="T45" s="320">
        <f>SUM(T41:U44)</f>
        <v>0</v>
      </c>
      <c r="U45" s="321"/>
      <c r="V45" s="322"/>
      <c r="W45" s="54" t="s">
        <v>136</v>
      </c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9"/>
      <c r="AI45" s="11"/>
      <c r="AR45" s="40">
        <f>_xlfn.AGGREGATE(9,7,AR41:AR44)</f>
        <v>0</v>
      </c>
      <c r="AU45" s="5" t="s">
        <v>103</v>
      </c>
      <c r="AV45" s="5">
        <v>0.78</v>
      </c>
    </row>
    <row r="46" spans="1:48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11"/>
      <c r="AU46" s="5" t="s">
        <v>104</v>
      </c>
      <c r="AV46" s="5">
        <v>0.77500000000000002</v>
      </c>
    </row>
    <row r="47" spans="1:48" ht="13.5" customHeight="1">
      <c r="A47" s="8"/>
      <c r="B47" s="10"/>
      <c r="C47" s="10"/>
      <c r="D47" s="9"/>
      <c r="E47" s="10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10"/>
      <c r="Y47" s="10"/>
      <c r="Z47" s="10"/>
      <c r="AA47" s="9"/>
      <c r="AB47" s="55"/>
      <c r="AC47" s="55"/>
      <c r="AD47" s="55"/>
      <c r="AE47" s="55"/>
      <c r="AF47" s="9"/>
      <c r="AG47" s="33"/>
      <c r="AH47" s="9"/>
      <c r="AI47" s="11"/>
      <c r="AU47" s="5" t="s">
        <v>105</v>
      </c>
      <c r="AV47" s="5">
        <v>0.77</v>
      </c>
    </row>
    <row r="48" spans="1:48" ht="13.5" customHeight="1">
      <c r="A48" s="8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6"/>
      <c r="Q48" s="16"/>
      <c r="R48" s="42" t="s">
        <v>11</v>
      </c>
      <c r="S48" s="389" t="s">
        <v>19</v>
      </c>
      <c r="T48" s="389"/>
      <c r="U48" s="389"/>
      <c r="V48" s="389"/>
      <c r="W48" s="389"/>
      <c r="X48" s="389"/>
      <c r="Y48" s="389"/>
      <c r="Z48" s="389"/>
      <c r="AA48" s="389"/>
      <c r="AB48" s="389"/>
      <c r="AC48" s="389"/>
      <c r="AD48" s="389"/>
      <c r="AE48" s="389"/>
      <c r="AF48" s="389"/>
      <c r="AG48" s="389"/>
      <c r="AH48" s="389"/>
      <c r="AI48" s="390"/>
      <c r="AU48" s="5" t="s">
        <v>83</v>
      </c>
      <c r="AV48" s="5">
        <v>0.88</v>
      </c>
    </row>
    <row r="49" spans="1:48">
      <c r="A49" s="56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43" t="str">
        <f>IF(AQ7=1,"",AO49)</f>
        <v/>
      </c>
      <c r="Q49" s="14"/>
      <c r="R49" s="15"/>
      <c r="S49" s="391"/>
      <c r="T49" s="391"/>
      <c r="U49" s="391"/>
      <c r="V49" s="391"/>
      <c r="W49" s="391"/>
      <c r="X49" s="391"/>
      <c r="Y49" s="391"/>
      <c r="Z49" s="391"/>
      <c r="AA49" s="391"/>
      <c r="AB49" s="391"/>
      <c r="AC49" s="391"/>
      <c r="AD49" s="391"/>
      <c r="AE49" s="391"/>
      <c r="AF49" s="391"/>
      <c r="AG49" s="391"/>
      <c r="AH49" s="391"/>
      <c r="AI49" s="392"/>
      <c r="AO49" s="5" t="s">
        <v>206</v>
      </c>
      <c r="AU49" s="5" t="s">
        <v>84</v>
      </c>
      <c r="AV49" s="5">
        <v>0.875</v>
      </c>
    </row>
    <row r="50" spans="1:48">
      <c r="A50" s="44"/>
      <c r="C50" s="18"/>
      <c r="D50" s="18"/>
      <c r="E50" s="18"/>
      <c r="F50" s="18"/>
      <c r="G50" s="18"/>
      <c r="H50" s="393" t="s">
        <v>9</v>
      </c>
      <c r="I50" s="393"/>
      <c r="J50" s="393"/>
      <c r="K50" s="393"/>
      <c r="L50" s="393"/>
      <c r="M50" s="393"/>
      <c r="N50" s="393"/>
      <c r="O50" s="393"/>
      <c r="P50" s="395"/>
      <c r="Q50" s="396"/>
      <c r="R50" s="396"/>
      <c r="S50" s="396"/>
      <c r="T50" s="396"/>
      <c r="U50" s="396"/>
      <c r="V50" s="399" t="s">
        <v>5</v>
      </c>
      <c r="W50" s="399"/>
      <c r="X50" s="399"/>
      <c r="Y50" s="400"/>
      <c r="Z50" s="441" t="str">
        <f>AC41</f>
        <v/>
      </c>
      <c r="AA50" s="442"/>
      <c r="AB50" s="442"/>
      <c r="AC50" s="442"/>
      <c r="AD50" s="442"/>
      <c r="AE50" s="442"/>
      <c r="AF50" s="399" t="s">
        <v>5</v>
      </c>
      <c r="AG50" s="399"/>
      <c r="AH50" s="399"/>
      <c r="AI50" s="400"/>
      <c r="AU50" s="5" t="s">
        <v>106</v>
      </c>
      <c r="AV50" s="5">
        <v>0.755</v>
      </c>
    </row>
    <row r="51" spans="1:48">
      <c r="A51" s="44"/>
      <c r="B51" s="17"/>
      <c r="C51" s="18"/>
      <c r="D51" s="18"/>
      <c r="E51" s="18"/>
      <c r="F51" s="18"/>
      <c r="G51" s="18"/>
      <c r="H51" s="394"/>
      <c r="I51" s="394"/>
      <c r="J51" s="394"/>
      <c r="K51" s="394"/>
      <c r="L51" s="394"/>
      <c r="M51" s="394"/>
      <c r="N51" s="394"/>
      <c r="O51" s="394"/>
      <c r="P51" s="397"/>
      <c r="Q51" s="398"/>
      <c r="R51" s="398"/>
      <c r="S51" s="398"/>
      <c r="T51" s="398"/>
      <c r="U51" s="398"/>
      <c r="V51" s="401"/>
      <c r="W51" s="401"/>
      <c r="X51" s="401"/>
      <c r="Y51" s="402"/>
      <c r="Z51" s="405"/>
      <c r="AA51" s="406"/>
      <c r="AB51" s="406"/>
      <c r="AC51" s="406"/>
      <c r="AD51" s="406"/>
      <c r="AE51" s="406"/>
      <c r="AF51" s="401"/>
      <c r="AG51" s="401"/>
      <c r="AH51" s="401"/>
      <c r="AI51" s="402"/>
      <c r="AU51" s="5" t="s">
        <v>107</v>
      </c>
      <c r="AV51" s="5">
        <v>0.75</v>
      </c>
    </row>
    <row r="52" spans="1:48" ht="14.25" thickBo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U52" s="5" t="s">
        <v>108</v>
      </c>
      <c r="AV52" s="5">
        <v>0.745</v>
      </c>
    </row>
    <row r="53" spans="1:48" ht="14.25" thickTop="1">
      <c r="A53" s="10"/>
      <c r="B53" s="466" t="s">
        <v>8</v>
      </c>
      <c r="C53" s="467"/>
      <c r="D53" s="467"/>
      <c r="E53" s="467"/>
      <c r="F53" s="467"/>
      <c r="G53" s="467"/>
      <c r="H53" s="467"/>
      <c r="I53" s="467"/>
      <c r="J53" s="467"/>
      <c r="K53" s="468"/>
      <c r="N53" s="466" t="s">
        <v>9</v>
      </c>
      <c r="O53" s="467"/>
      <c r="P53" s="467"/>
      <c r="Q53" s="467"/>
      <c r="R53" s="467"/>
      <c r="S53" s="467"/>
      <c r="T53" s="467"/>
      <c r="U53" s="467"/>
      <c r="V53" s="467"/>
      <c r="W53" s="468"/>
      <c r="Z53" s="449" t="s">
        <v>6</v>
      </c>
      <c r="AA53" s="450"/>
      <c r="AB53" s="450"/>
      <c r="AC53" s="450"/>
      <c r="AD53" s="450"/>
      <c r="AE53" s="450"/>
      <c r="AF53" s="450"/>
      <c r="AG53" s="450"/>
      <c r="AH53" s="450"/>
      <c r="AI53" s="451"/>
      <c r="AU53" s="5" t="s">
        <v>109</v>
      </c>
      <c r="AV53" s="5">
        <v>0.74</v>
      </c>
    </row>
    <row r="54" spans="1:48" ht="13.5" customHeight="1">
      <c r="A54" s="10"/>
      <c r="B54" s="469">
        <f>IF($AQ$7=2,P27,Z27)</f>
        <v>0</v>
      </c>
      <c r="C54" s="470"/>
      <c r="D54" s="470"/>
      <c r="E54" s="470"/>
      <c r="F54" s="470"/>
      <c r="G54" s="470"/>
      <c r="H54" s="399" t="s">
        <v>5</v>
      </c>
      <c r="I54" s="399"/>
      <c r="J54" s="399"/>
      <c r="K54" s="400"/>
      <c r="L54" s="471" t="s">
        <v>10</v>
      </c>
      <c r="M54" s="408"/>
      <c r="N54" s="472" t="str">
        <f>IF(AQ7=2,P50,Z50)</f>
        <v/>
      </c>
      <c r="O54" s="473"/>
      <c r="P54" s="473"/>
      <c r="Q54" s="473"/>
      <c r="R54" s="473"/>
      <c r="S54" s="473"/>
      <c r="T54" s="399" t="s">
        <v>5</v>
      </c>
      <c r="U54" s="399"/>
      <c r="V54" s="399"/>
      <c r="W54" s="400"/>
      <c r="X54" s="471" t="s">
        <v>7</v>
      </c>
      <c r="Y54" s="407"/>
      <c r="Z54" s="458" t="str">
        <f>IFERROR(B54-N54,"")</f>
        <v/>
      </c>
      <c r="AA54" s="453"/>
      <c r="AB54" s="453"/>
      <c r="AC54" s="453"/>
      <c r="AD54" s="453"/>
      <c r="AE54" s="453"/>
      <c r="AF54" s="399" t="s">
        <v>5</v>
      </c>
      <c r="AG54" s="399"/>
      <c r="AH54" s="399"/>
      <c r="AI54" s="443"/>
      <c r="AU54" s="5" t="s">
        <v>110</v>
      </c>
      <c r="AV54" s="5">
        <v>0.73499999999999999</v>
      </c>
    </row>
    <row r="55" spans="1:48" ht="14.25" customHeight="1" thickBot="1">
      <c r="A55" s="19"/>
      <c r="B55" s="469"/>
      <c r="C55" s="470"/>
      <c r="D55" s="470"/>
      <c r="E55" s="470"/>
      <c r="F55" s="470"/>
      <c r="G55" s="470"/>
      <c r="H55" s="401"/>
      <c r="I55" s="401"/>
      <c r="J55" s="401"/>
      <c r="K55" s="402"/>
      <c r="L55" s="471"/>
      <c r="M55" s="408"/>
      <c r="N55" s="474"/>
      <c r="O55" s="475"/>
      <c r="P55" s="475"/>
      <c r="Q55" s="475"/>
      <c r="R55" s="475"/>
      <c r="S55" s="475"/>
      <c r="T55" s="401"/>
      <c r="U55" s="401"/>
      <c r="V55" s="401"/>
      <c r="W55" s="402"/>
      <c r="X55" s="471"/>
      <c r="Y55" s="407"/>
      <c r="Z55" s="459"/>
      <c r="AA55" s="460"/>
      <c r="AB55" s="460"/>
      <c r="AC55" s="460"/>
      <c r="AD55" s="460"/>
      <c r="AE55" s="460"/>
      <c r="AF55" s="444"/>
      <c r="AG55" s="444"/>
      <c r="AH55" s="444"/>
      <c r="AI55" s="445"/>
      <c r="AU55" s="5" t="s">
        <v>111</v>
      </c>
      <c r="AV55" s="5">
        <v>0.73</v>
      </c>
    </row>
    <row r="56" spans="1:48" ht="15" thickTop="1" thickBot="1">
      <c r="AU56" s="5" t="s">
        <v>112</v>
      </c>
      <c r="AV56" s="5">
        <v>0.72499999999999998</v>
      </c>
    </row>
    <row r="57" spans="1:48" ht="13.5" customHeight="1" thickTop="1">
      <c r="N57" s="446" t="s">
        <v>223</v>
      </c>
      <c r="O57" s="447"/>
      <c r="P57" s="447"/>
      <c r="Q57" s="447"/>
      <c r="R57" s="447"/>
      <c r="S57" s="447"/>
      <c r="T57" s="448"/>
      <c r="Z57" s="449" t="s">
        <v>228</v>
      </c>
      <c r="AA57" s="450"/>
      <c r="AB57" s="450"/>
      <c r="AC57" s="450"/>
      <c r="AD57" s="450"/>
      <c r="AE57" s="450"/>
      <c r="AF57" s="450"/>
      <c r="AG57" s="450"/>
      <c r="AH57" s="450"/>
      <c r="AI57" s="451"/>
      <c r="AU57" s="5" t="s">
        <v>113</v>
      </c>
      <c r="AV57" s="5">
        <v>0.72</v>
      </c>
    </row>
    <row r="58" spans="1:48" ht="13.5" customHeight="1">
      <c r="N58" s="452">
        <f>I3</f>
        <v>0</v>
      </c>
      <c r="O58" s="453"/>
      <c r="P58" s="453"/>
      <c r="Q58" s="453"/>
      <c r="R58" s="454"/>
      <c r="S58" s="424" t="s">
        <v>1</v>
      </c>
      <c r="T58" s="400"/>
      <c r="Z58" s="458" t="str">
        <f>IFERROR(Z54*N58,"")</f>
        <v/>
      </c>
      <c r="AA58" s="453"/>
      <c r="AB58" s="453"/>
      <c r="AC58" s="453"/>
      <c r="AD58" s="453"/>
      <c r="AE58" s="453"/>
      <c r="AF58" s="461" t="s">
        <v>224</v>
      </c>
      <c r="AG58" s="462"/>
      <c r="AH58" s="462"/>
      <c r="AI58" s="463"/>
      <c r="AU58" s="5" t="s">
        <v>114</v>
      </c>
      <c r="AV58" s="5">
        <v>0.71499999999999997</v>
      </c>
    </row>
    <row r="59" spans="1:48" ht="14.25" customHeight="1" thickBot="1">
      <c r="N59" s="455"/>
      <c r="O59" s="456"/>
      <c r="P59" s="456"/>
      <c r="Q59" s="456"/>
      <c r="R59" s="457"/>
      <c r="S59" s="425"/>
      <c r="T59" s="402"/>
      <c r="Z59" s="459"/>
      <c r="AA59" s="460"/>
      <c r="AB59" s="460"/>
      <c r="AC59" s="460"/>
      <c r="AD59" s="460"/>
      <c r="AE59" s="460"/>
      <c r="AF59" s="464"/>
      <c r="AG59" s="464"/>
      <c r="AH59" s="464"/>
      <c r="AI59" s="465"/>
      <c r="AU59" s="5" t="s">
        <v>115</v>
      </c>
      <c r="AV59" s="5">
        <v>0.71</v>
      </c>
    </row>
    <row r="60" spans="1:48" ht="15" thickTop="1">
      <c r="P60" s="20"/>
      <c r="AU60" s="5" t="s">
        <v>116</v>
      </c>
      <c r="AV60" s="5">
        <v>0.70499999999999996</v>
      </c>
    </row>
    <row r="61" spans="1:48" ht="13.5" customHeight="1"/>
    <row r="62" spans="1:48" ht="14.25" customHeight="1">
      <c r="B62" s="5" t="s">
        <v>226</v>
      </c>
      <c r="C62" s="5" t="s">
        <v>227</v>
      </c>
    </row>
    <row r="66" spans="2:36" hidden="1"/>
    <row r="67" spans="2:36" hidden="1"/>
    <row r="68" spans="2:36" hidden="1"/>
    <row r="69" spans="2:36" hidden="1"/>
    <row r="70" spans="2:36" hidden="1">
      <c r="B70" s="478" t="s">
        <v>23</v>
      </c>
      <c r="C70" s="478"/>
      <c r="D70" s="478"/>
      <c r="E70" s="478"/>
      <c r="F70" s="478"/>
      <c r="G70" s="478"/>
      <c r="H70" s="478"/>
      <c r="I70" s="478"/>
      <c r="J70" s="478"/>
      <c r="K70" s="478" t="s">
        <v>15</v>
      </c>
      <c r="L70" s="478"/>
      <c r="M70" s="478"/>
      <c r="N70" s="58" t="s">
        <v>118</v>
      </c>
      <c r="O70" s="59"/>
      <c r="P70" s="59"/>
      <c r="Q70" s="60"/>
      <c r="R70" s="479" t="s">
        <v>119</v>
      </c>
      <c r="S70" s="480"/>
      <c r="T70" s="480"/>
      <c r="U70" s="481"/>
      <c r="V70" s="478" t="s">
        <v>25</v>
      </c>
      <c r="W70" s="478"/>
      <c r="X70" s="478"/>
      <c r="Y70" s="478"/>
      <c r="AA70" s="61" t="s">
        <v>26</v>
      </c>
      <c r="AB70" s="61"/>
      <c r="AC70" s="61"/>
      <c r="AD70" s="61"/>
      <c r="AE70" s="61"/>
      <c r="AF70" s="61"/>
      <c r="AG70" s="61"/>
      <c r="AH70" s="61"/>
      <c r="AI70" s="61"/>
      <c r="AJ70" s="61"/>
    </row>
    <row r="71" spans="2:36" hidden="1">
      <c r="B71" s="437" t="s">
        <v>17</v>
      </c>
      <c r="C71" s="437"/>
      <c r="D71" s="437"/>
      <c r="E71" s="437"/>
      <c r="F71" s="437"/>
      <c r="G71" s="437"/>
      <c r="H71" s="437"/>
      <c r="I71" s="437"/>
      <c r="J71" s="437"/>
      <c r="K71" s="437" t="s">
        <v>16</v>
      </c>
      <c r="L71" s="437"/>
      <c r="M71" s="437"/>
      <c r="N71" s="62">
        <v>36.700000000000003</v>
      </c>
      <c r="O71" s="62"/>
      <c r="P71" s="62"/>
      <c r="Q71" s="62"/>
      <c r="R71" s="476">
        <v>34.200000000000003</v>
      </c>
      <c r="S71" s="477"/>
      <c r="T71" s="477"/>
      <c r="U71" s="436"/>
      <c r="V71" s="437">
        <v>1.8499999999999999E-2</v>
      </c>
      <c r="W71" s="437"/>
      <c r="X71" s="437"/>
      <c r="Y71" s="437"/>
      <c r="AA71" s="62" t="s">
        <v>27</v>
      </c>
      <c r="AB71" s="62"/>
      <c r="AC71" s="62"/>
      <c r="AD71" s="62"/>
      <c r="AE71" s="62"/>
      <c r="AF71" s="62"/>
      <c r="AG71" s="62"/>
      <c r="AH71" s="62"/>
      <c r="AI71" s="62"/>
      <c r="AJ71" s="62"/>
    </row>
    <row r="72" spans="2:36" hidden="1">
      <c r="B72" s="437" t="s">
        <v>28</v>
      </c>
      <c r="C72" s="437"/>
      <c r="D72" s="437"/>
      <c r="E72" s="437"/>
      <c r="F72" s="437"/>
      <c r="G72" s="437"/>
      <c r="H72" s="437"/>
      <c r="I72" s="437"/>
      <c r="J72" s="437"/>
      <c r="K72" s="437" t="s">
        <v>16</v>
      </c>
      <c r="L72" s="437"/>
      <c r="M72" s="437"/>
      <c r="N72" s="62">
        <v>39.1</v>
      </c>
      <c r="O72" s="62"/>
      <c r="P72" s="62"/>
      <c r="Q72" s="62"/>
      <c r="R72" s="476">
        <v>36.6</v>
      </c>
      <c r="S72" s="477"/>
      <c r="T72" s="477"/>
      <c r="U72" s="436"/>
      <c r="V72" s="437">
        <v>1.89E-2</v>
      </c>
      <c r="W72" s="437"/>
      <c r="X72" s="437"/>
      <c r="Y72" s="437"/>
      <c r="AA72" s="62" t="s">
        <v>29</v>
      </c>
      <c r="AB72" s="62"/>
      <c r="AC72" s="62"/>
      <c r="AD72" s="62"/>
      <c r="AE72" s="62"/>
      <c r="AF72" s="62"/>
      <c r="AG72" s="62"/>
      <c r="AH72" s="62"/>
      <c r="AI72" s="62"/>
      <c r="AJ72" s="62"/>
    </row>
    <row r="73" spans="2:36" hidden="1">
      <c r="B73" s="437" t="s">
        <v>30</v>
      </c>
      <c r="C73" s="437"/>
      <c r="D73" s="437"/>
      <c r="E73" s="437"/>
      <c r="F73" s="437"/>
      <c r="G73" s="437"/>
      <c r="H73" s="437"/>
      <c r="I73" s="437"/>
      <c r="J73" s="437"/>
      <c r="K73" s="437" t="s">
        <v>16</v>
      </c>
      <c r="L73" s="437"/>
      <c r="M73" s="437"/>
      <c r="N73" s="62">
        <v>41.9</v>
      </c>
      <c r="O73" s="62"/>
      <c r="P73" s="62"/>
      <c r="Q73" s="62"/>
      <c r="R73" s="476">
        <v>39.4</v>
      </c>
      <c r="S73" s="477"/>
      <c r="T73" s="477"/>
      <c r="U73" s="436"/>
      <c r="V73" s="437">
        <v>1.95E-2</v>
      </c>
      <c r="W73" s="437"/>
      <c r="X73" s="437"/>
      <c r="Y73" s="437"/>
      <c r="AA73" s="62" t="s">
        <v>31</v>
      </c>
      <c r="AB73" s="62"/>
      <c r="AC73" s="62"/>
      <c r="AD73" s="62"/>
      <c r="AE73" s="62"/>
      <c r="AF73" s="62"/>
      <c r="AG73" s="62"/>
      <c r="AH73" s="62"/>
      <c r="AI73" s="62"/>
      <c r="AJ73" s="62"/>
    </row>
    <row r="74" spans="2:36" hidden="1">
      <c r="B74" s="437" t="s">
        <v>32</v>
      </c>
      <c r="C74" s="437"/>
      <c r="D74" s="437"/>
      <c r="E74" s="437"/>
      <c r="F74" s="437"/>
      <c r="G74" s="437"/>
      <c r="H74" s="437"/>
      <c r="I74" s="437"/>
      <c r="J74" s="437"/>
      <c r="K74" s="437" t="s">
        <v>33</v>
      </c>
      <c r="L74" s="437"/>
      <c r="M74" s="437"/>
      <c r="N74" s="62">
        <v>50.8</v>
      </c>
      <c r="O74" s="62"/>
      <c r="P74" s="62"/>
      <c r="Q74" s="62"/>
      <c r="R74" s="476">
        <v>45.8</v>
      </c>
      <c r="S74" s="477"/>
      <c r="T74" s="477"/>
      <c r="U74" s="436"/>
      <c r="V74" s="437">
        <v>1.61E-2</v>
      </c>
      <c r="W74" s="437"/>
      <c r="X74" s="437"/>
      <c r="Y74" s="437"/>
      <c r="AA74" s="63"/>
      <c r="AB74" s="63"/>
      <c r="AC74" s="63"/>
      <c r="AD74" s="63"/>
      <c r="AE74" s="63"/>
      <c r="AF74" s="63"/>
      <c r="AG74" s="63"/>
      <c r="AH74" s="63"/>
      <c r="AI74" s="63"/>
      <c r="AJ74" s="63"/>
    </row>
    <row r="75" spans="2:36" hidden="1">
      <c r="B75" s="437" t="s">
        <v>34</v>
      </c>
      <c r="C75" s="437"/>
      <c r="D75" s="437"/>
      <c r="E75" s="437"/>
      <c r="F75" s="437"/>
      <c r="G75" s="437"/>
      <c r="H75" s="437"/>
      <c r="I75" s="437"/>
      <c r="J75" s="437"/>
      <c r="K75" s="437" t="s">
        <v>33</v>
      </c>
      <c r="L75" s="437"/>
      <c r="M75" s="437"/>
      <c r="N75" s="62">
        <v>54.6</v>
      </c>
      <c r="O75" s="62"/>
      <c r="P75" s="62"/>
      <c r="Q75" s="62"/>
      <c r="R75" s="476">
        <v>49.2</v>
      </c>
      <c r="S75" s="477"/>
      <c r="T75" s="477"/>
      <c r="U75" s="436"/>
      <c r="V75" s="437">
        <v>1.35E-2</v>
      </c>
      <c r="W75" s="437"/>
      <c r="X75" s="437"/>
      <c r="Y75" s="437"/>
      <c r="AA75" s="61" t="s">
        <v>0</v>
      </c>
      <c r="AB75" s="61"/>
      <c r="AC75" s="61"/>
      <c r="AD75" s="61"/>
      <c r="AE75" s="61"/>
      <c r="AF75" s="61"/>
      <c r="AG75" s="61"/>
      <c r="AH75" s="61"/>
      <c r="AI75" s="61"/>
      <c r="AJ75" s="61"/>
    </row>
    <row r="76" spans="2:36" hidden="1">
      <c r="B76" s="437" t="s">
        <v>35</v>
      </c>
      <c r="C76" s="437"/>
      <c r="D76" s="437"/>
      <c r="E76" s="437"/>
      <c r="F76" s="437"/>
      <c r="G76" s="437"/>
      <c r="H76" s="437"/>
      <c r="I76" s="437"/>
      <c r="J76" s="437"/>
      <c r="K76" s="437" t="s">
        <v>36</v>
      </c>
      <c r="L76" s="437"/>
      <c r="M76" s="437"/>
      <c r="N76" s="62">
        <v>45</v>
      </c>
      <c r="O76" s="62"/>
      <c r="P76" s="62"/>
      <c r="Q76" s="62"/>
      <c r="R76" s="476">
        <v>40.6</v>
      </c>
      <c r="S76" s="477"/>
      <c r="T76" s="477"/>
      <c r="U76" s="436"/>
      <c r="V76" s="437">
        <v>1.3599999999999999E-2</v>
      </c>
      <c r="W76" s="437"/>
      <c r="X76" s="437"/>
      <c r="Y76" s="437"/>
      <c r="AA76" s="62" t="s">
        <v>37</v>
      </c>
      <c r="AB76" s="62"/>
      <c r="AC76" s="62"/>
      <c r="AD76" s="62"/>
      <c r="AE76" s="62"/>
      <c r="AF76" s="62"/>
      <c r="AG76" s="62"/>
      <c r="AH76" s="62"/>
      <c r="AI76" s="62"/>
      <c r="AJ76" s="62"/>
    </row>
    <row r="77" spans="2:36" hidden="1">
      <c r="B77" s="437" t="s">
        <v>38</v>
      </c>
      <c r="C77" s="437"/>
      <c r="D77" s="437"/>
      <c r="E77" s="437"/>
      <c r="F77" s="437"/>
      <c r="G77" s="437"/>
      <c r="H77" s="437"/>
      <c r="I77" s="437"/>
      <c r="J77" s="437"/>
      <c r="K77" s="437" t="s">
        <v>36</v>
      </c>
      <c r="L77" s="437"/>
      <c r="M77" s="437"/>
      <c r="N77" s="62">
        <v>43.12</v>
      </c>
      <c r="O77" s="62"/>
      <c r="P77" s="62"/>
      <c r="Q77" s="62"/>
      <c r="R77" s="482">
        <f>N77*0.902</f>
        <v>38.894239999999996</v>
      </c>
      <c r="S77" s="483"/>
      <c r="T77" s="483"/>
      <c r="U77" s="484"/>
      <c r="V77" s="437">
        <v>1.3599999999999999E-2</v>
      </c>
      <c r="W77" s="437"/>
      <c r="X77" s="437"/>
      <c r="Y77" s="437"/>
      <c r="AA77" s="62" t="s">
        <v>39</v>
      </c>
      <c r="AB77" s="62"/>
      <c r="AC77" s="62"/>
      <c r="AD77" s="62"/>
      <c r="AE77" s="62"/>
      <c r="AF77" s="62"/>
      <c r="AG77" s="62"/>
      <c r="AH77" s="62"/>
      <c r="AI77" s="62"/>
      <c r="AJ77" s="62"/>
    </row>
    <row r="78" spans="2:36" hidden="1">
      <c r="B78" s="437" t="s">
        <v>40</v>
      </c>
      <c r="C78" s="437"/>
      <c r="D78" s="437"/>
      <c r="E78" s="437"/>
      <c r="F78" s="437"/>
      <c r="G78" s="437"/>
      <c r="H78" s="437"/>
      <c r="I78" s="437"/>
      <c r="J78" s="437"/>
      <c r="K78" s="437" t="s">
        <v>36</v>
      </c>
      <c r="L78" s="437"/>
      <c r="M78" s="437"/>
      <c r="N78" s="62">
        <v>46.04</v>
      </c>
      <c r="O78" s="62"/>
      <c r="P78" s="62"/>
      <c r="Q78" s="62"/>
      <c r="R78" s="482">
        <f>N78*0.902</f>
        <v>41.528080000000003</v>
      </c>
      <c r="S78" s="483"/>
      <c r="T78" s="483"/>
      <c r="U78" s="484"/>
      <c r="V78" s="437">
        <v>1.3599999999999999E-2</v>
      </c>
      <c r="W78" s="437"/>
      <c r="X78" s="437"/>
      <c r="Y78" s="437"/>
      <c r="AA78" s="62" t="s">
        <v>41</v>
      </c>
      <c r="AB78" s="62"/>
      <c r="AC78" s="62"/>
      <c r="AD78" s="62"/>
      <c r="AE78" s="62"/>
      <c r="AF78" s="62"/>
      <c r="AG78" s="62"/>
      <c r="AH78" s="62"/>
      <c r="AI78" s="62"/>
      <c r="AJ78" s="62"/>
    </row>
    <row r="79" spans="2:36" hidden="1">
      <c r="B79" s="437" t="s">
        <v>42</v>
      </c>
      <c r="C79" s="437"/>
      <c r="D79" s="437"/>
      <c r="E79" s="437"/>
      <c r="F79" s="437"/>
      <c r="G79" s="437"/>
      <c r="H79" s="437"/>
      <c r="I79" s="437"/>
      <c r="J79" s="437"/>
      <c r="K79" s="437" t="s">
        <v>36</v>
      </c>
      <c r="L79" s="437"/>
      <c r="M79" s="437"/>
      <c r="N79" s="62">
        <v>41.86</v>
      </c>
      <c r="O79" s="62"/>
      <c r="P79" s="62"/>
      <c r="Q79" s="62"/>
      <c r="R79" s="482">
        <f>N79*0.902</f>
        <v>37.757719999999999</v>
      </c>
      <c r="S79" s="483"/>
      <c r="T79" s="483"/>
      <c r="U79" s="484"/>
      <c r="V79" s="437">
        <v>1.3599999999999999E-2</v>
      </c>
      <c r="W79" s="437"/>
      <c r="X79" s="437"/>
      <c r="Y79" s="437"/>
      <c r="AA79" s="64" t="s">
        <v>43</v>
      </c>
      <c r="AB79" s="64"/>
      <c r="AC79" s="64"/>
      <c r="AD79" s="64"/>
      <c r="AE79" s="64"/>
      <c r="AF79" s="64"/>
      <c r="AG79" s="64"/>
      <c r="AH79" s="64"/>
      <c r="AI79" s="64"/>
      <c r="AJ79" s="64"/>
    </row>
    <row r="80" spans="2:36" hidden="1">
      <c r="B80" s="437" t="s">
        <v>44</v>
      </c>
      <c r="C80" s="437"/>
      <c r="D80" s="437"/>
      <c r="E80" s="437"/>
      <c r="F80" s="437"/>
      <c r="G80" s="437"/>
      <c r="H80" s="437"/>
      <c r="I80" s="437"/>
      <c r="J80" s="437"/>
      <c r="K80" s="437" t="s">
        <v>36</v>
      </c>
      <c r="L80" s="437"/>
      <c r="M80" s="437"/>
      <c r="N80" s="62">
        <v>29.3</v>
      </c>
      <c r="O80" s="62"/>
      <c r="P80" s="62"/>
      <c r="Q80" s="62"/>
      <c r="R80" s="482">
        <f>N80*0.902</f>
        <v>26.428600000000003</v>
      </c>
      <c r="S80" s="483"/>
      <c r="T80" s="483"/>
      <c r="U80" s="484"/>
      <c r="V80" s="437">
        <v>1.3599999999999999E-2</v>
      </c>
      <c r="W80" s="437"/>
      <c r="X80" s="437"/>
      <c r="Y80" s="437"/>
    </row>
    <row r="81" hidden="1"/>
  </sheetData>
  <sheetProtection formatCells="0"/>
  <mergeCells count="215"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A1:K2"/>
    <mergeCell ref="L1:AA2"/>
    <mergeCell ref="AB1:AC2"/>
    <mergeCell ref="AD1:AI2"/>
    <mergeCell ref="A3:H4"/>
    <mergeCell ref="I3:K4"/>
    <mergeCell ref="L3:V4"/>
    <mergeCell ref="W3:AI4"/>
    <mergeCell ref="A5:AI5"/>
  </mergeCells>
  <phoneticPr fontId="17"/>
  <conditionalFormatting sqref="Q19:V20 Q21:T22 O19:O22 I35">
    <cfRule type="containsBlanks" dxfId="20" priority="21">
      <formula>LEN(TRIM(I19))=0</formula>
    </cfRule>
  </conditionalFormatting>
  <conditionalFormatting sqref="C41:C44">
    <cfRule type="containsBlanks" dxfId="19" priority="20">
      <formula>LEN(TRIM(C41))=0</formula>
    </cfRule>
  </conditionalFormatting>
  <conditionalFormatting sqref="Q21:T22">
    <cfRule type="containsBlanks" priority="19">
      <formula>LEN(TRIM(Q21))=0</formula>
    </cfRule>
  </conditionalFormatting>
  <conditionalFormatting sqref="K19:K22">
    <cfRule type="containsBlanks" dxfId="18" priority="18">
      <formula>LEN(TRIM(K19))=0</formula>
    </cfRule>
  </conditionalFormatting>
  <conditionalFormatting sqref="C19:C22">
    <cfRule type="containsBlanks" dxfId="17" priority="17">
      <formula>LEN(TRIM(C19))=0</formula>
    </cfRule>
  </conditionalFormatting>
  <conditionalFormatting sqref="I33:P33">
    <cfRule type="containsBlanks" dxfId="16" priority="22">
      <formula>LEN(TRIM(I33))=0</formula>
    </cfRule>
  </conditionalFormatting>
  <conditionalFormatting sqref="I34:P34">
    <cfRule type="containsBlanks" dxfId="15" priority="16">
      <formula>LEN(TRIM(I34))=0</formula>
    </cfRule>
  </conditionalFormatting>
  <conditionalFormatting sqref="R41:R44">
    <cfRule type="containsBlanks" dxfId="14" priority="15">
      <formula>LEN(TRIM(R41))=0</formula>
    </cfRule>
  </conditionalFormatting>
  <conditionalFormatting sqref="P41:Q44">
    <cfRule type="containsBlanks" dxfId="13" priority="14">
      <formula>LEN(TRIM(P41))=0</formula>
    </cfRule>
  </conditionalFormatting>
  <conditionalFormatting sqref="T41:T44">
    <cfRule type="containsBlanks" dxfId="12" priority="13">
      <formula>LEN(TRIM(T41))=0</formula>
    </cfRule>
  </conditionalFormatting>
  <conditionalFormatting sqref="U19:Z22">
    <cfRule type="containsBlanks" dxfId="11" priority="12">
      <formula>LEN(TRIM(U19))=0</formula>
    </cfRule>
  </conditionalFormatting>
  <conditionalFormatting sqref="AC19:AD22">
    <cfRule type="containsBlanks" dxfId="10" priority="11">
      <formula>LEN(TRIM(AC19))=0</formula>
    </cfRule>
  </conditionalFormatting>
  <conditionalFormatting sqref="L24:Z24">
    <cfRule type="expression" dxfId="9" priority="23">
      <formula>($K$24="")</formula>
    </cfRule>
  </conditionalFormatting>
  <conditionalFormatting sqref="C11:Q14">
    <cfRule type="containsBlanks" dxfId="8" priority="10">
      <formula>LEN(TRIM(C11))=0</formula>
    </cfRule>
  </conditionalFormatting>
  <conditionalFormatting sqref="S11:AG14">
    <cfRule type="containsBlanks" dxfId="7" priority="9">
      <formula>LEN(TRIM(S11))=0</formula>
    </cfRule>
  </conditionalFormatting>
  <conditionalFormatting sqref="W45">
    <cfRule type="expression" dxfId="6" priority="24">
      <formula>$T$45=1</formula>
    </cfRule>
  </conditionalFormatting>
  <conditionalFormatting sqref="P27:U28">
    <cfRule type="notContainsBlanks" dxfId="5" priority="8">
      <formula>LEN(TRIM(P27))&gt;0</formula>
    </cfRule>
    <cfRule type="expression" dxfId="4" priority="25">
      <formula>AQ7=2</formula>
    </cfRule>
  </conditionalFormatting>
  <conditionalFormatting sqref="P50:U51">
    <cfRule type="notContainsBlanks" dxfId="3" priority="5">
      <formula>LEN(TRIM(P50))&gt;0</formula>
    </cfRule>
    <cfRule type="expression" dxfId="2" priority="6">
      <formula>AQ7=2</formula>
    </cfRule>
  </conditionalFormatting>
  <conditionalFormatting sqref="L41:L44">
    <cfRule type="containsBlanks" dxfId="1" priority="2">
      <formula>LEN(TRIM(L41))=0</formula>
    </cfRule>
  </conditionalFormatting>
  <conditionalFormatting sqref="I3:K4">
    <cfRule type="containsBlanks" dxfId="0" priority="1">
      <formula>LEN(TRIM(I3))=0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8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2</xdr:row>
                    <xdr:rowOff>47625</xdr:rowOff>
                  </from>
                  <to>
                    <xdr:col>23</xdr:col>
                    <xdr:colOff>114300</xdr:colOff>
                    <xdr:row>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28575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A5:AL183"/>
  <sheetViews>
    <sheetView workbookViewId="0">
      <selection activeCell="BU21" sqref="BU21"/>
    </sheetView>
  </sheetViews>
  <sheetFormatPr defaultRowHeight="13.5"/>
  <cols>
    <col min="5" max="5" width="9.875" bestFit="1" customWidth="1"/>
    <col min="21" max="21" width="9.875" bestFit="1" customWidth="1"/>
    <col min="22" max="22" width="9.75" customWidth="1"/>
    <col min="23" max="24" width="9.875" bestFit="1" customWidth="1"/>
  </cols>
  <sheetData>
    <row r="5" spans="1:38">
      <c r="A5" s="1"/>
      <c r="B5" s="1"/>
      <c r="C5" s="1"/>
      <c r="D5" s="1"/>
      <c r="E5" s="1"/>
      <c r="F5" s="494"/>
      <c r="G5" s="497" t="s">
        <v>139</v>
      </c>
      <c r="H5" s="497"/>
      <c r="I5" s="497"/>
      <c r="J5" s="497"/>
      <c r="K5" s="497" t="s">
        <v>140</v>
      </c>
      <c r="L5" s="497"/>
      <c r="M5" s="497"/>
      <c r="N5" s="497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>
      <c r="A6" s="1"/>
      <c r="F6" s="495"/>
      <c r="G6" s="491" t="s">
        <v>142</v>
      </c>
      <c r="H6" s="493"/>
      <c r="I6" s="491" t="s">
        <v>144</v>
      </c>
      <c r="J6" s="493"/>
      <c r="K6" s="491" t="s">
        <v>142</v>
      </c>
      <c r="L6" s="493"/>
      <c r="M6" s="491" t="s">
        <v>144</v>
      </c>
      <c r="N6" s="493"/>
    </row>
    <row r="7" spans="1:38">
      <c r="A7" s="1"/>
      <c r="F7" s="496"/>
      <c r="G7" s="28" t="s">
        <v>145</v>
      </c>
      <c r="H7" s="28" t="s">
        <v>146</v>
      </c>
      <c r="I7" s="28" t="s">
        <v>145</v>
      </c>
      <c r="J7" s="28" t="s">
        <v>146</v>
      </c>
      <c r="K7" s="28" t="s">
        <v>145</v>
      </c>
      <c r="L7" s="28" t="s">
        <v>146</v>
      </c>
      <c r="M7" s="28" t="s">
        <v>145</v>
      </c>
      <c r="N7" s="28" t="s">
        <v>146</v>
      </c>
    </row>
    <row r="8" spans="1:38">
      <c r="A8" s="1"/>
      <c r="F8" s="66" t="s">
        <v>147</v>
      </c>
      <c r="G8" s="67">
        <v>0.14699999999999999</v>
      </c>
      <c r="H8" s="67">
        <v>0.13700000000000001</v>
      </c>
      <c r="I8" s="68">
        <v>0.20799999999999999</v>
      </c>
      <c r="J8" s="68">
        <v>0.151</v>
      </c>
      <c r="K8" s="67">
        <v>0.16400000000000001</v>
      </c>
      <c r="L8" s="67">
        <v>0.16</v>
      </c>
      <c r="M8" s="68">
        <v>0.10199999999999999</v>
      </c>
      <c r="N8" s="68">
        <v>8.7999999999999995E-2</v>
      </c>
    </row>
    <row r="9" spans="1:38">
      <c r="A9" s="1"/>
      <c r="F9" s="28" t="s">
        <v>148</v>
      </c>
      <c r="G9" s="67">
        <v>0.248</v>
      </c>
      <c r="H9" s="67">
        <v>0.20599999999999999</v>
      </c>
      <c r="I9" s="68">
        <v>0.14399999999999999</v>
      </c>
      <c r="J9" s="68">
        <v>0.13200000000000001</v>
      </c>
      <c r="K9" s="67">
        <v>0.26800000000000002</v>
      </c>
      <c r="L9" s="67">
        <v>0.25700000000000001</v>
      </c>
      <c r="M9" s="68">
        <v>7.5999999999999998E-2</v>
      </c>
      <c r="N9" s="68">
        <v>4.4999999999999998E-2</v>
      </c>
    </row>
    <row r="10" spans="1:38">
      <c r="A10" s="1"/>
      <c r="F10" s="28" t="s">
        <v>149</v>
      </c>
      <c r="G10" s="67">
        <v>0.30499999999999999</v>
      </c>
      <c r="H10" s="67">
        <v>0.249</v>
      </c>
      <c r="I10" s="68">
        <v>0</v>
      </c>
      <c r="J10" s="68">
        <v>0</v>
      </c>
      <c r="K10" s="67">
        <v>0.378</v>
      </c>
      <c r="L10" s="67">
        <v>0.317</v>
      </c>
      <c r="M10" s="68">
        <v>0</v>
      </c>
      <c r="N10" s="68">
        <v>0</v>
      </c>
    </row>
    <row r="11" spans="1:38">
      <c r="A11" s="1"/>
      <c r="F11" s="28" t="s">
        <v>150</v>
      </c>
      <c r="G11" s="67">
        <v>0.54600000000000004</v>
      </c>
      <c r="H11" s="67">
        <v>0.54400000000000004</v>
      </c>
      <c r="I11" s="68">
        <v>0</v>
      </c>
      <c r="J11" s="68">
        <v>0</v>
      </c>
      <c r="K11" s="67">
        <v>0.58699999999999997</v>
      </c>
      <c r="L11" s="67">
        <v>0.57299999999999995</v>
      </c>
      <c r="M11" s="68">
        <v>0</v>
      </c>
      <c r="N11" s="68">
        <v>0</v>
      </c>
    </row>
    <row r="12" spans="1:38">
      <c r="A12" s="1"/>
      <c r="F12" s="28" t="s">
        <v>151</v>
      </c>
      <c r="G12" s="67">
        <v>0.58699999999999997</v>
      </c>
      <c r="H12" s="67">
        <v>0.53400000000000003</v>
      </c>
      <c r="I12" s="68">
        <v>0</v>
      </c>
      <c r="J12" s="68">
        <v>0</v>
      </c>
      <c r="K12" s="67">
        <v>0.626</v>
      </c>
      <c r="L12" s="67">
        <v>0.61499999999999999</v>
      </c>
      <c r="M12" s="68">
        <v>0</v>
      </c>
      <c r="N12" s="68">
        <v>0</v>
      </c>
    </row>
    <row r="13" spans="1:38">
      <c r="A13" s="1"/>
      <c r="F13" s="28" t="s">
        <v>152</v>
      </c>
      <c r="G13" s="67">
        <v>0.372</v>
      </c>
      <c r="H13" s="67">
        <v>0.432</v>
      </c>
      <c r="I13" s="68">
        <v>0</v>
      </c>
      <c r="J13" s="68">
        <v>0</v>
      </c>
      <c r="K13" s="67">
        <v>0.436</v>
      </c>
      <c r="L13" s="67">
        <v>0.48399999999999999</v>
      </c>
      <c r="M13" s="68">
        <v>0</v>
      </c>
      <c r="N13" s="68">
        <v>0</v>
      </c>
    </row>
    <row r="14" spans="1:38">
      <c r="A14" s="1"/>
      <c r="F14" s="28" t="s">
        <v>153</v>
      </c>
      <c r="G14" s="67">
        <v>0.18</v>
      </c>
      <c r="H14" s="67">
        <v>0.20599999999999999</v>
      </c>
      <c r="I14" s="68">
        <v>0.14799999999999999</v>
      </c>
      <c r="J14" s="68">
        <v>6.2E-2</v>
      </c>
      <c r="K14" s="67">
        <v>0.21</v>
      </c>
      <c r="L14" s="67">
        <v>0.23499999999999999</v>
      </c>
      <c r="M14" s="68">
        <v>4.4999999999999998E-2</v>
      </c>
      <c r="N14" s="68">
        <v>0</v>
      </c>
    </row>
    <row r="15" spans="1:38">
      <c r="A15" s="1"/>
      <c r="F15" s="28" t="s">
        <v>154</v>
      </c>
      <c r="G15" s="67">
        <v>8.5000000000000006E-2</v>
      </c>
      <c r="H15" s="67">
        <v>0.129</v>
      </c>
      <c r="I15" s="68">
        <v>0.245</v>
      </c>
      <c r="J15" s="68">
        <v>0.17100000000000001</v>
      </c>
      <c r="K15" s="67">
        <v>0.16900000000000001</v>
      </c>
      <c r="L15" s="67">
        <v>0.13600000000000001</v>
      </c>
      <c r="M15" s="68">
        <v>0.13100000000000001</v>
      </c>
      <c r="N15" s="68">
        <v>0.09</v>
      </c>
    </row>
    <row r="16" spans="1:38">
      <c r="A16" s="1"/>
      <c r="F16" s="28" t="s">
        <v>155</v>
      </c>
      <c r="G16" s="67">
        <v>0</v>
      </c>
      <c r="H16" s="67">
        <v>0</v>
      </c>
      <c r="I16" s="68">
        <v>0.45</v>
      </c>
      <c r="J16" s="68">
        <v>0.312</v>
      </c>
      <c r="K16" s="67">
        <v>0</v>
      </c>
      <c r="L16" s="67">
        <v>0</v>
      </c>
      <c r="M16" s="68">
        <v>0.224</v>
      </c>
      <c r="N16" s="68">
        <v>0.151</v>
      </c>
    </row>
    <row r="17" spans="1:23">
      <c r="A17" s="1"/>
      <c r="F17" s="28" t="s">
        <v>156</v>
      </c>
      <c r="G17" s="67">
        <v>0</v>
      </c>
      <c r="H17" s="67">
        <v>0</v>
      </c>
      <c r="I17" s="68">
        <v>0.56499999999999995</v>
      </c>
      <c r="J17" s="68">
        <v>0.44600000000000001</v>
      </c>
      <c r="K17" s="67">
        <v>0</v>
      </c>
      <c r="L17" s="67">
        <v>0</v>
      </c>
      <c r="M17" s="68">
        <v>0.27800000000000002</v>
      </c>
      <c r="N17" s="68">
        <v>0.19900000000000001</v>
      </c>
    </row>
    <row r="18" spans="1:23">
      <c r="A18" s="1"/>
      <c r="F18" s="28" t="s">
        <v>157</v>
      </c>
      <c r="G18" s="67">
        <v>0</v>
      </c>
      <c r="H18" s="67">
        <v>0</v>
      </c>
      <c r="I18" s="68">
        <v>0.52900000000000003</v>
      </c>
      <c r="J18" s="68">
        <v>0.432</v>
      </c>
      <c r="K18" s="67">
        <v>0</v>
      </c>
      <c r="L18" s="67">
        <v>0</v>
      </c>
      <c r="M18" s="68">
        <v>0.25</v>
      </c>
      <c r="N18" s="68">
        <v>0.193</v>
      </c>
    </row>
    <row r="19" spans="1:23">
      <c r="A19" s="1"/>
      <c r="F19" s="28" t="s">
        <v>158</v>
      </c>
      <c r="G19" s="67">
        <v>0</v>
      </c>
      <c r="H19" s="67">
        <v>0.107</v>
      </c>
      <c r="I19" s="68">
        <v>0.38900000000000001</v>
      </c>
      <c r="J19" s="68">
        <v>0.32500000000000001</v>
      </c>
      <c r="K19" s="67">
        <v>5.8000000000000003E-2</v>
      </c>
      <c r="L19" s="67">
        <v>0.188</v>
      </c>
      <c r="M19" s="68">
        <v>0.20100000000000001</v>
      </c>
      <c r="N19" s="68">
        <v>0.14599999999999999</v>
      </c>
    </row>
    <row r="20" spans="1:23">
      <c r="A20" s="1"/>
    </row>
    <row r="21" spans="1:23">
      <c r="A21" s="1"/>
    </row>
    <row r="22" spans="1:23">
      <c r="A22" s="1"/>
      <c r="F22" s="4" t="s">
        <v>159</v>
      </c>
      <c r="G22" s="4" t="s">
        <v>139</v>
      </c>
      <c r="H22" s="4"/>
      <c r="I22" s="4"/>
      <c r="J22" s="4"/>
      <c r="K22" s="4" t="s">
        <v>140</v>
      </c>
      <c r="L22" s="4"/>
      <c r="M22" s="4"/>
      <c r="N22" s="4"/>
      <c r="P22" t="s">
        <v>162</v>
      </c>
      <c r="U22" t="s">
        <v>169</v>
      </c>
    </row>
    <row r="23" spans="1:23">
      <c r="A23" s="1"/>
      <c r="F23" s="4"/>
      <c r="G23" s="4" t="s">
        <v>142</v>
      </c>
      <c r="H23" s="4"/>
      <c r="I23" s="4" t="s">
        <v>144</v>
      </c>
      <c r="J23" s="4"/>
      <c r="K23" s="4" t="s">
        <v>142</v>
      </c>
      <c r="L23" s="4"/>
      <c r="M23" s="4" t="s">
        <v>144</v>
      </c>
      <c r="N23" s="4"/>
    </row>
    <row r="24" spans="1:23">
      <c r="A24" s="1"/>
      <c r="F24" s="4"/>
      <c r="G24" s="4" t="s">
        <v>145</v>
      </c>
      <c r="H24" s="4" t="s">
        <v>146</v>
      </c>
      <c r="I24" s="4" t="s">
        <v>145</v>
      </c>
      <c r="J24" s="4" t="s">
        <v>146</v>
      </c>
      <c r="K24" s="4" t="s">
        <v>145</v>
      </c>
      <c r="L24" s="4" t="s">
        <v>146</v>
      </c>
      <c r="M24" s="4" t="s">
        <v>145</v>
      </c>
      <c r="N24" s="4" t="s">
        <v>146</v>
      </c>
      <c r="P24" s="4" t="s">
        <v>139</v>
      </c>
      <c r="R24" s="4" t="s">
        <v>140</v>
      </c>
    </row>
    <row r="25" spans="1:23">
      <c r="A25" s="1"/>
      <c r="F25" s="4"/>
      <c r="G25" s="4">
        <v>111</v>
      </c>
      <c r="H25" s="4">
        <v>121</v>
      </c>
      <c r="I25" s="4">
        <v>112</v>
      </c>
      <c r="J25" s="4">
        <v>122</v>
      </c>
      <c r="K25" s="4">
        <v>211</v>
      </c>
      <c r="L25" s="4">
        <v>221</v>
      </c>
      <c r="M25" s="4">
        <v>212</v>
      </c>
      <c r="N25" s="4">
        <v>222</v>
      </c>
      <c r="P25" s="4" t="s">
        <v>142</v>
      </c>
      <c r="Q25" s="4" t="s">
        <v>144</v>
      </c>
      <c r="R25" s="4" t="s">
        <v>142</v>
      </c>
      <c r="S25" s="4" t="s">
        <v>144</v>
      </c>
      <c r="U25" s="4" t="s">
        <v>142</v>
      </c>
      <c r="V25" s="4" t="s">
        <v>144</v>
      </c>
      <c r="W25" s="4" t="s">
        <v>168</v>
      </c>
    </row>
    <row r="26" spans="1:23">
      <c r="A26" s="1"/>
      <c r="F26" s="4" t="s">
        <v>147</v>
      </c>
      <c r="G26" s="69">
        <v>0.14699999999999999</v>
      </c>
      <c r="H26" s="69">
        <v>0.13700000000000001</v>
      </c>
      <c r="I26" s="70">
        <v>0.20799999999999999</v>
      </c>
      <c r="J26" s="70">
        <v>0.151</v>
      </c>
      <c r="K26" s="69">
        <v>0.16400000000000001</v>
      </c>
      <c r="L26" s="69">
        <v>0.16</v>
      </c>
      <c r="M26" s="70">
        <v>0.10199999999999999</v>
      </c>
      <c r="N26" s="70">
        <v>8.7999999999999995E-2</v>
      </c>
      <c r="P26" s="74">
        <f>(G26+H26)/2</f>
        <v>0.14200000000000002</v>
      </c>
      <c r="Q26" s="73">
        <f t="shared" ref="Q26:Q37" si="0">(I26+J26)/2</f>
        <v>0.17949999999999999</v>
      </c>
      <c r="R26" s="74">
        <f t="shared" ref="R26:R37" si="1">(K26+L26)/2</f>
        <v>0.16200000000000001</v>
      </c>
      <c r="S26" s="73">
        <f t="shared" ref="S26:S37" si="2">(M26+N26)/2</f>
        <v>9.5000000000000001E-2</v>
      </c>
      <c r="U26" s="74">
        <f>(P26+R26)/2</f>
        <v>0.15200000000000002</v>
      </c>
      <c r="V26" s="73">
        <f>(Q26+S26)/2</f>
        <v>0.13724999999999998</v>
      </c>
      <c r="W26" s="76">
        <f>MAX(U26:V26)</f>
        <v>0.15200000000000002</v>
      </c>
    </row>
    <row r="27" spans="1:23">
      <c r="A27" s="1"/>
      <c r="F27" s="4" t="s">
        <v>148</v>
      </c>
      <c r="G27" s="69">
        <v>0.248</v>
      </c>
      <c r="H27" s="69">
        <v>0.20599999999999999</v>
      </c>
      <c r="I27" s="70">
        <v>0.14399999999999999</v>
      </c>
      <c r="J27" s="70">
        <v>0.13200000000000001</v>
      </c>
      <c r="K27" s="69">
        <v>0.26800000000000002</v>
      </c>
      <c r="L27" s="69">
        <v>0.25700000000000001</v>
      </c>
      <c r="M27" s="70">
        <v>7.5999999999999998E-2</v>
      </c>
      <c r="N27" s="70">
        <v>4.4999999999999998E-2</v>
      </c>
      <c r="P27" s="74">
        <f t="shared" ref="P27:P37" si="3">(G27+H27)/2</f>
        <v>0.22699999999999998</v>
      </c>
      <c r="Q27" s="73">
        <f t="shared" si="0"/>
        <v>0.13800000000000001</v>
      </c>
      <c r="R27" s="74">
        <f t="shared" si="1"/>
        <v>0.26250000000000001</v>
      </c>
      <c r="S27" s="73">
        <f t="shared" si="2"/>
        <v>6.0499999999999998E-2</v>
      </c>
      <c r="U27" s="74">
        <f t="shared" ref="U27:V37" si="4">(P27+R27)/2</f>
        <v>0.24475</v>
      </c>
      <c r="V27" s="73">
        <f t="shared" si="4"/>
        <v>9.9250000000000005E-2</v>
      </c>
      <c r="W27" s="76">
        <f t="shared" ref="W27:W37" si="5">MAX(U27:V27)</f>
        <v>0.24475</v>
      </c>
    </row>
    <row r="28" spans="1:23">
      <c r="A28" s="1"/>
      <c r="F28" s="4" t="s">
        <v>149</v>
      </c>
      <c r="G28" s="69">
        <v>0.30499999999999999</v>
      </c>
      <c r="H28" s="69">
        <v>0.249</v>
      </c>
      <c r="I28" s="70">
        <v>0</v>
      </c>
      <c r="J28" s="70">
        <v>0</v>
      </c>
      <c r="K28" s="69">
        <v>0.378</v>
      </c>
      <c r="L28" s="69">
        <v>0.317</v>
      </c>
      <c r="M28" s="70">
        <v>0</v>
      </c>
      <c r="N28" s="70">
        <v>0</v>
      </c>
      <c r="P28" s="74">
        <f t="shared" si="3"/>
        <v>0.27700000000000002</v>
      </c>
      <c r="Q28" s="73">
        <f t="shared" si="0"/>
        <v>0</v>
      </c>
      <c r="R28" s="74">
        <f t="shared" si="1"/>
        <v>0.34750000000000003</v>
      </c>
      <c r="S28" s="73">
        <f t="shared" si="2"/>
        <v>0</v>
      </c>
      <c r="U28" s="74">
        <f t="shared" si="4"/>
        <v>0.31225000000000003</v>
      </c>
      <c r="V28" s="73">
        <f t="shared" si="4"/>
        <v>0</v>
      </c>
      <c r="W28" s="76">
        <f t="shared" si="5"/>
        <v>0.31225000000000003</v>
      </c>
    </row>
    <row r="29" spans="1:23">
      <c r="A29" s="1"/>
      <c r="F29" s="4" t="s">
        <v>150</v>
      </c>
      <c r="G29" s="69">
        <v>0.54600000000000004</v>
      </c>
      <c r="H29" s="69">
        <v>0.54400000000000004</v>
      </c>
      <c r="I29" s="70">
        <v>0</v>
      </c>
      <c r="J29" s="70">
        <v>0</v>
      </c>
      <c r="K29" s="69">
        <v>0.58699999999999997</v>
      </c>
      <c r="L29" s="69">
        <v>0.57299999999999995</v>
      </c>
      <c r="M29" s="70">
        <v>0</v>
      </c>
      <c r="N29" s="70">
        <v>0</v>
      </c>
      <c r="P29" s="74">
        <f t="shared" si="3"/>
        <v>0.54500000000000004</v>
      </c>
      <c r="Q29" s="73">
        <f t="shared" si="0"/>
        <v>0</v>
      </c>
      <c r="R29" s="74">
        <f t="shared" si="1"/>
        <v>0.57999999999999996</v>
      </c>
      <c r="S29" s="73">
        <f t="shared" si="2"/>
        <v>0</v>
      </c>
      <c r="U29" s="74">
        <f t="shared" si="4"/>
        <v>0.5625</v>
      </c>
      <c r="V29" s="73">
        <f t="shared" si="4"/>
        <v>0</v>
      </c>
      <c r="W29" s="76">
        <f t="shared" si="5"/>
        <v>0.5625</v>
      </c>
    </row>
    <row r="30" spans="1:23">
      <c r="A30" s="1"/>
      <c r="F30" s="4" t="s">
        <v>151</v>
      </c>
      <c r="G30" s="69">
        <v>0.58699999999999997</v>
      </c>
      <c r="H30" s="69">
        <v>0.53400000000000003</v>
      </c>
      <c r="I30" s="70">
        <v>0</v>
      </c>
      <c r="J30" s="70">
        <v>0</v>
      </c>
      <c r="K30" s="69">
        <v>0.626</v>
      </c>
      <c r="L30" s="69">
        <v>0.61499999999999999</v>
      </c>
      <c r="M30" s="70">
        <v>0</v>
      </c>
      <c r="N30" s="70">
        <v>0</v>
      </c>
      <c r="P30" s="74">
        <f t="shared" si="3"/>
        <v>0.5605</v>
      </c>
      <c r="Q30" s="73">
        <f t="shared" si="0"/>
        <v>0</v>
      </c>
      <c r="R30" s="74">
        <f t="shared" si="1"/>
        <v>0.62050000000000005</v>
      </c>
      <c r="S30" s="73">
        <f t="shared" si="2"/>
        <v>0</v>
      </c>
      <c r="U30" s="74">
        <f t="shared" si="4"/>
        <v>0.59050000000000002</v>
      </c>
      <c r="V30" s="73">
        <f t="shared" si="4"/>
        <v>0</v>
      </c>
      <c r="W30" s="76">
        <f t="shared" si="5"/>
        <v>0.59050000000000002</v>
      </c>
    </row>
    <row r="31" spans="1:23">
      <c r="A31" s="1"/>
      <c r="F31" s="4" t="s">
        <v>152</v>
      </c>
      <c r="G31" s="69">
        <v>0.372</v>
      </c>
      <c r="H31" s="69">
        <v>0.432</v>
      </c>
      <c r="I31" s="70">
        <v>0</v>
      </c>
      <c r="J31" s="70">
        <v>0</v>
      </c>
      <c r="K31" s="69">
        <v>0.436</v>
      </c>
      <c r="L31" s="69">
        <v>0.48399999999999999</v>
      </c>
      <c r="M31" s="70">
        <v>0</v>
      </c>
      <c r="N31" s="70">
        <v>0</v>
      </c>
      <c r="P31" s="74">
        <f t="shared" si="3"/>
        <v>0.40200000000000002</v>
      </c>
      <c r="Q31" s="73">
        <f t="shared" si="0"/>
        <v>0</v>
      </c>
      <c r="R31" s="74">
        <f t="shared" si="1"/>
        <v>0.45999999999999996</v>
      </c>
      <c r="S31" s="73">
        <f t="shared" si="2"/>
        <v>0</v>
      </c>
      <c r="U31" s="74">
        <f t="shared" si="4"/>
        <v>0.43099999999999999</v>
      </c>
      <c r="V31" s="73">
        <f t="shared" si="4"/>
        <v>0</v>
      </c>
      <c r="W31" s="76">
        <f t="shared" si="5"/>
        <v>0.43099999999999999</v>
      </c>
    </row>
    <row r="32" spans="1:23">
      <c r="A32" s="1"/>
      <c r="F32" s="4" t="s">
        <v>153</v>
      </c>
      <c r="G32" s="69">
        <v>0.18</v>
      </c>
      <c r="H32" s="69">
        <v>0.20599999999999999</v>
      </c>
      <c r="I32" s="70">
        <v>0.14799999999999999</v>
      </c>
      <c r="J32" s="70">
        <v>6.2E-2</v>
      </c>
      <c r="K32" s="69">
        <v>0.21</v>
      </c>
      <c r="L32" s="69">
        <v>0.23499999999999999</v>
      </c>
      <c r="M32" s="70">
        <v>4.4999999999999998E-2</v>
      </c>
      <c r="N32" s="70">
        <v>0</v>
      </c>
      <c r="P32" s="74">
        <f t="shared" si="3"/>
        <v>0.193</v>
      </c>
      <c r="Q32" s="73">
        <f t="shared" si="0"/>
        <v>0.105</v>
      </c>
      <c r="R32" s="74">
        <f t="shared" si="1"/>
        <v>0.22249999999999998</v>
      </c>
      <c r="S32" s="73">
        <f t="shared" si="2"/>
        <v>2.2499999999999999E-2</v>
      </c>
      <c r="U32" s="74">
        <f t="shared" si="4"/>
        <v>0.20774999999999999</v>
      </c>
      <c r="V32" s="73">
        <f t="shared" si="4"/>
        <v>6.3750000000000001E-2</v>
      </c>
      <c r="W32" s="76">
        <f t="shared" si="5"/>
        <v>0.20774999999999999</v>
      </c>
    </row>
    <row r="33" spans="1:27">
      <c r="A33" s="1"/>
      <c r="F33" s="4" t="s">
        <v>154</v>
      </c>
      <c r="G33" s="69">
        <v>8.5000000000000006E-2</v>
      </c>
      <c r="H33" s="69">
        <v>0.129</v>
      </c>
      <c r="I33" s="70">
        <v>0.245</v>
      </c>
      <c r="J33" s="70">
        <v>0.17100000000000001</v>
      </c>
      <c r="K33" s="69">
        <v>0.16900000000000001</v>
      </c>
      <c r="L33" s="69">
        <v>0.13600000000000001</v>
      </c>
      <c r="M33" s="70">
        <v>0.13100000000000001</v>
      </c>
      <c r="N33" s="70">
        <v>0.09</v>
      </c>
      <c r="P33" s="74">
        <f t="shared" si="3"/>
        <v>0.10700000000000001</v>
      </c>
      <c r="Q33" s="73">
        <f t="shared" si="0"/>
        <v>0.20800000000000002</v>
      </c>
      <c r="R33" s="74">
        <f t="shared" si="1"/>
        <v>0.15250000000000002</v>
      </c>
      <c r="S33" s="73">
        <f t="shared" si="2"/>
        <v>0.1105</v>
      </c>
      <c r="U33" s="74">
        <f t="shared" si="4"/>
        <v>0.12975000000000003</v>
      </c>
      <c r="V33" s="73">
        <f t="shared" si="4"/>
        <v>0.15925</v>
      </c>
      <c r="W33" s="76">
        <f t="shared" si="5"/>
        <v>0.15925</v>
      </c>
    </row>
    <row r="34" spans="1:27">
      <c r="A34" s="1"/>
      <c r="F34" s="4" t="s">
        <v>155</v>
      </c>
      <c r="G34" s="69">
        <v>0</v>
      </c>
      <c r="H34" s="69">
        <v>0</v>
      </c>
      <c r="I34" s="70">
        <v>0.45</v>
      </c>
      <c r="J34" s="70">
        <v>0.312</v>
      </c>
      <c r="K34" s="69">
        <v>0</v>
      </c>
      <c r="L34" s="69">
        <v>0</v>
      </c>
      <c r="M34" s="70">
        <v>0.224</v>
      </c>
      <c r="N34" s="70">
        <v>0.151</v>
      </c>
      <c r="P34" s="74">
        <f t="shared" si="3"/>
        <v>0</v>
      </c>
      <c r="Q34" s="73">
        <f t="shared" si="0"/>
        <v>0.38100000000000001</v>
      </c>
      <c r="R34" s="74">
        <f t="shared" si="1"/>
        <v>0</v>
      </c>
      <c r="S34" s="73">
        <f t="shared" si="2"/>
        <v>0.1875</v>
      </c>
      <c r="U34" s="74">
        <f t="shared" si="4"/>
        <v>0</v>
      </c>
      <c r="V34" s="73">
        <f t="shared" si="4"/>
        <v>0.28425</v>
      </c>
      <c r="W34" s="76">
        <f t="shared" si="5"/>
        <v>0.28425</v>
      </c>
    </row>
    <row r="35" spans="1:27">
      <c r="A35" s="1"/>
      <c r="F35" s="4" t="s">
        <v>156</v>
      </c>
      <c r="G35" s="69">
        <v>0</v>
      </c>
      <c r="H35" s="69">
        <v>0</v>
      </c>
      <c r="I35" s="70">
        <v>0.56499999999999995</v>
      </c>
      <c r="J35" s="70">
        <v>0.44600000000000001</v>
      </c>
      <c r="K35" s="69">
        <v>0</v>
      </c>
      <c r="L35" s="69">
        <v>0</v>
      </c>
      <c r="M35" s="70">
        <v>0.27800000000000002</v>
      </c>
      <c r="N35" s="70">
        <v>0.19900000000000001</v>
      </c>
      <c r="P35" s="74">
        <f t="shared" si="3"/>
        <v>0</v>
      </c>
      <c r="Q35" s="73">
        <f t="shared" si="0"/>
        <v>0.50549999999999995</v>
      </c>
      <c r="R35" s="74">
        <f t="shared" si="1"/>
        <v>0</v>
      </c>
      <c r="S35" s="73">
        <f t="shared" si="2"/>
        <v>0.23850000000000002</v>
      </c>
      <c r="U35" s="74">
        <f t="shared" si="4"/>
        <v>0</v>
      </c>
      <c r="V35" s="73">
        <f t="shared" si="4"/>
        <v>0.372</v>
      </c>
      <c r="W35" s="76">
        <f t="shared" si="5"/>
        <v>0.372</v>
      </c>
    </row>
    <row r="36" spans="1:27">
      <c r="A36" s="1"/>
      <c r="F36" s="4" t="s">
        <v>157</v>
      </c>
      <c r="G36" s="69">
        <v>0</v>
      </c>
      <c r="H36" s="69">
        <v>0</v>
      </c>
      <c r="I36" s="70">
        <v>0.52900000000000003</v>
      </c>
      <c r="J36" s="70">
        <v>0.432</v>
      </c>
      <c r="K36" s="69">
        <v>0</v>
      </c>
      <c r="L36" s="69">
        <v>0</v>
      </c>
      <c r="M36" s="70">
        <v>0.25</v>
      </c>
      <c r="N36" s="70">
        <v>0.193</v>
      </c>
      <c r="P36" s="74">
        <f t="shared" si="3"/>
        <v>0</v>
      </c>
      <c r="Q36" s="73">
        <f t="shared" si="0"/>
        <v>0.48050000000000004</v>
      </c>
      <c r="R36" s="74">
        <f t="shared" si="1"/>
        <v>0</v>
      </c>
      <c r="S36" s="73">
        <f t="shared" si="2"/>
        <v>0.2215</v>
      </c>
      <c r="U36" s="74">
        <f t="shared" si="4"/>
        <v>0</v>
      </c>
      <c r="V36" s="73">
        <f t="shared" si="4"/>
        <v>0.35100000000000003</v>
      </c>
      <c r="W36" s="76">
        <f t="shared" si="5"/>
        <v>0.35100000000000003</v>
      </c>
    </row>
    <row r="37" spans="1:27">
      <c r="A37" s="1"/>
      <c r="F37" s="4" t="s">
        <v>158</v>
      </c>
      <c r="G37" s="69">
        <v>0</v>
      </c>
      <c r="H37" s="69">
        <v>0.107</v>
      </c>
      <c r="I37" s="70">
        <v>0.38900000000000001</v>
      </c>
      <c r="J37" s="70">
        <v>0.32500000000000001</v>
      </c>
      <c r="K37" s="69">
        <v>5.8000000000000003E-2</v>
      </c>
      <c r="L37" s="69">
        <v>0.188</v>
      </c>
      <c r="M37" s="70">
        <v>0.20100000000000001</v>
      </c>
      <c r="N37" s="70">
        <v>0.14599999999999999</v>
      </c>
      <c r="P37" s="74">
        <f t="shared" si="3"/>
        <v>5.3499999999999999E-2</v>
      </c>
      <c r="Q37" s="73">
        <f t="shared" si="0"/>
        <v>0.35699999999999998</v>
      </c>
      <c r="R37" s="74">
        <f t="shared" si="1"/>
        <v>0.123</v>
      </c>
      <c r="S37" s="73">
        <f t="shared" si="2"/>
        <v>0.17349999999999999</v>
      </c>
      <c r="U37" s="74">
        <f t="shared" si="4"/>
        <v>8.8249999999999995E-2</v>
      </c>
      <c r="V37" s="73">
        <f t="shared" si="4"/>
        <v>0.26524999999999999</v>
      </c>
      <c r="W37" s="76">
        <f t="shared" si="5"/>
        <v>0.26524999999999999</v>
      </c>
    </row>
    <row r="38" spans="1:27">
      <c r="A38" s="1"/>
      <c r="T38" s="29" t="s">
        <v>166</v>
      </c>
      <c r="U38" s="72">
        <f>_xlfn.AGGREGATE(1,5,U26:U37)</f>
        <v>0.2265625</v>
      </c>
      <c r="V38" s="72">
        <f>_xlfn.AGGREGATE(1,5,V26:V37)</f>
        <v>0.14433333333333334</v>
      </c>
      <c r="W38" s="72">
        <f>_xlfn.AGGREGATE(1,5,W26:W37)</f>
        <v>0.32770833333333332</v>
      </c>
    </row>
    <row r="39" spans="1:27">
      <c r="A39" s="1"/>
    </row>
    <row r="40" spans="1:27">
      <c r="A40" s="1"/>
      <c r="F40" s="4" t="s">
        <v>160</v>
      </c>
      <c r="G40" s="4" t="s">
        <v>161</v>
      </c>
      <c r="H40" s="4"/>
      <c r="I40" s="4"/>
      <c r="J40" s="4"/>
      <c r="P40" t="s">
        <v>163</v>
      </c>
    </row>
    <row r="41" spans="1:27">
      <c r="A41" s="1"/>
      <c r="F41" s="4"/>
      <c r="G41" s="4" t="s">
        <v>139</v>
      </c>
      <c r="H41" s="4"/>
      <c r="I41" s="4" t="s">
        <v>140</v>
      </c>
      <c r="J41" s="4"/>
      <c r="U41" t="s">
        <v>164</v>
      </c>
    </row>
    <row r="42" spans="1:27">
      <c r="A42" s="1"/>
      <c r="F42" s="4"/>
      <c r="G42" s="4" t="s">
        <v>145</v>
      </c>
      <c r="H42" s="4" t="s">
        <v>146</v>
      </c>
      <c r="I42" s="4" t="s">
        <v>145</v>
      </c>
      <c r="J42" s="4" t="s">
        <v>146</v>
      </c>
      <c r="P42" s="4" t="s">
        <v>139</v>
      </c>
      <c r="Q42" s="4" t="s">
        <v>140</v>
      </c>
      <c r="U42" s="4" t="s">
        <v>139</v>
      </c>
      <c r="W42" s="4" t="s">
        <v>140</v>
      </c>
      <c r="Y42" t="s">
        <v>170</v>
      </c>
    </row>
    <row r="43" spans="1:27">
      <c r="A43" s="1"/>
      <c r="F43" s="4"/>
      <c r="G43" s="4">
        <v>11</v>
      </c>
      <c r="H43" s="4">
        <v>12</v>
      </c>
      <c r="I43" s="4">
        <v>21</v>
      </c>
      <c r="J43" s="4">
        <v>22</v>
      </c>
      <c r="U43" s="4" t="s">
        <v>142</v>
      </c>
      <c r="V43" s="4" t="s">
        <v>144</v>
      </c>
      <c r="W43" s="4" t="s">
        <v>142</v>
      </c>
      <c r="X43" s="4" t="s">
        <v>144</v>
      </c>
      <c r="Y43" s="4" t="s">
        <v>142</v>
      </c>
      <c r="Z43" s="4" t="s">
        <v>144</v>
      </c>
      <c r="AA43" s="4" t="s">
        <v>171</v>
      </c>
    </row>
    <row r="44" spans="1:27">
      <c r="A44" s="1"/>
      <c r="F44" s="4" t="s">
        <v>147</v>
      </c>
      <c r="G44" s="71">
        <v>0.36099999999999999</v>
      </c>
      <c r="H44" s="71">
        <v>0.27400000000000002</v>
      </c>
      <c r="I44" s="71">
        <v>0.32300000000000001</v>
      </c>
      <c r="J44" s="71">
        <v>0.27500000000000002</v>
      </c>
      <c r="P44" s="75">
        <f>(G44+H44)/2</f>
        <v>0.3175</v>
      </c>
      <c r="Q44" s="75">
        <f t="shared" ref="Q44:Q55" si="6">(I44+J44)/2</f>
        <v>0.29900000000000004</v>
      </c>
      <c r="U44" s="74">
        <f t="shared" ref="U44:U55" si="7">P26*P44</f>
        <v>4.5085000000000007E-2</v>
      </c>
      <c r="V44" s="73">
        <f t="shared" ref="V44:V55" si="8">Q26*P44</f>
        <v>5.699125E-2</v>
      </c>
      <c r="W44" s="74">
        <f t="shared" ref="W44:W55" si="9">R26*Q44</f>
        <v>4.8438000000000009E-2</v>
      </c>
      <c r="X44" s="73">
        <f t="shared" ref="X44:X55" si="10">S26*Q44</f>
        <v>2.8405000000000003E-2</v>
      </c>
      <c r="Y44" s="74">
        <f>(U44+W44)/2</f>
        <v>4.6761500000000011E-2</v>
      </c>
      <c r="Z44" s="73">
        <f>(V44+X44)/2</f>
        <v>4.2698125000000003E-2</v>
      </c>
      <c r="AA44" s="76">
        <f>MAX(Y44:Z44)</f>
        <v>4.6761500000000011E-2</v>
      </c>
    </row>
    <row r="45" spans="1:27">
      <c r="A45" s="1"/>
      <c r="F45" s="4" t="s">
        <v>148</v>
      </c>
      <c r="G45" s="71">
        <v>0.45100000000000001</v>
      </c>
      <c r="H45" s="71">
        <v>0.51100000000000001</v>
      </c>
      <c r="I45" s="71">
        <v>0.77500000000000002</v>
      </c>
      <c r="J45" s="71">
        <v>0.81399999999999995</v>
      </c>
      <c r="P45" s="75">
        <f t="shared" ref="P45:P55" si="11">(G45+H45)/2</f>
        <v>0.48099999999999998</v>
      </c>
      <c r="Q45" s="75">
        <f t="shared" si="6"/>
        <v>0.79449999999999998</v>
      </c>
      <c r="U45" s="74">
        <f t="shared" si="7"/>
        <v>0.10918699999999999</v>
      </c>
      <c r="V45" s="73">
        <f t="shared" si="8"/>
        <v>6.6378000000000006E-2</v>
      </c>
      <c r="W45" s="74">
        <f t="shared" si="9"/>
        <v>0.20855625</v>
      </c>
      <c r="X45" s="73">
        <f t="shared" si="10"/>
        <v>4.8067249999999999E-2</v>
      </c>
      <c r="Y45" s="74">
        <f t="shared" ref="Y45:Y55" si="12">(U45+W45)/2</f>
        <v>0.15887162499999999</v>
      </c>
      <c r="Z45" s="73">
        <f t="shared" ref="Z45:Z55" si="13">(V45+X45)/2</f>
        <v>5.7222624999999999E-2</v>
      </c>
      <c r="AA45" s="76">
        <f t="shared" ref="AA45:AA55" si="14">MAX(Y45:Z45)</f>
        <v>0.15887162499999999</v>
      </c>
    </row>
    <row r="46" spans="1:27">
      <c r="A46" s="1"/>
      <c r="F46" s="4" t="s">
        <v>149</v>
      </c>
      <c r="G46" s="71">
        <v>0.71699999999999997</v>
      </c>
      <c r="H46" s="71">
        <v>0.67400000000000004</v>
      </c>
      <c r="I46" s="71">
        <v>0.94499999999999995</v>
      </c>
      <c r="J46" s="71">
        <v>0.94200000000000006</v>
      </c>
      <c r="P46" s="75">
        <f t="shared" si="11"/>
        <v>0.69550000000000001</v>
      </c>
      <c r="Q46" s="75">
        <f t="shared" si="6"/>
        <v>0.94350000000000001</v>
      </c>
      <c r="U46" s="74">
        <f t="shared" si="7"/>
        <v>0.19265350000000001</v>
      </c>
      <c r="V46" s="73">
        <f t="shared" si="8"/>
        <v>0</v>
      </c>
      <c r="W46" s="74">
        <f t="shared" si="9"/>
        <v>0.32786625000000003</v>
      </c>
      <c r="X46" s="73">
        <f t="shared" si="10"/>
        <v>0</v>
      </c>
      <c r="Y46" s="74">
        <f t="shared" si="12"/>
        <v>0.26025987500000003</v>
      </c>
      <c r="Z46" s="73">
        <f t="shared" si="13"/>
        <v>0</v>
      </c>
      <c r="AA46" s="76">
        <f t="shared" si="14"/>
        <v>0.26025987500000003</v>
      </c>
    </row>
    <row r="47" spans="1:27">
      <c r="A47" s="1"/>
      <c r="F47" s="4" t="s">
        <v>150</v>
      </c>
      <c r="G47" s="71">
        <v>0.89500000000000002</v>
      </c>
      <c r="H47" s="71">
        <v>0.88800000000000001</v>
      </c>
      <c r="I47" s="71">
        <v>1</v>
      </c>
      <c r="J47" s="71">
        <v>0.99</v>
      </c>
      <c r="P47" s="75">
        <f t="shared" si="11"/>
        <v>0.89149999999999996</v>
      </c>
      <c r="Q47" s="75">
        <f t="shared" si="6"/>
        <v>0.995</v>
      </c>
      <c r="U47" s="74">
        <f t="shared" si="7"/>
        <v>0.48586750000000001</v>
      </c>
      <c r="V47" s="73">
        <f t="shared" si="8"/>
        <v>0</v>
      </c>
      <c r="W47" s="74">
        <f t="shared" si="9"/>
        <v>0.57709999999999995</v>
      </c>
      <c r="X47" s="73">
        <f t="shared" si="10"/>
        <v>0</v>
      </c>
      <c r="Y47" s="74">
        <f t="shared" si="12"/>
        <v>0.53148375000000003</v>
      </c>
      <c r="Z47" s="73">
        <f t="shared" si="13"/>
        <v>0</v>
      </c>
      <c r="AA47" s="76">
        <f t="shared" si="14"/>
        <v>0.53148375000000003</v>
      </c>
    </row>
    <row r="48" spans="1:27">
      <c r="A48" s="1"/>
      <c r="F48" s="4" t="s">
        <v>151</v>
      </c>
      <c r="G48" s="71">
        <v>0.92300000000000004</v>
      </c>
      <c r="H48" s="71">
        <v>0.99</v>
      </c>
      <c r="I48" s="71">
        <v>1</v>
      </c>
      <c r="J48" s="71">
        <v>1</v>
      </c>
      <c r="P48" s="75">
        <f t="shared" si="11"/>
        <v>0.95650000000000002</v>
      </c>
      <c r="Q48" s="75">
        <f t="shared" si="6"/>
        <v>1</v>
      </c>
      <c r="U48" s="74">
        <f t="shared" si="7"/>
        <v>0.53611825000000002</v>
      </c>
      <c r="V48" s="73">
        <f t="shared" si="8"/>
        <v>0</v>
      </c>
      <c r="W48" s="74">
        <f t="shared" si="9"/>
        <v>0.62050000000000005</v>
      </c>
      <c r="X48" s="73">
        <f t="shared" si="10"/>
        <v>0</v>
      </c>
      <c r="Y48" s="74">
        <f t="shared" si="12"/>
        <v>0.57830912500000009</v>
      </c>
      <c r="Z48" s="73">
        <f t="shared" si="13"/>
        <v>0</v>
      </c>
      <c r="AA48" s="76">
        <f t="shared" si="14"/>
        <v>0.57830912500000009</v>
      </c>
    </row>
    <row r="49" spans="1:27">
      <c r="A49" s="1"/>
      <c r="F49" s="4" t="s">
        <v>152</v>
      </c>
      <c r="G49" s="71">
        <v>0.81</v>
      </c>
      <c r="H49" s="71">
        <v>0.83799999999999997</v>
      </c>
      <c r="I49" s="71">
        <v>0.99</v>
      </c>
      <c r="J49" s="71">
        <v>1</v>
      </c>
      <c r="P49" s="75">
        <f t="shared" si="11"/>
        <v>0.82400000000000007</v>
      </c>
      <c r="Q49" s="75">
        <f t="shared" si="6"/>
        <v>0.995</v>
      </c>
      <c r="U49" s="74">
        <f t="shared" si="7"/>
        <v>0.33124800000000004</v>
      </c>
      <c r="V49" s="73">
        <f t="shared" si="8"/>
        <v>0</v>
      </c>
      <c r="W49" s="74">
        <f t="shared" si="9"/>
        <v>0.45769999999999994</v>
      </c>
      <c r="X49" s="73">
        <f t="shared" si="10"/>
        <v>0</v>
      </c>
      <c r="Y49" s="74">
        <f t="shared" si="12"/>
        <v>0.39447399999999999</v>
      </c>
      <c r="Z49" s="73">
        <f t="shared" si="13"/>
        <v>0</v>
      </c>
      <c r="AA49" s="76">
        <f t="shared" si="14"/>
        <v>0.39447399999999999</v>
      </c>
    </row>
    <row r="50" spans="1:27">
      <c r="A50" s="1"/>
      <c r="F50" s="4" t="s">
        <v>153</v>
      </c>
      <c r="G50" s="71">
        <v>0.23499999999999999</v>
      </c>
      <c r="H50" s="71">
        <v>0.40899999999999997</v>
      </c>
      <c r="I50" s="71">
        <v>0.48399999999999999</v>
      </c>
      <c r="J50" s="71">
        <v>0.79900000000000004</v>
      </c>
      <c r="P50" s="75">
        <f t="shared" si="11"/>
        <v>0.32199999999999995</v>
      </c>
      <c r="Q50" s="75">
        <f t="shared" si="6"/>
        <v>0.64149999999999996</v>
      </c>
      <c r="U50" s="74">
        <f t="shared" si="7"/>
        <v>6.2145999999999993E-2</v>
      </c>
      <c r="V50" s="73">
        <f t="shared" si="8"/>
        <v>3.3809999999999993E-2</v>
      </c>
      <c r="W50" s="74">
        <f t="shared" si="9"/>
        <v>0.14273374999999996</v>
      </c>
      <c r="X50" s="73">
        <f t="shared" si="10"/>
        <v>1.4433749999999999E-2</v>
      </c>
      <c r="Y50" s="74">
        <f t="shared" si="12"/>
        <v>0.10243987499999999</v>
      </c>
      <c r="Z50" s="73">
        <f t="shared" si="13"/>
        <v>2.4121874999999994E-2</v>
      </c>
      <c r="AA50" s="76">
        <f t="shared" si="14"/>
        <v>0.10243987499999999</v>
      </c>
    </row>
    <row r="51" spans="1:27">
      <c r="A51" s="1"/>
      <c r="F51" s="4" t="s">
        <v>154</v>
      </c>
      <c r="G51" s="71">
        <v>0.67400000000000004</v>
      </c>
      <c r="H51" s="71">
        <v>0.47599999999999998</v>
      </c>
      <c r="I51" s="71">
        <v>0.09</v>
      </c>
      <c r="J51" s="71">
        <v>0.23300000000000001</v>
      </c>
      <c r="P51" s="75">
        <f t="shared" si="11"/>
        <v>0.57499999999999996</v>
      </c>
      <c r="Q51" s="75">
        <f t="shared" si="6"/>
        <v>0.1615</v>
      </c>
      <c r="U51" s="74">
        <f t="shared" si="7"/>
        <v>6.1525000000000003E-2</v>
      </c>
      <c r="V51" s="73">
        <f t="shared" si="8"/>
        <v>0.1196</v>
      </c>
      <c r="W51" s="74">
        <f t="shared" si="9"/>
        <v>2.4628750000000005E-2</v>
      </c>
      <c r="X51" s="73">
        <f t="shared" si="10"/>
        <v>1.7845750000000001E-2</v>
      </c>
      <c r="Y51" s="74">
        <f t="shared" si="12"/>
        <v>4.3076875000000001E-2</v>
      </c>
      <c r="Z51" s="73">
        <f t="shared" si="13"/>
        <v>6.8722875000000003E-2</v>
      </c>
      <c r="AA51" s="76">
        <f t="shared" si="14"/>
        <v>6.8722875000000003E-2</v>
      </c>
    </row>
    <row r="52" spans="1:27">
      <c r="A52" s="1"/>
      <c r="F52" s="4" t="s">
        <v>155</v>
      </c>
      <c r="G52" s="71">
        <v>0.96499999999999997</v>
      </c>
      <c r="H52" s="71">
        <v>0.93300000000000005</v>
      </c>
      <c r="I52" s="71">
        <v>0.80500000000000005</v>
      </c>
      <c r="J52" s="71">
        <v>0.62</v>
      </c>
      <c r="P52" s="75">
        <f t="shared" si="11"/>
        <v>0.94900000000000007</v>
      </c>
      <c r="Q52" s="75">
        <f t="shared" si="6"/>
        <v>0.71250000000000002</v>
      </c>
      <c r="U52" s="74">
        <f t="shared" si="7"/>
        <v>0</v>
      </c>
      <c r="V52" s="73">
        <f t="shared" si="8"/>
        <v>0.36156900000000003</v>
      </c>
      <c r="W52" s="74">
        <f t="shared" si="9"/>
        <v>0</v>
      </c>
      <c r="X52" s="73">
        <f t="shared" si="10"/>
        <v>0.13359375000000001</v>
      </c>
      <c r="Y52" s="74">
        <f t="shared" si="12"/>
        <v>0</v>
      </c>
      <c r="Z52" s="73">
        <f t="shared" si="13"/>
        <v>0.24758137500000002</v>
      </c>
      <c r="AA52" s="76">
        <f t="shared" si="14"/>
        <v>0.24758137500000002</v>
      </c>
    </row>
    <row r="53" spans="1:27">
      <c r="A53" s="1"/>
      <c r="F53" s="4" t="s">
        <v>156</v>
      </c>
      <c r="G53" s="71">
        <v>1</v>
      </c>
      <c r="H53" s="71">
        <v>1</v>
      </c>
      <c r="I53" s="71">
        <v>0.97199999999999998</v>
      </c>
      <c r="J53" s="71">
        <v>0.97799999999999998</v>
      </c>
      <c r="P53" s="75">
        <f t="shared" si="11"/>
        <v>1</v>
      </c>
      <c r="Q53" s="75">
        <f t="shared" si="6"/>
        <v>0.97499999999999998</v>
      </c>
      <c r="U53" s="74">
        <f t="shared" si="7"/>
        <v>0</v>
      </c>
      <c r="V53" s="73">
        <f t="shared" si="8"/>
        <v>0.50549999999999995</v>
      </c>
      <c r="W53" s="74">
        <f t="shared" si="9"/>
        <v>0</v>
      </c>
      <c r="X53" s="73">
        <f t="shared" si="10"/>
        <v>0.23253750000000001</v>
      </c>
      <c r="Y53" s="74">
        <f t="shared" si="12"/>
        <v>0</v>
      </c>
      <c r="Z53" s="73">
        <f t="shared" si="13"/>
        <v>0.36901874999999995</v>
      </c>
      <c r="AA53" s="76">
        <f t="shared" si="14"/>
        <v>0.36901874999999995</v>
      </c>
    </row>
    <row r="54" spans="1:27">
      <c r="A54" s="1"/>
      <c r="F54" s="4" t="s">
        <v>157</v>
      </c>
      <c r="G54" s="71">
        <v>0.99399999999999999</v>
      </c>
      <c r="H54" s="71">
        <v>0.96899999999999997</v>
      </c>
      <c r="I54" s="71">
        <v>0.97199999999999998</v>
      </c>
      <c r="J54" s="71">
        <v>0.875</v>
      </c>
      <c r="P54" s="75">
        <f t="shared" si="11"/>
        <v>0.98150000000000004</v>
      </c>
      <c r="Q54" s="75">
        <f t="shared" si="6"/>
        <v>0.92349999999999999</v>
      </c>
      <c r="U54" s="74">
        <f t="shared" si="7"/>
        <v>0</v>
      </c>
      <c r="V54" s="73">
        <f t="shared" si="8"/>
        <v>0.47161075000000008</v>
      </c>
      <c r="W54" s="74">
        <f t="shared" si="9"/>
        <v>0</v>
      </c>
      <c r="X54" s="73">
        <f t="shared" si="10"/>
        <v>0.20455524999999999</v>
      </c>
      <c r="Y54" s="74">
        <f t="shared" si="12"/>
        <v>0</v>
      </c>
      <c r="Z54" s="73">
        <f t="shared" si="13"/>
        <v>0.33808300000000002</v>
      </c>
      <c r="AA54" s="76">
        <f t="shared" si="14"/>
        <v>0.33808300000000002</v>
      </c>
    </row>
    <row r="55" spans="1:27">
      <c r="A55" s="1"/>
      <c r="F55" s="4" t="s">
        <v>158</v>
      </c>
      <c r="G55" s="71">
        <v>0.9</v>
      </c>
      <c r="H55" s="71">
        <v>0.88500000000000001</v>
      </c>
      <c r="I55" s="71">
        <v>0.59599999999999997</v>
      </c>
      <c r="J55" s="71">
        <v>3.2000000000000001E-2</v>
      </c>
      <c r="P55" s="75">
        <f t="shared" si="11"/>
        <v>0.89250000000000007</v>
      </c>
      <c r="Q55" s="75">
        <f t="shared" si="6"/>
        <v>0.314</v>
      </c>
      <c r="U55" s="74">
        <f t="shared" si="7"/>
        <v>4.774875E-2</v>
      </c>
      <c r="V55" s="73">
        <f t="shared" si="8"/>
        <v>0.31862250000000003</v>
      </c>
      <c r="W55" s="74">
        <f t="shared" si="9"/>
        <v>3.8621999999999997E-2</v>
      </c>
      <c r="X55" s="73">
        <f t="shared" si="10"/>
        <v>5.4479E-2</v>
      </c>
      <c r="Y55" s="74">
        <f t="shared" si="12"/>
        <v>4.3185374999999998E-2</v>
      </c>
      <c r="Z55" s="73">
        <f t="shared" si="13"/>
        <v>0.18655075000000002</v>
      </c>
      <c r="AA55" s="76">
        <f t="shared" si="14"/>
        <v>0.18655075000000002</v>
      </c>
    </row>
    <row r="56" spans="1:27">
      <c r="A56" s="1"/>
      <c r="AA56" s="76">
        <f>AVERAGE(AA44:AA55)</f>
        <v>0.27354637500000006</v>
      </c>
    </row>
    <row r="57" spans="1:27">
      <c r="A57" s="1"/>
    </row>
    <row r="58" spans="1:27">
      <c r="A58" s="1"/>
    </row>
    <row r="61" spans="1:27">
      <c r="B61" t="s">
        <v>194</v>
      </c>
    </row>
    <row r="62" spans="1:27">
      <c r="B62" s="4" t="s">
        <v>182</v>
      </c>
      <c r="C62" s="4"/>
      <c r="D62" s="4"/>
      <c r="E62" s="4"/>
      <c r="F62" s="4"/>
      <c r="G62" s="4"/>
      <c r="H62" s="4"/>
      <c r="I62" s="4"/>
      <c r="J62" s="4"/>
      <c r="K62" s="4" t="s">
        <v>183</v>
      </c>
      <c r="L62" s="4"/>
      <c r="M62" s="4"/>
      <c r="N62" s="4"/>
      <c r="O62" s="4"/>
      <c r="P62" s="4"/>
      <c r="Q62" s="4"/>
      <c r="R62" s="4"/>
    </row>
    <row r="63" spans="1:27">
      <c r="B63" s="82"/>
      <c r="C63" s="491" t="s">
        <v>184</v>
      </c>
      <c r="D63" s="492"/>
      <c r="E63" s="492"/>
      <c r="F63" s="492"/>
      <c r="G63" s="492"/>
      <c r="H63" s="493"/>
      <c r="I63" s="491" t="s">
        <v>185</v>
      </c>
      <c r="J63" s="493"/>
      <c r="K63" s="491" t="s">
        <v>184</v>
      </c>
      <c r="L63" s="492"/>
      <c r="M63" s="492"/>
      <c r="N63" s="492"/>
      <c r="O63" s="492"/>
      <c r="P63" s="493"/>
      <c r="Q63" s="491" t="s">
        <v>185</v>
      </c>
      <c r="R63" s="493"/>
    </row>
    <row r="64" spans="1:27">
      <c r="B64" s="83"/>
      <c r="C64" s="491" t="s">
        <v>186</v>
      </c>
      <c r="D64" s="493"/>
      <c r="E64" s="491" t="s">
        <v>140</v>
      </c>
      <c r="F64" s="493"/>
      <c r="G64" s="491" t="s">
        <v>187</v>
      </c>
      <c r="H64" s="493"/>
      <c r="I64" s="84"/>
      <c r="J64" s="22"/>
      <c r="K64" s="491" t="s">
        <v>186</v>
      </c>
      <c r="L64" s="493"/>
      <c r="M64" s="491" t="s">
        <v>140</v>
      </c>
      <c r="N64" s="493"/>
      <c r="O64" s="491" t="s">
        <v>187</v>
      </c>
      <c r="P64" s="493"/>
      <c r="Q64" s="84"/>
      <c r="R64" s="22"/>
    </row>
    <row r="65" spans="2:18">
      <c r="B65" s="85"/>
      <c r="C65" s="26">
        <v>111</v>
      </c>
      <c r="D65" s="27">
        <v>112</v>
      </c>
      <c r="E65" s="26">
        <v>121</v>
      </c>
      <c r="F65" s="27">
        <v>122</v>
      </c>
      <c r="G65" s="26">
        <v>131</v>
      </c>
      <c r="H65" s="27">
        <v>132</v>
      </c>
      <c r="I65" s="84">
        <v>211</v>
      </c>
      <c r="J65" s="22">
        <v>212</v>
      </c>
      <c r="K65" s="26">
        <v>111</v>
      </c>
      <c r="L65" s="27">
        <v>112</v>
      </c>
      <c r="M65" s="26">
        <v>121</v>
      </c>
      <c r="N65" s="27">
        <v>122</v>
      </c>
      <c r="O65" s="26">
        <v>131</v>
      </c>
      <c r="P65" s="27">
        <v>132</v>
      </c>
      <c r="Q65" s="84">
        <v>211</v>
      </c>
      <c r="R65" s="22">
        <v>212</v>
      </c>
    </row>
    <row r="66" spans="2:18">
      <c r="B66" s="86" t="s">
        <v>188</v>
      </c>
      <c r="C66" s="28" t="s">
        <v>142</v>
      </c>
      <c r="D66" s="28" t="s">
        <v>144</v>
      </c>
      <c r="E66" s="28" t="s">
        <v>142</v>
      </c>
      <c r="F66" s="28" t="s">
        <v>144</v>
      </c>
      <c r="G66" s="28" t="s">
        <v>142</v>
      </c>
      <c r="H66" s="28" t="s">
        <v>144</v>
      </c>
      <c r="I66" s="28" t="s">
        <v>142</v>
      </c>
      <c r="J66" s="28" t="s">
        <v>144</v>
      </c>
      <c r="K66" s="28" t="s">
        <v>142</v>
      </c>
      <c r="L66" s="28" t="s">
        <v>144</v>
      </c>
      <c r="M66" s="28" t="s">
        <v>142</v>
      </c>
      <c r="N66" s="28" t="s">
        <v>144</v>
      </c>
      <c r="O66" s="28" t="s">
        <v>142</v>
      </c>
      <c r="P66" s="28" t="s">
        <v>144</v>
      </c>
      <c r="Q66" s="28" t="s">
        <v>142</v>
      </c>
      <c r="R66" s="28" t="s">
        <v>144</v>
      </c>
    </row>
    <row r="67" spans="2:18">
      <c r="B67" s="86">
        <v>1995</v>
      </c>
      <c r="C67" s="86">
        <v>1.05</v>
      </c>
      <c r="D67" s="86">
        <v>1.05</v>
      </c>
      <c r="E67" s="86">
        <v>1.05</v>
      </c>
      <c r="F67" s="86">
        <f>1.1</f>
        <v>1.1000000000000001</v>
      </c>
      <c r="G67" s="86">
        <v>1.05</v>
      </c>
      <c r="H67" s="86">
        <f>1</f>
        <v>1</v>
      </c>
      <c r="I67" s="86">
        <v>0.26</v>
      </c>
      <c r="J67" s="86">
        <v>0.26</v>
      </c>
      <c r="K67" s="86">
        <v>0.5</v>
      </c>
      <c r="L67" s="86">
        <v>0.45</v>
      </c>
      <c r="M67" s="86">
        <v>0.9</v>
      </c>
      <c r="N67" s="86">
        <v>0.83</v>
      </c>
      <c r="O67" s="86">
        <v>0.56000000000000005</v>
      </c>
      <c r="P67" s="86">
        <v>0.56999999999999995</v>
      </c>
      <c r="Q67" s="86">
        <v>0.74</v>
      </c>
      <c r="R67" s="86">
        <v>0.74</v>
      </c>
    </row>
    <row r="68" spans="2:18">
      <c r="B68" s="86">
        <v>2005</v>
      </c>
      <c r="C68" s="86">
        <v>1.05</v>
      </c>
      <c r="D68" s="86">
        <v>1.05</v>
      </c>
      <c r="E68" s="86">
        <v>1.05</v>
      </c>
      <c r="F68" s="86">
        <f>1</f>
        <v>1</v>
      </c>
      <c r="G68" s="86">
        <v>1.05</v>
      </c>
      <c r="H68" s="86">
        <f>1</f>
        <v>1</v>
      </c>
      <c r="I68" s="86">
        <v>0.25</v>
      </c>
      <c r="J68" s="86">
        <v>0.25</v>
      </c>
      <c r="K68" s="86">
        <v>1.37</v>
      </c>
      <c r="L68" s="86">
        <v>1.22</v>
      </c>
      <c r="M68" s="86">
        <v>1.25</v>
      </c>
      <c r="N68" s="86">
        <v>1.17</v>
      </c>
      <c r="O68" s="86">
        <v>0.83</v>
      </c>
      <c r="P68" s="86">
        <v>0.84</v>
      </c>
      <c r="Q68" s="86">
        <v>0.75</v>
      </c>
      <c r="R68" s="86">
        <v>0.75</v>
      </c>
    </row>
    <row r="69" spans="2:18">
      <c r="B69" s="86">
        <v>2015</v>
      </c>
      <c r="C69" s="86">
        <v>1.05</v>
      </c>
      <c r="D69" s="86">
        <v>1.05</v>
      </c>
      <c r="E69" s="86">
        <v>1.05</v>
      </c>
      <c r="F69" s="86">
        <f>1</f>
        <v>1</v>
      </c>
      <c r="G69" s="86">
        <v>1.05</v>
      </c>
      <c r="H69" s="86">
        <f>1</f>
        <v>1</v>
      </c>
      <c r="I69" s="86">
        <v>0.25</v>
      </c>
      <c r="J69" s="86">
        <v>0.25</v>
      </c>
      <c r="K69" s="86">
        <v>1.77</v>
      </c>
      <c r="L69" s="86">
        <v>1.45</v>
      </c>
      <c r="M69" s="86">
        <v>1.91</v>
      </c>
      <c r="N69" s="86">
        <v>1.4</v>
      </c>
      <c r="O69" s="86">
        <v>1.2</v>
      </c>
      <c r="P69" s="86">
        <v>1.19</v>
      </c>
      <c r="Q69" s="86">
        <v>0.75</v>
      </c>
      <c r="R69" s="86">
        <v>0.75</v>
      </c>
    </row>
    <row r="70" spans="2:18">
      <c r="B70" s="86" t="s">
        <v>189</v>
      </c>
      <c r="C70" s="28" t="s">
        <v>142</v>
      </c>
      <c r="D70" s="28" t="s">
        <v>144</v>
      </c>
      <c r="E70" s="28" t="s">
        <v>142</v>
      </c>
      <c r="F70" s="28" t="s">
        <v>144</v>
      </c>
      <c r="G70" s="28" t="s">
        <v>142</v>
      </c>
      <c r="H70" s="28" t="s">
        <v>144</v>
      </c>
      <c r="I70" s="28" t="s">
        <v>142</v>
      </c>
      <c r="J70" s="28" t="s">
        <v>144</v>
      </c>
      <c r="K70" s="28" t="s">
        <v>142</v>
      </c>
      <c r="L70" s="28" t="s">
        <v>144</v>
      </c>
      <c r="M70" s="28" t="s">
        <v>142</v>
      </c>
      <c r="N70" s="28" t="s">
        <v>144</v>
      </c>
      <c r="O70" s="28" t="s">
        <v>142</v>
      </c>
      <c r="P70" s="28" t="s">
        <v>144</v>
      </c>
      <c r="Q70" s="28" t="s">
        <v>142</v>
      </c>
      <c r="R70" s="28" t="s">
        <v>144</v>
      </c>
    </row>
    <row r="71" spans="2:18">
      <c r="B71" s="86">
        <v>1995</v>
      </c>
      <c r="C71" s="86">
        <v>0.31</v>
      </c>
      <c r="D71" s="86">
        <f>0.38</f>
        <v>0.38</v>
      </c>
      <c r="E71" s="87">
        <f>-0.25</f>
        <v>-0.25</v>
      </c>
      <c r="F71" s="88">
        <f>-0.09</f>
        <v>-0.09</v>
      </c>
      <c r="G71" s="86">
        <f>0.25</f>
        <v>0.25</v>
      </c>
      <c r="H71" s="86">
        <f>0.25</f>
        <v>0.25</v>
      </c>
      <c r="I71" s="86">
        <v>0.26</v>
      </c>
      <c r="J71" s="86">
        <v>0.26</v>
      </c>
      <c r="K71" s="86">
        <v>0.69</v>
      </c>
      <c r="L71" s="86">
        <v>0.62</v>
      </c>
      <c r="M71" s="89">
        <v>1.22</v>
      </c>
      <c r="N71" s="88">
        <v>1.1000000000000001</v>
      </c>
      <c r="O71" s="86">
        <v>0.75</v>
      </c>
      <c r="P71" s="86">
        <v>0.75</v>
      </c>
      <c r="Q71" s="86">
        <v>0.74</v>
      </c>
      <c r="R71" s="86">
        <v>0.74</v>
      </c>
    </row>
    <row r="72" spans="2:18">
      <c r="B72" s="86">
        <v>2005</v>
      </c>
      <c r="C72" s="86">
        <f>-0.85</f>
        <v>-0.85</v>
      </c>
      <c r="D72" s="86">
        <f>-0.65</f>
        <v>-0.65</v>
      </c>
      <c r="E72" s="90">
        <f>-0.6875</f>
        <v>-0.6875</v>
      </c>
      <c r="F72" s="88">
        <f>-0.56</f>
        <v>-0.56000000000000005</v>
      </c>
      <c r="G72" s="88">
        <f>-0.125</f>
        <v>-0.125</v>
      </c>
      <c r="H72" s="88">
        <f>-0.1</f>
        <v>-0.1</v>
      </c>
      <c r="I72" s="86">
        <v>0.25</v>
      </c>
      <c r="J72" s="86">
        <v>0.25</v>
      </c>
      <c r="K72" s="86">
        <v>1.85</v>
      </c>
      <c r="L72" s="86">
        <v>1.65</v>
      </c>
      <c r="M72" s="89">
        <v>1.69</v>
      </c>
      <c r="N72" s="88">
        <v>1.56</v>
      </c>
      <c r="O72" s="87">
        <v>1.1200000000000001</v>
      </c>
      <c r="P72" s="88">
        <v>1.1000000000000001</v>
      </c>
      <c r="Q72" s="86">
        <v>0.75</v>
      </c>
      <c r="R72" s="86">
        <v>0.75</v>
      </c>
    </row>
    <row r="73" spans="2:18">
      <c r="B73" s="86">
        <v>2015</v>
      </c>
      <c r="C73" s="86">
        <v>-1.38</v>
      </c>
      <c r="D73" s="86">
        <f>-0.95</f>
        <v>-0.95</v>
      </c>
      <c r="E73" s="90">
        <f>-1.575</f>
        <v>-1.575</v>
      </c>
      <c r="F73" s="87">
        <f>-0.875</f>
        <v>-0.875</v>
      </c>
      <c r="G73" s="88">
        <f>-0.625</f>
        <v>-0.625</v>
      </c>
      <c r="H73" s="88">
        <f>-0.6</f>
        <v>-0.6</v>
      </c>
      <c r="I73" s="86">
        <v>0.25</v>
      </c>
      <c r="J73" s="86">
        <v>0.25</v>
      </c>
      <c r="K73" s="86">
        <v>2.38</v>
      </c>
      <c r="L73" s="86">
        <v>1.95</v>
      </c>
      <c r="M73" s="89">
        <v>2.58</v>
      </c>
      <c r="N73" s="87">
        <v>1.88</v>
      </c>
      <c r="O73" s="87">
        <v>1.62</v>
      </c>
      <c r="P73" s="88">
        <v>1.6</v>
      </c>
      <c r="Q73" s="86">
        <v>0.75</v>
      </c>
      <c r="R73" s="86">
        <v>0.75</v>
      </c>
    </row>
    <row r="74" spans="2:18" ht="14.25" thickBot="1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</row>
    <row r="75" spans="2:18" ht="14.25" thickBot="1">
      <c r="B75" s="4"/>
      <c r="C75" s="91">
        <v>0.25</v>
      </c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</row>
    <row r="76" spans="2:18">
      <c r="B76" s="4"/>
      <c r="C76" s="92"/>
      <c r="D76" s="4"/>
      <c r="E76" s="4"/>
      <c r="F76" s="4"/>
      <c r="G76" s="4" t="s">
        <v>141</v>
      </c>
      <c r="H76" s="4">
        <v>111</v>
      </c>
      <c r="I76" s="93" t="s">
        <v>177</v>
      </c>
      <c r="J76" s="4">
        <v>2015</v>
      </c>
      <c r="K76" s="4"/>
      <c r="L76" s="4"/>
      <c r="M76" s="4" t="s">
        <v>190</v>
      </c>
      <c r="N76" s="4" t="s">
        <v>191</v>
      </c>
      <c r="O76" s="4" t="s">
        <v>192</v>
      </c>
      <c r="P76" s="4" t="s">
        <v>193</v>
      </c>
      <c r="Q76" s="4"/>
      <c r="R76" s="4"/>
    </row>
    <row r="77" spans="2:18">
      <c r="B77" s="4"/>
      <c r="C77" s="4"/>
      <c r="D77" s="4"/>
      <c r="E77" s="4"/>
      <c r="F77" s="4"/>
      <c r="G77" s="4" t="s">
        <v>143</v>
      </c>
      <c r="H77" s="4">
        <v>112</v>
      </c>
      <c r="I77" s="93" t="s">
        <v>178</v>
      </c>
      <c r="J77" s="4">
        <v>1</v>
      </c>
      <c r="K77" s="4"/>
      <c r="L77" s="4" t="s">
        <v>188</v>
      </c>
      <c r="M77" s="86">
        <f>VLOOKUP(J76,B67:J69,J78+1,FALSE)</f>
        <v>1.05</v>
      </c>
      <c r="N77" s="86">
        <f>VLOOKUP($J76,B67:J69,$J78+1,FALSE)</f>
        <v>1.05</v>
      </c>
      <c r="O77" s="86">
        <f>VLOOKUP(J76,B67:R69,J78+9,FALSE)</f>
        <v>1.77</v>
      </c>
      <c r="P77" s="86">
        <f>VLOOKUP(J76,B67:R69,J78+9,FALSE)</f>
        <v>1.77</v>
      </c>
      <c r="Q77" s="4"/>
      <c r="R77" s="4"/>
    </row>
    <row r="78" spans="2:18">
      <c r="B78" s="4"/>
      <c r="C78" s="4"/>
      <c r="D78" s="4"/>
      <c r="E78" s="4"/>
      <c r="F78" s="4"/>
      <c r="G78" s="93" t="s">
        <v>179</v>
      </c>
      <c r="H78" s="4">
        <v>12</v>
      </c>
      <c r="I78" s="93" t="s">
        <v>180</v>
      </c>
      <c r="J78" s="4">
        <v>1</v>
      </c>
      <c r="K78" s="4">
        <f>MATCH(H77,C65:J65,0)</f>
        <v>2</v>
      </c>
      <c r="L78" s="4" t="s">
        <v>189</v>
      </c>
      <c r="M78" s="86">
        <f>VLOOKUP(J76,B71:J73,J78+1,FALSE)</f>
        <v>-1.38</v>
      </c>
      <c r="N78" s="86">
        <f>VLOOKUP(J76,B71:J73,J78+1,FALSE)</f>
        <v>-1.38</v>
      </c>
      <c r="O78" s="86">
        <f>VLOOKUP(J76,B71:R73,J78+9,FALSE)</f>
        <v>2.38</v>
      </c>
      <c r="P78" s="86">
        <f>VLOOKUP(J76,B71:R73,J78+9,FALSE)</f>
        <v>2.38</v>
      </c>
      <c r="Q78" s="4"/>
      <c r="R78" s="4"/>
    </row>
    <row r="79" spans="2:18">
      <c r="B79" s="4"/>
      <c r="C79" s="4"/>
      <c r="D79" s="4"/>
      <c r="E79" s="4"/>
      <c r="F79" s="4"/>
      <c r="G79" s="93" t="s">
        <v>181</v>
      </c>
      <c r="H79" s="4">
        <v>2</v>
      </c>
      <c r="I79" s="4"/>
      <c r="J79" s="4">
        <v>2</v>
      </c>
      <c r="K79" s="4"/>
      <c r="L79" s="4"/>
      <c r="M79" s="4"/>
      <c r="N79" s="4"/>
      <c r="O79" s="4" t="s">
        <v>142</v>
      </c>
      <c r="P79" s="4" t="s">
        <v>144</v>
      </c>
      <c r="Q79" s="4"/>
      <c r="R79" s="4"/>
    </row>
    <row r="80" spans="2:18">
      <c r="B80" t="s">
        <v>198</v>
      </c>
      <c r="D80" s="4"/>
      <c r="E80" s="4"/>
      <c r="F80" s="4"/>
      <c r="G80" s="9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</row>
    <row r="81" spans="2:11">
      <c r="B81" s="4"/>
      <c r="C81" s="4" t="s">
        <v>196</v>
      </c>
      <c r="H81" s="2" t="s">
        <v>197</v>
      </c>
    </row>
    <row r="82" spans="2:11">
      <c r="B82" s="3"/>
      <c r="C82" s="95" t="s">
        <v>182</v>
      </c>
      <c r="D82" s="96"/>
      <c r="E82" s="95" t="s">
        <v>183</v>
      </c>
      <c r="F82" s="97"/>
      <c r="H82" s="95" t="s">
        <v>182</v>
      </c>
      <c r="I82" s="96"/>
      <c r="J82" s="95" t="s">
        <v>183</v>
      </c>
      <c r="K82" s="97"/>
    </row>
    <row r="83" spans="2:11">
      <c r="B83" s="86" t="s">
        <v>188</v>
      </c>
      <c r="C83" s="28" t="s">
        <v>142</v>
      </c>
      <c r="D83" s="28" t="s">
        <v>144</v>
      </c>
      <c r="E83" s="28" t="s">
        <v>142</v>
      </c>
      <c r="F83" s="28" t="s">
        <v>144</v>
      </c>
      <c r="H83" s="28" t="s">
        <v>142</v>
      </c>
      <c r="I83" s="28" t="s">
        <v>144</v>
      </c>
      <c r="J83" s="28" t="s">
        <v>142</v>
      </c>
      <c r="K83" s="28" t="s">
        <v>144</v>
      </c>
    </row>
    <row r="84" spans="2:11">
      <c r="B84" s="86">
        <v>1995</v>
      </c>
      <c r="C84" s="3">
        <f t="shared" ref="C84:D86" si="15">(C67+E67)/2</f>
        <v>1.05</v>
      </c>
      <c r="D84" s="3">
        <f t="shared" si="15"/>
        <v>1.0750000000000002</v>
      </c>
      <c r="E84" s="3">
        <f t="shared" ref="E84:F86" si="16">(K67+M67)/2</f>
        <v>0.7</v>
      </c>
      <c r="F84" s="3">
        <f t="shared" si="16"/>
        <v>0.64</v>
      </c>
      <c r="H84" s="86">
        <v>0.26</v>
      </c>
      <c r="I84" s="86">
        <v>0.26</v>
      </c>
      <c r="J84" s="86">
        <v>0.74</v>
      </c>
      <c r="K84" s="86">
        <v>0.74</v>
      </c>
    </row>
    <row r="85" spans="2:11">
      <c r="B85" s="86">
        <v>2005</v>
      </c>
      <c r="C85" s="3">
        <f t="shared" si="15"/>
        <v>1.05</v>
      </c>
      <c r="D85" s="3">
        <f t="shared" si="15"/>
        <v>1.0249999999999999</v>
      </c>
      <c r="E85" s="3">
        <f t="shared" si="16"/>
        <v>1.31</v>
      </c>
      <c r="F85" s="3">
        <f t="shared" si="16"/>
        <v>1.1949999999999998</v>
      </c>
      <c r="H85" s="86">
        <v>0.25</v>
      </c>
      <c r="I85" s="86">
        <v>0.25</v>
      </c>
      <c r="J85" s="86">
        <v>0.75</v>
      </c>
      <c r="K85" s="86">
        <v>0.75</v>
      </c>
    </row>
    <row r="86" spans="2:11">
      <c r="B86" s="86">
        <v>2015</v>
      </c>
      <c r="C86" s="3">
        <f t="shared" si="15"/>
        <v>1.05</v>
      </c>
      <c r="D86" s="3">
        <f t="shared" si="15"/>
        <v>1.0249999999999999</v>
      </c>
      <c r="E86" s="3">
        <f t="shared" si="16"/>
        <v>1.8399999999999999</v>
      </c>
      <c r="F86" s="3">
        <f t="shared" si="16"/>
        <v>1.4249999999999998</v>
      </c>
      <c r="H86" s="86">
        <v>0.25</v>
      </c>
      <c r="I86" s="86">
        <v>0.25</v>
      </c>
      <c r="J86" s="86">
        <v>0.75</v>
      </c>
      <c r="K86" s="86">
        <v>0.75</v>
      </c>
    </row>
    <row r="87" spans="2:11">
      <c r="B87" s="86" t="s">
        <v>189</v>
      </c>
      <c r="C87" s="28" t="s">
        <v>142</v>
      </c>
      <c r="D87" s="28" t="s">
        <v>144</v>
      </c>
      <c r="E87" s="28" t="s">
        <v>142</v>
      </c>
      <c r="F87" s="28" t="s">
        <v>144</v>
      </c>
      <c r="H87" s="28" t="s">
        <v>142</v>
      </c>
      <c r="I87" s="28" t="s">
        <v>144</v>
      </c>
      <c r="J87" s="28" t="s">
        <v>142</v>
      </c>
      <c r="K87" s="28" t="s">
        <v>144</v>
      </c>
    </row>
    <row r="88" spans="2:11">
      <c r="B88" s="86">
        <v>1995</v>
      </c>
      <c r="C88" s="94">
        <f t="shared" ref="C88:D90" si="17">(C71+E71)/2</f>
        <v>0.03</v>
      </c>
      <c r="D88" s="94">
        <f t="shared" si="17"/>
        <v>0.14500000000000002</v>
      </c>
      <c r="E88" s="3">
        <f t="shared" ref="E88:F90" si="18">(K71+M71)/2</f>
        <v>0.95499999999999996</v>
      </c>
      <c r="F88" s="3">
        <f t="shared" si="18"/>
        <v>0.8600000000000001</v>
      </c>
      <c r="H88" s="86">
        <v>0.26</v>
      </c>
      <c r="I88" s="86">
        <v>0.26</v>
      </c>
      <c r="J88" s="86">
        <v>0.74</v>
      </c>
      <c r="K88" s="86">
        <v>0.74</v>
      </c>
    </row>
    <row r="89" spans="2:11">
      <c r="B89" s="86">
        <v>2005</v>
      </c>
      <c r="C89" s="94">
        <f t="shared" si="17"/>
        <v>-0.76875000000000004</v>
      </c>
      <c r="D89" s="94">
        <f t="shared" si="17"/>
        <v>-0.60499999999999998</v>
      </c>
      <c r="E89" s="3">
        <f t="shared" si="18"/>
        <v>1.77</v>
      </c>
      <c r="F89" s="3">
        <f t="shared" si="18"/>
        <v>1.605</v>
      </c>
      <c r="H89" s="86">
        <v>0.25</v>
      </c>
      <c r="I89" s="86">
        <v>0.25</v>
      </c>
      <c r="J89" s="86">
        <v>0.75</v>
      </c>
      <c r="K89" s="86">
        <v>0.75</v>
      </c>
    </row>
    <row r="90" spans="2:11">
      <c r="B90" s="86">
        <v>2015</v>
      </c>
      <c r="C90" s="94">
        <f t="shared" si="17"/>
        <v>-1.4775</v>
      </c>
      <c r="D90" s="94">
        <f t="shared" si="17"/>
        <v>-0.91249999999999998</v>
      </c>
      <c r="E90" s="3">
        <f t="shared" si="18"/>
        <v>2.48</v>
      </c>
      <c r="F90" s="3">
        <f t="shared" si="18"/>
        <v>1.915</v>
      </c>
      <c r="H90" s="86">
        <v>0.25</v>
      </c>
      <c r="I90" s="86">
        <v>0.25</v>
      </c>
      <c r="J90" s="86">
        <v>0.75</v>
      </c>
      <c r="K90" s="86">
        <v>0.75</v>
      </c>
    </row>
    <row r="93" spans="2:11">
      <c r="B93" s="485" t="s">
        <v>196</v>
      </c>
      <c r="C93" s="28" t="s">
        <v>188</v>
      </c>
      <c r="D93" s="28" t="s">
        <v>188</v>
      </c>
      <c r="E93" s="28" t="s">
        <v>189</v>
      </c>
      <c r="F93" s="28" t="s">
        <v>189</v>
      </c>
      <c r="G93" s="28" t="s">
        <v>188</v>
      </c>
      <c r="H93" s="28" t="s">
        <v>188</v>
      </c>
      <c r="I93" s="28" t="s">
        <v>189</v>
      </c>
      <c r="J93" s="28" t="s">
        <v>189</v>
      </c>
    </row>
    <row r="94" spans="2:11">
      <c r="B94" s="486"/>
      <c r="C94" s="488" t="s">
        <v>182</v>
      </c>
      <c r="D94" s="489"/>
      <c r="E94" s="489"/>
      <c r="F94" s="490"/>
      <c r="G94" s="488" t="s">
        <v>199</v>
      </c>
      <c r="H94" s="489"/>
      <c r="I94" s="489"/>
      <c r="J94" s="490"/>
    </row>
    <row r="95" spans="2:11">
      <c r="B95" s="487"/>
      <c r="C95" s="102" t="s">
        <v>142</v>
      </c>
      <c r="D95" s="103" t="s">
        <v>144</v>
      </c>
      <c r="E95" s="102" t="s">
        <v>142</v>
      </c>
      <c r="F95" s="103" t="s">
        <v>144</v>
      </c>
      <c r="G95" s="102" t="s">
        <v>142</v>
      </c>
      <c r="H95" s="103" t="s">
        <v>144</v>
      </c>
      <c r="I95" s="102" t="s">
        <v>142</v>
      </c>
      <c r="J95" s="103" t="s">
        <v>144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104">
        <v>1995</v>
      </c>
      <c r="C110" s="104">
        <v>1.05</v>
      </c>
      <c r="D110" s="105">
        <f>(D84+D85+D86)/3</f>
        <v>1.0416666666666667</v>
      </c>
      <c r="E110" s="106">
        <f t="shared" ref="E110:E119" si="20">($C$89-$C$88)/10*($B110-$B$110)+0.03</f>
        <v>0.03</v>
      </c>
      <c r="F110" s="106">
        <f t="shared" ref="F110:F119" si="21">($D$89-$D$88)/10*($B110-$B$110)+0.15</f>
        <v>0.15</v>
      </c>
      <c r="G110" s="106">
        <f t="shared" ref="G110:G119" si="22">($E$85-$E$84)/10*($B110-$B$110)+0.7</f>
        <v>0.7</v>
      </c>
      <c r="H110" s="105">
        <f t="shared" ref="H110:H119" si="23">($F$85-$F$84)/10*($B110-$B$110)+0.64</f>
        <v>0.64</v>
      </c>
      <c r="I110" s="106">
        <f t="shared" ref="I110:I119" si="24">($E$89-$E$88)/10*($B110-$B$110)+0.955</f>
        <v>0.95499999999999996</v>
      </c>
      <c r="J110" s="106">
        <f t="shared" ref="J110:J119" si="25">($F$89-$F$88)/10*($B110-$B$110)+0.86</f>
        <v>0.86</v>
      </c>
    </row>
    <row r="111" spans="2:10">
      <c r="B111" s="3">
        <v>1996</v>
      </c>
      <c r="C111" s="94">
        <f>C110</f>
        <v>1.05</v>
      </c>
      <c r="D111" s="98">
        <f>D110</f>
        <v>1.0416666666666667</v>
      </c>
      <c r="E111" s="94">
        <f t="shared" si="20"/>
        <v>-4.9875000000000003E-2</v>
      </c>
      <c r="F111" s="94">
        <f t="shared" si="21"/>
        <v>7.4999999999999997E-2</v>
      </c>
      <c r="G111" s="94">
        <f t="shared" si="22"/>
        <v>0.76100000000000001</v>
      </c>
      <c r="H111" s="98">
        <f t="shared" si="23"/>
        <v>0.69550000000000001</v>
      </c>
      <c r="I111" s="94">
        <f t="shared" si="24"/>
        <v>1.0365</v>
      </c>
      <c r="J111" s="94">
        <f t="shared" si="25"/>
        <v>0.9345</v>
      </c>
    </row>
    <row r="112" spans="2:10">
      <c r="B112" s="3">
        <v>1997</v>
      </c>
      <c r="C112" s="94">
        <f t="shared" ref="C112:C129" si="26">C111</f>
        <v>1.05</v>
      </c>
      <c r="D112" s="98">
        <f t="shared" ref="D112:D130" si="27">D111</f>
        <v>1.0416666666666667</v>
      </c>
      <c r="E112" s="94">
        <f t="shared" si="20"/>
        <v>-0.12975</v>
      </c>
      <c r="F112" s="94">
        <f t="shared" si="21"/>
        <v>0</v>
      </c>
      <c r="G112" s="94">
        <f t="shared" si="22"/>
        <v>0.82199999999999995</v>
      </c>
      <c r="H112" s="98">
        <f t="shared" si="23"/>
        <v>0.751</v>
      </c>
      <c r="I112" s="94">
        <f t="shared" si="24"/>
        <v>1.1179999999999999</v>
      </c>
      <c r="J112" s="94">
        <f t="shared" si="25"/>
        <v>1.0089999999999999</v>
      </c>
    </row>
    <row r="113" spans="2:10">
      <c r="B113" s="3">
        <v>1998</v>
      </c>
      <c r="C113" s="94">
        <f t="shared" si="26"/>
        <v>1.05</v>
      </c>
      <c r="D113" s="98">
        <f t="shared" si="27"/>
        <v>1.0416666666666667</v>
      </c>
      <c r="E113" s="94">
        <f t="shared" si="20"/>
        <v>-0.20962500000000001</v>
      </c>
      <c r="F113" s="94">
        <f t="shared" si="21"/>
        <v>-7.4999999999999983E-2</v>
      </c>
      <c r="G113" s="94">
        <f t="shared" si="22"/>
        <v>0.88300000000000001</v>
      </c>
      <c r="H113" s="98">
        <f t="shared" si="23"/>
        <v>0.80649999999999999</v>
      </c>
      <c r="I113" s="94">
        <f t="shared" si="24"/>
        <v>1.1995</v>
      </c>
      <c r="J113" s="94">
        <f t="shared" si="25"/>
        <v>1.0834999999999999</v>
      </c>
    </row>
    <row r="114" spans="2:10">
      <c r="B114" s="3">
        <v>1999</v>
      </c>
      <c r="C114" s="94">
        <f t="shared" si="26"/>
        <v>1.05</v>
      </c>
      <c r="D114" s="98">
        <f t="shared" si="27"/>
        <v>1.0416666666666667</v>
      </c>
      <c r="E114" s="94">
        <f t="shared" si="20"/>
        <v>-0.28949999999999998</v>
      </c>
      <c r="F114" s="94">
        <f t="shared" si="21"/>
        <v>-0.15</v>
      </c>
      <c r="G114" s="94">
        <f t="shared" si="22"/>
        <v>0.94399999999999995</v>
      </c>
      <c r="H114" s="98">
        <f t="shared" si="23"/>
        <v>0.86199999999999988</v>
      </c>
      <c r="I114" s="94">
        <f t="shared" si="24"/>
        <v>1.2809999999999999</v>
      </c>
      <c r="J114" s="94">
        <f t="shared" si="25"/>
        <v>1.1579999999999999</v>
      </c>
    </row>
    <row r="115" spans="2:10">
      <c r="B115" s="3">
        <v>2000</v>
      </c>
      <c r="C115" s="94">
        <f t="shared" si="26"/>
        <v>1.05</v>
      </c>
      <c r="D115" s="98">
        <f t="shared" si="27"/>
        <v>1.0416666666666667</v>
      </c>
      <c r="E115" s="94">
        <f t="shared" si="20"/>
        <v>-0.36937500000000001</v>
      </c>
      <c r="F115" s="94">
        <f t="shared" si="21"/>
        <v>-0.22500000000000001</v>
      </c>
      <c r="G115" s="94">
        <f t="shared" si="22"/>
        <v>1.0049999999999999</v>
      </c>
      <c r="H115" s="98">
        <f t="shared" si="23"/>
        <v>0.91749999999999998</v>
      </c>
      <c r="I115" s="94">
        <f t="shared" si="24"/>
        <v>1.3625</v>
      </c>
      <c r="J115" s="94">
        <f t="shared" si="25"/>
        <v>1.2324999999999999</v>
      </c>
    </row>
    <row r="116" spans="2:10">
      <c r="B116" s="3">
        <v>2001</v>
      </c>
      <c r="C116" s="94">
        <f t="shared" si="26"/>
        <v>1.05</v>
      </c>
      <c r="D116" s="98">
        <f t="shared" si="27"/>
        <v>1.0416666666666667</v>
      </c>
      <c r="E116" s="94">
        <f t="shared" si="20"/>
        <v>-0.44925000000000004</v>
      </c>
      <c r="F116" s="94">
        <f t="shared" si="21"/>
        <v>-0.29999999999999993</v>
      </c>
      <c r="G116" s="94">
        <f t="shared" si="22"/>
        <v>1.0660000000000001</v>
      </c>
      <c r="H116" s="98">
        <f t="shared" si="23"/>
        <v>0.97299999999999986</v>
      </c>
      <c r="I116" s="94">
        <f t="shared" si="24"/>
        <v>1.444</v>
      </c>
      <c r="J116" s="94">
        <f t="shared" si="25"/>
        <v>1.3069999999999999</v>
      </c>
    </row>
    <row r="117" spans="2:10">
      <c r="B117" s="3">
        <v>2002</v>
      </c>
      <c r="C117" s="94">
        <f t="shared" si="26"/>
        <v>1.05</v>
      </c>
      <c r="D117" s="98">
        <f t="shared" si="27"/>
        <v>1.0416666666666667</v>
      </c>
      <c r="E117" s="94">
        <f t="shared" si="20"/>
        <v>-0.52912499999999996</v>
      </c>
      <c r="F117" s="94">
        <f t="shared" si="21"/>
        <v>-0.375</v>
      </c>
      <c r="G117" s="94">
        <f t="shared" si="22"/>
        <v>1.127</v>
      </c>
      <c r="H117" s="98">
        <f t="shared" si="23"/>
        <v>1.0284999999999997</v>
      </c>
      <c r="I117" s="94">
        <f t="shared" si="24"/>
        <v>1.5255000000000001</v>
      </c>
      <c r="J117" s="94">
        <f t="shared" si="25"/>
        <v>1.3815</v>
      </c>
    </row>
    <row r="118" spans="2:10">
      <c r="B118" s="3">
        <v>2003</v>
      </c>
      <c r="C118" s="94">
        <f t="shared" si="26"/>
        <v>1.05</v>
      </c>
      <c r="D118" s="98">
        <f t="shared" si="27"/>
        <v>1.0416666666666667</v>
      </c>
      <c r="E118" s="94">
        <f t="shared" si="20"/>
        <v>-0.60899999999999999</v>
      </c>
      <c r="F118" s="94">
        <f t="shared" si="21"/>
        <v>-0.44999999999999996</v>
      </c>
      <c r="G118" s="94">
        <f t="shared" si="22"/>
        <v>1.1880000000000002</v>
      </c>
      <c r="H118" s="98">
        <f t="shared" si="23"/>
        <v>1.0839999999999999</v>
      </c>
      <c r="I118" s="94">
        <f t="shared" si="24"/>
        <v>1.607</v>
      </c>
      <c r="J118" s="94">
        <f t="shared" si="25"/>
        <v>1.456</v>
      </c>
    </row>
    <row r="119" spans="2:10">
      <c r="B119" s="3">
        <v>2004</v>
      </c>
      <c r="C119" s="94">
        <f t="shared" si="26"/>
        <v>1.05</v>
      </c>
      <c r="D119" s="98">
        <f t="shared" si="27"/>
        <v>1.0416666666666667</v>
      </c>
      <c r="E119" s="94">
        <f t="shared" si="20"/>
        <v>-0.68887500000000002</v>
      </c>
      <c r="F119" s="94">
        <f t="shared" si="21"/>
        <v>-0.52499999999999991</v>
      </c>
      <c r="G119" s="94">
        <f t="shared" si="22"/>
        <v>1.2490000000000001</v>
      </c>
      <c r="H119" s="98">
        <f t="shared" si="23"/>
        <v>1.1395</v>
      </c>
      <c r="I119" s="94">
        <f t="shared" si="24"/>
        <v>1.6884999999999999</v>
      </c>
      <c r="J119" s="94">
        <f t="shared" si="25"/>
        <v>1.5305</v>
      </c>
    </row>
    <row r="120" spans="2:10">
      <c r="B120" s="104">
        <v>2005</v>
      </c>
      <c r="C120" s="106">
        <f t="shared" si="26"/>
        <v>1.05</v>
      </c>
      <c r="D120" s="105">
        <f t="shared" si="27"/>
        <v>1.0416666666666667</v>
      </c>
      <c r="E120" s="106">
        <f t="shared" ref="E120:E133" si="28">($C$90-$C$89)/10*(B120-$B$120)-0.77</f>
        <v>-0.77</v>
      </c>
      <c r="F120" s="106">
        <f t="shared" ref="F120:F133" si="29">($D$90-$D$89)/10*($B120-$B$120)-0.605</f>
        <v>-0.60499999999999998</v>
      </c>
      <c r="G120" s="106">
        <f t="shared" ref="G120:G133" si="30">($E$86-$E$85)/10*($B120-$B$120)+1.31</f>
        <v>1.31</v>
      </c>
      <c r="H120" s="105">
        <f t="shared" ref="H120:H133" si="31">($F$86-$F$85)/10*($B120-$B$120)+1.195</f>
        <v>1.1950000000000001</v>
      </c>
      <c r="I120" s="106">
        <f t="shared" ref="I120:I133" si="32">($E$90-$E$89)/10*($B120-$B$120)+1.77</f>
        <v>1.77</v>
      </c>
      <c r="J120" s="106">
        <f t="shared" ref="J120:J133" si="33">($F$90-$F$89)/10*($B120-$B$120)+1.605</f>
        <v>1.605</v>
      </c>
    </row>
    <row r="121" spans="2:10">
      <c r="B121" s="3">
        <v>2006</v>
      </c>
      <c r="C121" s="94">
        <f t="shared" si="26"/>
        <v>1.05</v>
      </c>
      <c r="D121" s="98">
        <f t="shared" si="27"/>
        <v>1.0416666666666667</v>
      </c>
      <c r="E121" s="94">
        <f t="shared" si="28"/>
        <v>-0.84087500000000004</v>
      </c>
      <c r="F121" s="94">
        <f t="shared" si="29"/>
        <v>-0.63575000000000004</v>
      </c>
      <c r="G121" s="94">
        <f t="shared" si="30"/>
        <v>1.363</v>
      </c>
      <c r="H121" s="98">
        <f t="shared" si="31"/>
        <v>1.218</v>
      </c>
      <c r="I121" s="94">
        <f t="shared" si="32"/>
        <v>1.841</v>
      </c>
      <c r="J121" s="94">
        <f t="shared" si="33"/>
        <v>1.6359999999999999</v>
      </c>
    </row>
    <row r="122" spans="2:10">
      <c r="B122" s="3">
        <v>2007</v>
      </c>
      <c r="C122" s="94">
        <f t="shared" si="26"/>
        <v>1.05</v>
      </c>
      <c r="D122" s="98">
        <f t="shared" si="27"/>
        <v>1.0416666666666667</v>
      </c>
      <c r="E122" s="94">
        <f t="shared" si="28"/>
        <v>-0.91175000000000006</v>
      </c>
      <c r="F122" s="94">
        <f t="shared" si="29"/>
        <v>-0.66649999999999998</v>
      </c>
      <c r="G122" s="94">
        <f t="shared" si="30"/>
        <v>1.4159999999999999</v>
      </c>
      <c r="H122" s="98">
        <f t="shared" si="31"/>
        <v>1.2410000000000001</v>
      </c>
      <c r="I122" s="94">
        <f t="shared" si="32"/>
        <v>1.9119999999999999</v>
      </c>
      <c r="J122" s="94">
        <f t="shared" si="33"/>
        <v>1.667</v>
      </c>
    </row>
    <row r="123" spans="2:10">
      <c r="B123" s="3">
        <v>2008</v>
      </c>
      <c r="C123" s="94">
        <f t="shared" si="26"/>
        <v>1.05</v>
      </c>
      <c r="D123" s="98">
        <f t="shared" si="27"/>
        <v>1.0416666666666667</v>
      </c>
      <c r="E123" s="94">
        <f t="shared" si="28"/>
        <v>-0.98262499999999997</v>
      </c>
      <c r="F123" s="94">
        <f t="shared" si="29"/>
        <v>-0.69724999999999993</v>
      </c>
      <c r="G123" s="94">
        <f t="shared" si="30"/>
        <v>1.4689999999999999</v>
      </c>
      <c r="H123" s="98">
        <f t="shared" si="31"/>
        <v>1.264</v>
      </c>
      <c r="I123" s="94">
        <f t="shared" si="32"/>
        <v>1.9830000000000001</v>
      </c>
      <c r="J123" s="94">
        <f t="shared" si="33"/>
        <v>1.698</v>
      </c>
    </row>
    <row r="124" spans="2:10">
      <c r="B124" s="3">
        <v>2009</v>
      </c>
      <c r="C124" s="94">
        <f t="shared" si="26"/>
        <v>1.05</v>
      </c>
      <c r="D124" s="98">
        <f t="shared" si="27"/>
        <v>1.0416666666666667</v>
      </c>
      <c r="E124" s="94">
        <f t="shared" si="28"/>
        <v>-1.0535000000000001</v>
      </c>
      <c r="F124" s="94">
        <f t="shared" si="29"/>
        <v>-0.72799999999999998</v>
      </c>
      <c r="G124" s="94">
        <f t="shared" si="30"/>
        <v>1.522</v>
      </c>
      <c r="H124" s="98">
        <f t="shared" si="31"/>
        <v>1.2870000000000001</v>
      </c>
      <c r="I124" s="94">
        <f t="shared" si="32"/>
        <v>2.0539999999999998</v>
      </c>
      <c r="J124" s="94">
        <f t="shared" si="33"/>
        <v>1.7290000000000001</v>
      </c>
    </row>
    <row r="125" spans="2:10">
      <c r="B125" s="3">
        <v>2010</v>
      </c>
      <c r="C125" s="94">
        <f t="shared" si="26"/>
        <v>1.05</v>
      </c>
      <c r="D125" s="98">
        <f t="shared" si="27"/>
        <v>1.0416666666666667</v>
      </c>
      <c r="E125" s="94">
        <f t="shared" si="28"/>
        <v>-1.1243750000000001</v>
      </c>
      <c r="F125" s="94">
        <f t="shared" si="29"/>
        <v>-0.75875000000000004</v>
      </c>
      <c r="G125" s="94">
        <f t="shared" si="30"/>
        <v>1.575</v>
      </c>
      <c r="H125" s="98">
        <f t="shared" si="31"/>
        <v>1.31</v>
      </c>
      <c r="I125" s="94">
        <f t="shared" si="32"/>
        <v>2.125</v>
      </c>
      <c r="J125" s="94">
        <f t="shared" si="33"/>
        <v>1.76</v>
      </c>
    </row>
    <row r="126" spans="2:10">
      <c r="B126" s="3">
        <v>2011</v>
      </c>
      <c r="C126" s="94">
        <f t="shared" si="26"/>
        <v>1.05</v>
      </c>
      <c r="D126" s="98">
        <f t="shared" si="27"/>
        <v>1.0416666666666667</v>
      </c>
      <c r="E126" s="94">
        <f t="shared" si="28"/>
        <v>-1.1952499999999999</v>
      </c>
      <c r="F126" s="94">
        <f t="shared" si="29"/>
        <v>-0.78949999999999998</v>
      </c>
      <c r="G126" s="94">
        <f t="shared" si="30"/>
        <v>1.6279999999999999</v>
      </c>
      <c r="H126" s="98">
        <f t="shared" si="31"/>
        <v>1.3330000000000002</v>
      </c>
      <c r="I126" s="94">
        <f t="shared" si="32"/>
        <v>2.1959999999999997</v>
      </c>
      <c r="J126" s="94">
        <f t="shared" si="33"/>
        <v>1.7909999999999999</v>
      </c>
    </row>
    <row r="127" spans="2:10">
      <c r="B127" s="3">
        <v>2012</v>
      </c>
      <c r="C127" s="94">
        <f t="shared" si="26"/>
        <v>1.05</v>
      </c>
      <c r="D127" s="98">
        <f t="shared" si="27"/>
        <v>1.0416666666666667</v>
      </c>
      <c r="E127" s="94">
        <f t="shared" si="28"/>
        <v>-1.2661249999999999</v>
      </c>
      <c r="F127" s="94">
        <f t="shared" si="29"/>
        <v>-0.82024999999999992</v>
      </c>
      <c r="G127" s="94">
        <f t="shared" si="30"/>
        <v>1.6809999999999998</v>
      </c>
      <c r="H127" s="98">
        <f t="shared" si="31"/>
        <v>1.3560000000000001</v>
      </c>
      <c r="I127" s="94">
        <f t="shared" si="32"/>
        <v>2.2669999999999999</v>
      </c>
      <c r="J127" s="94">
        <f t="shared" si="33"/>
        <v>1.8220000000000001</v>
      </c>
    </row>
    <row r="128" spans="2:10">
      <c r="B128" s="3">
        <v>2013</v>
      </c>
      <c r="C128" s="94">
        <f t="shared" si="26"/>
        <v>1.05</v>
      </c>
      <c r="D128" s="98">
        <f t="shared" si="27"/>
        <v>1.0416666666666667</v>
      </c>
      <c r="E128" s="94">
        <f t="shared" si="28"/>
        <v>-1.337</v>
      </c>
      <c r="F128" s="94">
        <f t="shared" si="29"/>
        <v>-0.85099999999999998</v>
      </c>
      <c r="G128" s="94">
        <f t="shared" si="30"/>
        <v>1.734</v>
      </c>
      <c r="H128" s="98">
        <f t="shared" si="31"/>
        <v>1.379</v>
      </c>
      <c r="I128" s="94">
        <f t="shared" si="32"/>
        <v>2.3380000000000001</v>
      </c>
      <c r="J128" s="94">
        <f t="shared" si="33"/>
        <v>1.853</v>
      </c>
    </row>
    <row r="129" spans="2:20">
      <c r="B129" s="3">
        <v>2014</v>
      </c>
      <c r="C129" s="94">
        <f t="shared" si="26"/>
        <v>1.05</v>
      </c>
      <c r="D129" s="98">
        <f t="shared" si="27"/>
        <v>1.0416666666666667</v>
      </c>
      <c r="E129" s="94">
        <f t="shared" si="28"/>
        <v>-1.407875</v>
      </c>
      <c r="F129" s="94">
        <f t="shared" si="29"/>
        <v>-0.88175000000000003</v>
      </c>
      <c r="G129" s="94">
        <f t="shared" si="30"/>
        <v>1.7869999999999999</v>
      </c>
      <c r="H129" s="98">
        <f t="shared" si="31"/>
        <v>1.4020000000000001</v>
      </c>
      <c r="I129" s="94">
        <f t="shared" si="32"/>
        <v>2.4089999999999998</v>
      </c>
      <c r="J129" s="94">
        <f t="shared" si="33"/>
        <v>1.8840000000000001</v>
      </c>
    </row>
    <row r="130" spans="2:20">
      <c r="B130" s="104">
        <v>2015</v>
      </c>
      <c r="C130" s="106">
        <f>C129</f>
        <v>1.05</v>
      </c>
      <c r="D130" s="105">
        <f t="shared" si="27"/>
        <v>1.0416666666666667</v>
      </c>
      <c r="E130" s="106">
        <f t="shared" si="28"/>
        <v>-1.47875</v>
      </c>
      <c r="F130" s="106">
        <f t="shared" si="29"/>
        <v>-0.91249999999999998</v>
      </c>
      <c r="G130" s="106">
        <f t="shared" si="30"/>
        <v>1.8399999999999999</v>
      </c>
      <c r="H130" s="105">
        <f t="shared" si="31"/>
        <v>1.425</v>
      </c>
      <c r="I130" s="106">
        <f t="shared" si="32"/>
        <v>2.48</v>
      </c>
      <c r="J130" s="106">
        <f t="shared" si="33"/>
        <v>1.915</v>
      </c>
    </row>
    <row r="131" spans="2:20">
      <c r="B131" s="3">
        <v>2016</v>
      </c>
      <c r="C131" s="94">
        <f>C130</f>
        <v>1.05</v>
      </c>
      <c r="D131" s="98">
        <f>D130</f>
        <v>1.0416666666666667</v>
      </c>
      <c r="E131" s="94">
        <f t="shared" si="28"/>
        <v>-1.5496249999999998</v>
      </c>
      <c r="F131" s="94">
        <f t="shared" si="29"/>
        <v>-0.94324999999999992</v>
      </c>
      <c r="G131" s="94">
        <f t="shared" si="30"/>
        <v>1.8929999999999998</v>
      </c>
      <c r="H131" s="98">
        <f t="shared" si="31"/>
        <v>1.448</v>
      </c>
      <c r="I131" s="94">
        <f t="shared" si="32"/>
        <v>2.5510000000000002</v>
      </c>
      <c r="J131" s="94">
        <f t="shared" si="33"/>
        <v>1.9460000000000002</v>
      </c>
    </row>
    <row r="132" spans="2:20">
      <c r="B132" s="3">
        <v>2017</v>
      </c>
      <c r="C132" s="94">
        <f>C131</f>
        <v>1.05</v>
      </c>
      <c r="D132" s="98">
        <f>D131</f>
        <v>1.0416666666666667</v>
      </c>
      <c r="E132" s="94">
        <f t="shared" si="28"/>
        <v>-1.6204999999999998</v>
      </c>
      <c r="F132" s="94">
        <f t="shared" si="29"/>
        <v>-0.97399999999999998</v>
      </c>
      <c r="G132" s="94">
        <f t="shared" si="30"/>
        <v>1.9459999999999997</v>
      </c>
      <c r="H132" s="98">
        <f t="shared" si="31"/>
        <v>1.4710000000000001</v>
      </c>
      <c r="I132" s="94">
        <f t="shared" si="32"/>
        <v>2.6219999999999999</v>
      </c>
      <c r="J132" s="94">
        <f t="shared" si="33"/>
        <v>1.9770000000000001</v>
      </c>
    </row>
    <row r="133" spans="2:20">
      <c r="B133" s="3">
        <v>2018</v>
      </c>
      <c r="C133" s="94">
        <f>C132</f>
        <v>1.05</v>
      </c>
      <c r="D133" s="98">
        <f>D132</f>
        <v>1.0416666666666667</v>
      </c>
      <c r="E133" s="94">
        <f t="shared" si="28"/>
        <v>-1.6913749999999999</v>
      </c>
      <c r="F133" s="94">
        <f t="shared" si="29"/>
        <v>-1.00475</v>
      </c>
      <c r="G133" s="94">
        <f t="shared" si="30"/>
        <v>1.9989999999999997</v>
      </c>
      <c r="H133" s="98">
        <f t="shared" si="31"/>
        <v>1.494</v>
      </c>
      <c r="I133" s="94">
        <f t="shared" si="32"/>
        <v>2.6930000000000001</v>
      </c>
      <c r="J133" s="9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10"/>
      <c r="C143" s="10" t="s">
        <v>176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2:20">
      <c r="B144" s="10"/>
      <c r="C144" s="78" t="s">
        <v>165</v>
      </c>
      <c r="D144" s="79"/>
      <c r="E144" s="79"/>
      <c r="F144" s="10"/>
      <c r="G144" s="10"/>
      <c r="H144" s="10"/>
      <c r="I144" s="10"/>
      <c r="J144" s="10"/>
      <c r="K144" s="10" t="s">
        <v>173</v>
      </c>
      <c r="L144" s="10"/>
      <c r="M144" s="10"/>
      <c r="N144" s="10"/>
      <c r="O144" s="10" t="s">
        <v>200</v>
      </c>
      <c r="P144" s="10"/>
      <c r="Q144" s="10"/>
      <c r="R144" s="10"/>
      <c r="S144" s="10"/>
      <c r="T144" s="10"/>
    </row>
    <row r="145" spans="2:20">
      <c r="B145" s="10"/>
      <c r="C145" s="52" t="s">
        <v>142</v>
      </c>
      <c r="D145" s="52" t="s">
        <v>144</v>
      </c>
      <c r="E145" s="52" t="s">
        <v>174</v>
      </c>
      <c r="F145" s="79" t="s">
        <v>202</v>
      </c>
      <c r="G145" s="10"/>
      <c r="H145" s="10"/>
      <c r="I145" s="10"/>
      <c r="J145" s="10"/>
      <c r="K145" s="52" t="s">
        <v>175</v>
      </c>
      <c r="L145" s="79" t="s">
        <v>202</v>
      </c>
      <c r="M145" s="10"/>
      <c r="N145" s="10"/>
      <c r="O145" s="10"/>
      <c r="P145" s="10"/>
      <c r="Q145" s="10"/>
      <c r="R145" s="10"/>
      <c r="S145" s="10"/>
      <c r="T145" s="10"/>
    </row>
    <row r="146" spans="2:20">
      <c r="B146" s="80" t="s">
        <v>151</v>
      </c>
      <c r="C146" s="77">
        <v>0.59050000000000002</v>
      </c>
      <c r="D146" s="77">
        <v>0</v>
      </c>
      <c r="E146" s="77">
        <v>0.59050000000000002</v>
      </c>
      <c r="F146" s="81">
        <f>AVERAGE(E$146:E146)</f>
        <v>0.59050000000000002</v>
      </c>
      <c r="G146" s="10"/>
      <c r="H146" s="80" t="s">
        <v>151</v>
      </c>
      <c r="I146" s="80" t="s">
        <v>203</v>
      </c>
      <c r="J146" s="10">
        <v>24</v>
      </c>
      <c r="K146" s="77">
        <v>0.57830912500000009</v>
      </c>
      <c r="L146" s="81">
        <f>AVERAGE(K$146:K146)</f>
        <v>0.57830912500000009</v>
      </c>
      <c r="M146" s="10">
        <v>22</v>
      </c>
      <c r="N146" s="10"/>
      <c r="O146" s="10"/>
      <c r="P146" s="10"/>
      <c r="Q146" s="10"/>
      <c r="R146" s="10"/>
      <c r="S146" s="10"/>
      <c r="T146" s="10"/>
    </row>
    <row r="147" spans="2:20">
      <c r="B147" s="80" t="s">
        <v>150</v>
      </c>
      <c r="C147" s="77">
        <v>0.5625</v>
      </c>
      <c r="D147" s="77">
        <v>0</v>
      </c>
      <c r="E147" s="77">
        <v>0.5625</v>
      </c>
      <c r="F147" s="81">
        <f>AVERAGE(E$146:E147)</f>
        <v>0.57650000000000001</v>
      </c>
      <c r="G147" s="10"/>
      <c r="H147" s="80" t="s">
        <v>150</v>
      </c>
      <c r="I147" s="80" t="s">
        <v>203</v>
      </c>
      <c r="J147" s="10">
        <f>J146+24</f>
        <v>48</v>
      </c>
      <c r="K147" s="77">
        <v>0.53148375000000003</v>
      </c>
      <c r="L147" s="81">
        <f>AVERAGE(K$146:K147)</f>
        <v>0.55489643750000006</v>
      </c>
      <c r="M147" s="10">
        <v>26</v>
      </c>
      <c r="N147" s="10"/>
      <c r="O147" s="10"/>
      <c r="P147" s="10"/>
      <c r="Q147" s="10"/>
      <c r="R147" s="10"/>
      <c r="S147" s="10"/>
      <c r="T147" s="10"/>
    </row>
    <row r="148" spans="2:20">
      <c r="B148" s="80" t="s">
        <v>152</v>
      </c>
      <c r="C148" s="77">
        <v>0.43099999999999999</v>
      </c>
      <c r="D148" s="77">
        <v>0</v>
      </c>
      <c r="E148" s="77">
        <v>0.43099999999999999</v>
      </c>
      <c r="F148" s="81">
        <f>AVERAGE(E$146:E148)</f>
        <v>0.52800000000000002</v>
      </c>
      <c r="G148" s="10"/>
      <c r="H148" s="80" t="s">
        <v>152</v>
      </c>
      <c r="I148" s="80" t="s">
        <v>203</v>
      </c>
      <c r="J148" s="10">
        <f>J147+24</f>
        <v>72</v>
      </c>
      <c r="K148" s="77">
        <v>0.39447399999999999</v>
      </c>
      <c r="L148" s="81">
        <f>AVERAGE(K$146:K148)</f>
        <v>0.50142229166666674</v>
      </c>
      <c r="M148" s="10">
        <v>24</v>
      </c>
      <c r="N148" s="10"/>
      <c r="O148" s="10"/>
      <c r="P148" s="10"/>
      <c r="Q148" s="10"/>
      <c r="R148" s="10"/>
      <c r="S148" s="10"/>
      <c r="T148" s="10"/>
    </row>
    <row r="149" spans="2:20">
      <c r="B149" s="80" t="s">
        <v>156</v>
      </c>
      <c r="C149" s="77">
        <v>0</v>
      </c>
      <c r="D149" s="77">
        <v>0.372</v>
      </c>
      <c r="E149" s="77">
        <v>0.372</v>
      </c>
      <c r="F149" s="81">
        <f>AVERAGE(E$146:E149)</f>
        <v>0.48899999999999999</v>
      </c>
      <c r="G149" s="10"/>
      <c r="H149" s="80" t="s">
        <v>156</v>
      </c>
      <c r="I149" s="80" t="s">
        <v>204</v>
      </c>
      <c r="J149" s="10">
        <f t="shared" ref="J149:J157" si="34">J148+24</f>
        <v>96</v>
      </c>
      <c r="K149" s="77">
        <v>0.36901874999999995</v>
      </c>
      <c r="L149" s="81">
        <f>AVERAGE(K$146:K149)</f>
        <v>0.46832140625000002</v>
      </c>
      <c r="M149" s="10">
        <v>23</v>
      </c>
      <c r="N149" s="10"/>
      <c r="O149" s="10"/>
      <c r="P149" s="10"/>
      <c r="Q149" s="10"/>
      <c r="R149" s="10"/>
      <c r="S149" s="10"/>
      <c r="T149" s="10"/>
    </row>
    <row r="150" spans="2:20">
      <c r="B150" s="80" t="s">
        <v>157</v>
      </c>
      <c r="C150" s="77">
        <v>0</v>
      </c>
      <c r="D150" s="77">
        <v>0.35100000000000003</v>
      </c>
      <c r="E150" s="77">
        <v>0.35100000000000003</v>
      </c>
      <c r="F150" s="81">
        <f>AVERAGE(E$146:E150)</f>
        <v>0.46139999999999998</v>
      </c>
      <c r="G150" s="10"/>
      <c r="H150" s="80" t="s">
        <v>157</v>
      </c>
      <c r="I150" s="80" t="s">
        <v>204</v>
      </c>
      <c r="J150" s="10">
        <f t="shared" si="34"/>
        <v>120</v>
      </c>
      <c r="K150" s="77">
        <v>0.33808300000000002</v>
      </c>
      <c r="L150" s="81">
        <f>AVERAGE(K$146:K150)</f>
        <v>0.44227372500000001</v>
      </c>
      <c r="M150" s="10">
        <v>22</v>
      </c>
      <c r="N150" s="10"/>
      <c r="O150" s="10"/>
      <c r="P150" s="10"/>
      <c r="Q150" s="10"/>
      <c r="R150" s="10"/>
      <c r="S150" s="10"/>
      <c r="T150" s="10"/>
    </row>
    <row r="151" spans="2:20">
      <c r="B151" s="80" t="s">
        <v>149</v>
      </c>
      <c r="C151" s="77">
        <v>0.31225000000000003</v>
      </c>
      <c r="D151" s="77">
        <v>0</v>
      </c>
      <c r="E151" s="77">
        <v>0.31225000000000003</v>
      </c>
      <c r="F151" s="81">
        <f>AVERAGE(E$146:E151)</f>
        <v>0.43654166666666666</v>
      </c>
      <c r="G151" s="10"/>
      <c r="H151" s="80" t="s">
        <v>149</v>
      </c>
      <c r="I151" s="80" t="s">
        <v>203</v>
      </c>
      <c r="J151" s="10">
        <f t="shared" si="34"/>
        <v>144</v>
      </c>
      <c r="K151" s="77">
        <v>0.26025987500000003</v>
      </c>
      <c r="L151" s="81">
        <f>AVERAGE(K$146:K151)</f>
        <v>0.41193808333333332</v>
      </c>
      <c r="M151" s="10">
        <v>26</v>
      </c>
      <c r="N151" s="10"/>
      <c r="O151" s="10"/>
      <c r="P151" s="10"/>
      <c r="Q151" s="10"/>
      <c r="R151" s="10"/>
      <c r="S151" s="10"/>
      <c r="T151" s="10"/>
    </row>
    <row r="152" spans="2:20">
      <c r="B152" s="80" t="s">
        <v>155</v>
      </c>
      <c r="C152" s="77">
        <v>0</v>
      </c>
      <c r="D152" s="77">
        <v>0.28425</v>
      </c>
      <c r="E152" s="77">
        <v>0.28425</v>
      </c>
      <c r="F152" s="81">
        <f>AVERAGE(E$146:E152)</f>
        <v>0.41478571428571431</v>
      </c>
      <c r="G152" s="10"/>
      <c r="H152" s="80" t="s">
        <v>155</v>
      </c>
      <c r="I152" s="80" t="s">
        <v>204</v>
      </c>
      <c r="J152" s="10">
        <f t="shared" si="34"/>
        <v>168</v>
      </c>
      <c r="K152" s="77">
        <v>0.24758137500000002</v>
      </c>
      <c r="L152" s="81">
        <f>AVERAGE(K$146:K152)</f>
        <v>0.38845855357142861</v>
      </c>
      <c r="M152" s="10">
        <v>25</v>
      </c>
      <c r="N152" s="10"/>
      <c r="O152" s="10"/>
      <c r="P152" s="10"/>
      <c r="Q152" s="10"/>
      <c r="R152" s="10"/>
      <c r="S152" s="10"/>
      <c r="T152" s="10"/>
    </row>
    <row r="153" spans="2:20">
      <c r="B153" s="80" t="s">
        <v>158</v>
      </c>
      <c r="C153" s="77">
        <v>8.8249999999999995E-2</v>
      </c>
      <c r="D153" s="77">
        <v>0.26524999999999999</v>
      </c>
      <c r="E153" s="77">
        <v>0.26524999999999999</v>
      </c>
      <c r="F153" s="81">
        <f>AVERAGE(E$146:E153)</f>
        <v>0.39609375000000002</v>
      </c>
      <c r="G153" s="10"/>
      <c r="H153" s="80" t="s">
        <v>158</v>
      </c>
      <c r="I153" s="80" t="s">
        <v>204</v>
      </c>
      <c r="J153" s="10">
        <f t="shared" si="34"/>
        <v>192</v>
      </c>
      <c r="K153" s="77">
        <v>0.18655075000000002</v>
      </c>
      <c r="L153" s="81">
        <f>AVERAGE(K$146:K153)</f>
        <v>0.36322007812500001</v>
      </c>
      <c r="M153" s="10">
        <v>25</v>
      </c>
      <c r="N153" s="10"/>
      <c r="O153" s="10"/>
      <c r="P153" s="10"/>
      <c r="Q153" s="10"/>
      <c r="R153" s="10"/>
      <c r="S153" s="10"/>
      <c r="T153" s="10"/>
    </row>
    <row r="154" spans="2:20">
      <c r="B154" s="80" t="s">
        <v>148</v>
      </c>
      <c r="C154" s="77">
        <v>0.24475</v>
      </c>
      <c r="D154" s="77">
        <v>9.9250000000000005E-2</v>
      </c>
      <c r="E154" s="77">
        <v>0.24475</v>
      </c>
      <c r="F154" s="81">
        <f>AVERAGE(E$146:E154)</f>
        <v>0.37927777777777777</v>
      </c>
      <c r="G154" s="10"/>
      <c r="H154" s="80" t="s">
        <v>148</v>
      </c>
      <c r="I154" s="80" t="s">
        <v>203</v>
      </c>
      <c r="J154" s="10">
        <f t="shared" si="34"/>
        <v>216</v>
      </c>
      <c r="K154" s="77">
        <v>0.15887162499999999</v>
      </c>
      <c r="L154" s="81">
        <f>AVERAGE(K$146:K154)</f>
        <v>0.34051469444444449</v>
      </c>
      <c r="M154" s="10">
        <v>22</v>
      </c>
      <c r="N154" s="10"/>
      <c r="O154" s="10"/>
      <c r="P154" s="10"/>
      <c r="Q154" s="10"/>
      <c r="R154" s="10"/>
      <c r="S154" s="10"/>
      <c r="T154" s="10"/>
    </row>
    <row r="155" spans="2:20">
      <c r="B155" s="80" t="s">
        <v>153</v>
      </c>
      <c r="C155" s="77">
        <v>0.20774999999999999</v>
      </c>
      <c r="D155" s="77">
        <v>6.3750000000000001E-2</v>
      </c>
      <c r="E155" s="77">
        <v>0.20774999999999999</v>
      </c>
      <c r="F155" s="81">
        <f>AVERAGE(E$146:E155)</f>
        <v>0.36212499999999997</v>
      </c>
      <c r="G155" s="10"/>
      <c r="H155" s="80" t="s">
        <v>153</v>
      </c>
      <c r="I155" s="80" t="s">
        <v>203</v>
      </c>
      <c r="J155" s="10">
        <f t="shared" si="34"/>
        <v>240</v>
      </c>
      <c r="K155" s="77">
        <v>0.10243987499999999</v>
      </c>
      <c r="L155" s="81">
        <f>AVERAGE(K$146:K155)</f>
        <v>0.3167072125</v>
      </c>
      <c r="M155" s="10">
        <v>26</v>
      </c>
      <c r="N155" s="10"/>
      <c r="O155" s="10"/>
      <c r="P155" s="10"/>
      <c r="Q155" s="10"/>
      <c r="R155" s="10"/>
      <c r="S155" s="10"/>
      <c r="T155" s="10"/>
    </row>
    <row r="156" spans="2:20">
      <c r="B156" s="80" t="s">
        <v>154</v>
      </c>
      <c r="C156" s="77">
        <v>0.12975000000000003</v>
      </c>
      <c r="D156" s="77">
        <v>0.15925</v>
      </c>
      <c r="E156" s="77">
        <v>0.15925</v>
      </c>
      <c r="F156" s="81">
        <f>AVERAGE(E$146:E156)</f>
        <v>0.3436818181818182</v>
      </c>
      <c r="G156" s="10"/>
      <c r="H156" s="80" t="s">
        <v>154</v>
      </c>
      <c r="I156" s="80" t="s">
        <v>204</v>
      </c>
      <c r="J156" s="10">
        <f t="shared" si="34"/>
        <v>264</v>
      </c>
      <c r="K156" s="77">
        <v>6.8722875000000003E-2</v>
      </c>
      <c r="L156" s="81">
        <f>AVERAGE(K$146:K156)</f>
        <v>0.29416318181818185</v>
      </c>
      <c r="M156" s="10">
        <v>25</v>
      </c>
      <c r="N156" s="10"/>
      <c r="O156" s="10"/>
      <c r="P156" s="10"/>
      <c r="Q156" s="10"/>
      <c r="R156" s="10"/>
      <c r="S156" s="10"/>
      <c r="T156" s="10"/>
    </row>
    <row r="157" spans="2:20">
      <c r="B157" s="80" t="s">
        <v>172</v>
      </c>
      <c r="C157" s="77">
        <v>0.15200000000000002</v>
      </c>
      <c r="D157" s="77">
        <v>0.13724999999999998</v>
      </c>
      <c r="E157" s="77">
        <v>0.15200000000000002</v>
      </c>
      <c r="F157" s="81">
        <f>AVERAGE(E$146:E157)</f>
        <v>0.32770833333333332</v>
      </c>
      <c r="G157" s="10"/>
      <c r="H157" s="80" t="s">
        <v>172</v>
      </c>
      <c r="I157" s="80" t="s">
        <v>203</v>
      </c>
      <c r="J157" s="10">
        <f t="shared" si="34"/>
        <v>288</v>
      </c>
      <c r="K157" s="77">
        <v>4.6761500000000011E-2</v>
      </c>
      <c r="L157" s="81">
        <f>AVERAGE(K$146:K157)</f>
        <v>0.27354637500000006</v>
      </c>
      <c r="M157" s="10">
        <v>25</v>
      </c>
      <c r="N157" s="10"/>
      <c r="O157" s="10"/>
      <c r="P157" s="10"/>
      <c r="Q157" s="10"/>
      <c r="R157" s="10"/>
      <c r="S157" s="10"/>
      <c r="T157" s="10"/>
    </row>
    <row r="158" spans="2:20">
      <c r="B158" s="80" t="s">
        <v>167</v>
      </c>
      <c r="C158" s="77">
        <f>_xlfn.AGGREGATE(1,5,C146:C157)</f>
        <v>0.2265625</v>
      </c>
      <c r="D158" s="77">
        <f>_xlfn.AGGREGATE(1,5,D146:D157)</f>
        <v>0.14433333333333331</v>
      </c>
      <c r="E158" s="77">
        <f>_xlfn.AGGREGATE(1,5,E146:E157)</f>
        <v>0.32770833333333332</v>
      </c>
      <c r="F158" s="10"/>
      <c r="G158" s="10"/>
      <c r="H158" s="80" t="s">
        <v>167</v>
      </c>
      <c r="I158" s="10"/>
      <c r="J158" s="101">
        <f>_xlfn.AGGREGATE(1,5,J146:J157)</f>
        <v>156</v>
      </c>
      <c r="K158" s="77">
        <f>_xlfn.AGGREGATE(1,5,K146:K157)</f>
        <v>0.27354637500000006</v>
      </c>
      <c r="L158" s="10"/>
      <c r="M158" s="101">
        <f>SUM(M146:M157)</f>
        <v>291</v>
      </c>
      <c r="N158" s="10"/>
      <c r="O158" s="10"/>
      <c r="P158" s="10"/>
      <c r="Q158" s="10"/>
      <c r="R158" s="10"/>
      <c r="S158" s="10"/>
      <c r="T158" s="10"/>
    </row>
    <row r="159" spans="2:20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2:20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2:20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 t="s">
        <v>197</v>
      </c>
      <c r="P161" s="10"/>
      <c r="Q161" s="10"/>
      <c r="R161" s="10"/>
      <c r="S161" s="10"/>
      <c r="T161" s="10"/>
    </row>
    <row r="162" spans="2:20">
      <c r="B162" s="10"/>
      <c r="C162" s="10"/>
      <c r="D162" s="10" t="s">
        <v>195</v>
      </c>
      <c r="E162" s="10" t="s">
        <v>182</v>
      </c>
      <c r="F162" s="10"/>
      <c r="G162" s="10"/>
      <c r="H162" s="10"/>
      <c r="I162" s="10"/>
      <c r="J162" s="10" t="s">
        <v>199</v>
      </c>
      <c r="K162" s="10"/>
      <c r="L162" s="10"/>
      <c r="M162" s="10"/>
      <c r="N162" s="10"/>
      <c r="O162" s="10"/>
      <c r="P162" s="10" t="s">
        <v>182</v>
      </c>
      <c r="Q162" s="10"/>
      <c r="R162" s="10" t="s">
        <v>183</v>
      </c>
      <c r="S162" s="10"/>
      <c r="T162" s="10"/>
    </row>
    <row r="163" spans="2:20">
      <c r="B163" s="10"/>
      <c r="C163" s="10"/>
      <c r="D163" s="10"/>
      <c r="E163" s="10" t="s">
        <v>142</v>
      </c>
      <c r="F163" s="10" t="s">
        <v>144</v>
      </c>
      <c r="G163" s="10" t="s">
        <v>142</v>
      </c>
      <c r="H163" s="10" t="s">
        <v>144</v>
      </c>
      <c r="I163" s="10" t="s">
        <v>205</v>
      </c>
      <c r="J163" s="10" t="s">
        <v>142</v>
      </c>
      <c r="K163" s="10" t="s">
        <v>144</v>
      </c>
      <c r="L163" s="10" t="s">
        <v>142</v>
      </c>
      <c r="M163" s="10" t="s">
        <v>144</v>
      </c>
      <c r="N163" s="10" t="s">
        <v>205</v>
      </c>
      <c r="O163" s="10"/>
      <c r="P163" s="10" t="s">
        <v>142</v>
      </c>
      <c r="Q163" s="10" t="s">
        <v>144</v>
      </c>
      <c r="R163" s="10" t="s">
        <v>142</v>
      </c>
      <c r="S163" s="10" t="s">
        <v>144</v>
      </c>
      <c r="T163" s="10"/>
    </row>
    <row r="164" spans="2:20">
      <c r="B164" s="10"/>
      <c r="C164" s="10"/>
      <c r="D164" s="10"/>
      <c r="E164" s="10" t="s">
        <v>188</v>
      </c>
      <c r="F164" s="10" t="s">
        <v>188</v>
      </c>
      <c r="G164" s="10" t="s">
        <v>189</v>
      </c>
      <c r="H164" s="10" t="s">
        <v>189</v>
      </c>
      <c r="I164" s="10" t="s">
        <v>189</v>
      </c>
      <c r="J164" s="10" t="s">
        <v>188</v>
      </c>
      <c r="K164" s="10" t="s">
        <v>188</v>
      </c>
      <c r="L164" s="10" t="s">
        <v>189</v>
      </c>
      <c r="M164" s="10" t="s">
        <v>189</v>
      </c>
      <c r="N164" s="10" t="s">
        <v>189</v>
      </c>
      <c r="O164" s="10"/>
      <c r="P164" s="10" t="s">
        <v>188</v>
      </c>
      <c r="Q164" s="10" t="s">
        <v>189</v>
      </c>
      <c r="R164" s="10" t="s">
        <v>188</v>
      </c>
      <c r="S164" s="10" t="s">
        <v>189</v>
      </c>
      <c r="T164" s="10"/>
    </row>
    <row r="165" spans="2:20">
      <c r="B165" s="10"/>
      <c r="C165" s="10" t="s">
        <v>201</v>
      </c>
      <c r="D165" s="10">
        <v>1995</v>
      </c>
      <c r="E165" s="10">
        <v>1.05</v>
      </c>
      <c r="F165" s="99">
        <v>1.0416666666666667</v>
      </c>
      <c r="G165" s="99">
        <v>0.03</v>
      </c>
      <c r="H165" s="99">
        <v>0.15</v>
      </c>
      <c r="I165" s="99">
        <f>(G165+H165)/2</f>
        <v>0.09</v>
      </c>
      <c r="J165" s="99">
        <v>0.7</v>
      </c>
      <c r="K165" s="99">
        <v>0.64</v>
      </c>
      <c r="L165" s="99">
        <v>0.95499999999999996</v>
      </c>
      <c r="M165" s="99">
        <v>0.86</v>
      </c>
      <c r="N165" s="99">
        <f>(L165+M165)/2</f>
        <v>0.90749999999999997</v>
      </c>
      <c r="O165" s="10"/>
      <c r="P165" s="10">
        <v>0.25</v>
      </c>
      <c r="Q165" s="10">
        <v>0.25</v>
      </c>
      <c r="R165" s="10">
        <v>0.75</v>
      </c>
      <c r="S165" s="10">
        <v>0.75</v>
      </c>
      <c r="T165" s="10"/>
    </row>
    <row r="166" spans="2:20">
      <c r="B166" s="10"/>
      <c r="C166" s="10" t="s">
        <v>82</v>
      </c>
      <c r="D166" s="10">
        <v>1996</v>
      </c>
      <c r="E166" s="10">
        <v>1.05</v>
      </c>
      <c r="F166" s="99">
        <v>1.0416666666666667</v>
      </c>
      <c r="G166" s="99">
        <v>-4.9875000000000003E-2</v>
      </c>
      <c r="H166" s="99">
        <v>7.4999999999999997E-2</v>
      </c>
      <c r="I166" s="99">
        <f t="shared" ref="I166:I183" si="35">(G166+H166)/2</f>
        <v>1.2562499999999997E-2</v>
      </c>
      <c r="J166" s="99">
        <v>0.76100000000000001</v>
      </c>
      <c r="K166" s="99">
        <v>0.69550000000000001</v>
      </c>
      <c r="L166" s="99">
        <v>1.0365</v>
      </c>
      <c r="M166" s="99">
        <v>0.9345</v>
      </c>
      <c r="N166" s="99">
        <f t="shared" ref="N166:N183" si="36">(L166+M166)/2</f>
        <v>0.98550000000000004</v>
      </c>
      <c r="O166" s="10"/>
      <c r="P166" s="10">
        <v>0.25</v>
      </c>
      <c r="Q166" s="10">
        <v>0.25</v>
      </c>
      <c r="R166" s="10">
        <v>0.75</v>
      </c>
      <c r="S166" s="10">
        <v>0.75</v>
      </c>
      <c r="T166" s="10"/>
    </row>
    <row r="167" spans="2:20">
      <c r="B167" s="10"/>
      <c r="C167" s="10" t="s">
        <v>81</v>
      </c>
      <c r="D167" s="10">
        <v>1997</v>
      </c>
      <c r="E167" s="10">
        <v>1.05</v>
      </c>
      <c r="F167" s="99">
        <v>1.0416666666666667</v>
      </c>
      <c r="G167" s="99">
        <v>-0.12975</v>
      </c>
      <c r="H167" s="99">
        <v>0</v>
      </c>
      <c r="I167" s="99">
        <f t="shared" si="35"/>
        <v>-6.4875000000000002E-2</v>
      </c>
      <c r="J167" s="99">
        <v>0.82199999999999995</v>
      </c>
      <c r="K167" s="99">
        <v>0.751</v>
      </c>
      <c r="L167" s="99">
        <v>1.1179999999999999</v>
      </c>
      <c r="M167" s="99">
        <v>1.0089999999999999</v>
      </c>
      <c r="N167" s="99">
        <f t="shared" si="36"/>
        <v>1.0634999999999999</v>
      </c>
      <c r="O167" s="10"/>
      <c r="P167" s="10"/>
      <c r="Q167" s="10"/>
      <c r="R167" s="10"/>
      <c r="S167" s="10"/>
      <c r="T167" s="10"/>
    </row>
    <row r="168" spans="2:20">
      <c r="B168" s="10"/>
      <c r="C168" s="10" t="s">
        <v>80</v>
      </c>
      <c r="D168" s="10">
        <v>1998</v>
      </c>
      <c r="E168" s="10">
        <v>1.05</v>
      </c>
      <c r="F168" s="99">
        <v>1.0416666666666667</v>
      </c>
      <c r="G168" s="99">
        <v>-0.20962500000000001</v>
      </c>
      <c r="H168" s="99">
        <v>-7.4999999999999983E-2</v>
      </c>
      <c r="I168" s="99">
        <f t="shared" si="35"/>
        <v>-0.14231250000000001</v>
      </c>
      <c r="J168" s="99">
        <v>0.88300000000000001</v>
      </c>
      <c r="K168" s="99">
        <v>0.80649999999999999</v>
      </c>
      <c r="L168" s="99">
        <v>1.1995</v>
      </c>
      <c r="M168" s="99">
        <v>1.0834999999999999</v>
      </c>
      <c r="N168" s="99">
        <f t="shared" si="36"/>
        <v>1.1415</v>
      </c>
      <c r="O168" s="10"/>
      <c r="P168" s="10"/>
      <c r="Q168" s="10"/>
      <c r="R168" s="10"/>
      <c r="S168" s="10"/>
      <c r="T168" s="10"/>
    </row>
    <row r="169" spans="2:20">
      <c r="B169" s="10"/>
      <c r="C169" s="10" t="s">
        <v>79</v>
      </c>
      <c r="D169" s="10">
        <v>1999</v>
      </c>
      <c r="E169" s="10">
        <v>1.05</v>
      </c>
      <c r="F169" s="99">
        <v>1.0416666666666667</v>
      </c>
      <c r="G169" s="99">
        <v>-0.28949999999999998</v>
      </c>
      <c r="H169" s="99">
        <v>-0.15</v>
      </c>
      <c r="I169" s="99">
        <f t="shared" si="35"/>
        <v>-0.21975</v>
      </c>
      <c r="J169" s="99">
        <v>0.94399999999999995</v>
      </c>
      <c r="K169" s="99">
        <v>0.86199999999999988</v>
      </c>
      <c r="L169" s="99">
        <v>1.2809999999999999</v>
      </c>
      <c r="M169" s="99">
        <v>1.1579999999999999</v>
      </c>
      <c r="N169" s="99">
        <f t="shared" si="36"/>
        <v>1.2195</v>
      </c>
      <c r="O169" s="10"/>
      <c r="P169" s="10"/>
      <c r="Q169" s="10"/>
      <c r="R169" s="10"/>
      <c r="S169" s="10"/>
      <c r="T169" s="10"/>
    </row>
    <row r="170" spans="2:20">
      <c r="B170" s="10"/>
      <c r="C170" s="10" t="s">
        <v>78</v>
      </c>
      <c r="D170" s="10">
        <v>2000</v>
      </c>
      <c r="E170" s="10">
        <v>1.05</v>
      </c>
      <c r="F170" s="99">
        <v>1.0416666666666667</v>
      </c>
      <c r="G170" s="99">
        <v>-0.36937500000000001</v>
      </c>
      <c r="H170" s="99">
        <v>-0.22500000000000001</v>
      </c>
      <c r="I170" s="99">
        <f t="shared" si="35"/>
        <v>-0.29718749999999999</v>
      </c>
      <c r="J170" s="99">
        <v>1.0049999999999999</v>
      </c>
      <c r="K170" s="99">
        <v>0.91749999999999998</v>
      </c>
      <c r="L170" s="99">
        <v>1.3625</v>
      </c>
      <c r="M170" s="99">
        <v>1.2324999999999999</v>
      </c>
      <c r="N170" s="99">
        <f t="shared" si="36"/>
        <v>1.2974999999999999</v>
      </c>
      <c r="O170" s="10"/>
      <c r="P170" s="10"/>
      <c r="Q170" s="10"/>
      <c r="R170" s="10"/>
      <c r="S170" s="10"/>
      <c r="T170" s="10"/>
    </row>
    <row r="171" spans="2:20">
      <c r="B171" s="10"/>
      <c r="C171" s="10" t="s">
        <v>77</v>
      </c>
      <c r="D171" s="10">
        <v>2001</v>
      </c>
      <c r="E171" s="10">
        <v>1.05</v>
      </c>
      <c r="F171" s="99">
        <v>1.0416666666666667</v>
      </c>
      <c r="G171" s="99">
        <v>-0.44925000000000004</v>
      </c>
      <c r="H171" s="99">
        <v>-0.29999999999999993</v>
      </c>
      <c r="I171" s="99">
        <f t="shared" si="35"/>
        <v>-0.37462499999999999</v>
      </c>
      <c r="J171" s="99">
        <v>1.0660000000000001</v>
      </c>
      <c r="K171" s="99">
        <v>0.97299999999999986</v>
      </c>
      <c r="L171" s="99">
        <v>1.444</v>
      </c>
      <c r="M171" s="99">
        <v>1.3069999999999999</v>
      </c>
      <c r="N171" s="99">
        <f t="shared" si="36"/>
        <v>1.3754999999999999</v>
      </c>
      <c r="O171" s="10"/>
      <c r="P171" s="10"/>
      <c r="Q171" s="10"/>
      <c r="R171" s="10"/>
      <c r="S171" s="10"/>
      <c r="T171" s="10"/>
    </row>
    <row r="172" spans="2:20">
      <c r="B172" s="10"/>
      <c r="C172" s="10" t="s">
        <v>76</v>
      </c>
      <c r="D172" s="10">
        <v>2002</v>
      </c>
      <c r="E172" s="10">
        <v>1.05</v>
      </c>
      <c r="F172" s="99">
        <v>1.0416666666666667</v>
      </c>
      <c r="G172" s="99">
        <v>-0.52912499999999996</v>
      </c>
      <c r="H172" s="99">
        <v>-0.375</v>
      </c>
      <c r="I172" s="99">
        <f t="shared" si="35"/>
        <v>-0.45206249999999998</v>
      </c>
      <c r="J172" s="99">
        <v>1.127</v>
      </c>
      <c r="K172" s="99">
        <v>1.0284999999999997</v>
      </c>
      <c r="L172" s="99">
        <v>1.5255000000000001</v>
      </c>
      <c r="M172" s="99">
        <v>1.3815</v>
      </c>
      <c r="N172" s="99">
        <f t="shared" si="36"/>
        <v>1.4535</v>
      </c>
      <c r="O172" s="10"/>
      <c r="P172" s="10"/>
      <c r="Q172" s="10"/>
      <c r="R172" s="10"/>
      <c r="S172" s="10"/>
      <c r="T172" s="10"/>
    </row>
    <row r="173" spans="2:20">
      <c r="B173" s="10"/>
      <c r="C173" s="10" t="s">
        <v>75</v>
      </c>
      <c r="D173" s="10">
        <v>2003</v>
      </c>
      <c r="E173" s="10">
        <v>1.05</v>
      </c>
      <c r="F173" s="99">
        <v>1.0416666666666667</v>
      </c>
      <c r="G173" s="99">
        <v>-0.60899999999999999</v>
      </c>
      <c r="H173" s="99">
        <v>-0.44999999999999996</v>
      </c>
      <c r="I173" s="99">
        <f t="shared" si="35"/>
        <v>-0.52949999999999997</v>
      </c>
      <c r="J173" s="99">
        <v>1.1880000000000002</v>
      </c>
      <c r="K173" s="99">
        <v>1.0839999999999999</v>
      </c>
      <c r="L173" s="99">
        <v>1.607</v>
      </c>
      <c r="M173" s="99">
        <v>1.456</v>
      </c>
      <c r="N173" s="99">
        <f t="shared" si="36"/>
        <v>1.5314999999999999</v>
      </c>
      <c r="O173" s="10"/>
      <c r="P173" s="10"/>
      <c r="Q173" s="10"/>
      <c r="R173" s="10"/>
      <c r="S173" s="10"/>
      <c r="T173" s="10"/>
    </row>
    <row r="174" spans="2:20">
      <c r="B174" s="10"/>
      <c r="C174" s="10" t="s">
        <v>74</v>
      </c>
      <c r="D174" s="10">
        <v>2004</v>
      </c>
      <c r="E174" s="10">
        <v>1.05</v>
      </c>
      <c r="F174" s="99">
        <v>1.0416666666666667</v>
      </c>
      <c r="G174" s="99">
        <v>-0.68887500000000002</v>
      </c>
      <c r="H174" s="99">
        <v>-0.52499999999999991</v>
      </c>
      <c r="I174" s="99">
        <f t="shared" si="35"/>
        <v>-0.60693749999999991</v>
      </c>
      <c r="J174" s="99">
        <v>1.2490000000000001</v>
      </c>
      <c r="K174" s="99">
        <v>1.1395</v>
      </c>
      <c r="L174" s="99">
        <v>1.6884999999999999</v>
      </c>
      <c r="M174" s="99">
        <v>1.5305</v>
      </c>
      <c r="N174" s="99">
        <f t="shared" si="36"/>
        <v>1.6094999999999999</v>
      </c>
      <c r="O174" s="10"/>
      <c r="P174" s="10"/>
      <c r="Q174" s="10"/>
      <c r="R174" s="10"/>
      <c r="S174" s="10"/>
      <c r="T174" s="10"/>
    </row>
    <row r="175" spans="2:20">
      <c r="B175" s="10"/>
      <c r="C175" s="10" t="s">
        <v>73</v>
      </c>
      <c r="D175" s="10">
        <v>2005</v>
      </c>
      <c r="E175" s="10">
        <v>1.05</v>
      </c>
      <c r="F175" s="99">
        <v>1.0416666666666667</v>
      </c>
      <c r="G175" s="99">
        <v>-0.77</v>
      </c>
      <c r="H175" s="99">
        <v>-0.60499999999999998</v>
      </c>
      <c r="I175" s="99">
        <f t="shared" si="35"/>
        <v>-0.6875</v>
      </c>
      <c r="J175" s="99">
        <v>1.31</v>
      </c>
      <c r="K175" s="99">
        <v>1.1950000000000001</v>
      </c>
      <c r="L175" s="99">
        <v>1.77</v>
      </c>
      <c r="M175" s="99">
        <v>1.605</v>
      </c>
      <c r="N175" s="99">
        <f t="shared" si="36"/>
        <v>1.6875</v>
      </c>
      <c r="O175" s="10"/>
      <c r="P175" s="10"/>
      <c r="Q175" s="10"/>
      <c r="R175" s="10"/>
      <c r="S175" s="10"/>
      <c r="T175" s="10"/>
    </row>
    <row r="176" spans="2:20">
      <c r="B176" s="10"/>
      <c r="C176" s="10" t="s">
        <v>72</v>
      </c>
      <c r="D176" s="10">
        <v>2006</v>
      </c>
      <c r="E176" s="10">
        <v>1.05</v>
      </c>
      <c r="F176" s="99">
        <v>1.0416666666666667</v>
      </c>
      <c r="G176" s="99">
        <v>-0.84087500000000004</v>
      </c>
      <c r="H176" s="99">
        <v>-0.63575000000000004</v>
      </c>
      <c r="I176" s="99">
        <f t="shared" si="35"/>
        <v>-0.73831250000000004</v>
      </c>
      <c r="J176" s="99">
        <v>1.363</v>
      </c>
      <c r="K176" s="99">
        <v>1.218</v>
      </c>
      <c r="L176" s="99">
        <v>1.841</v>
      </c>
      <c r="M176" s="99">
        <v>1.6359999999999999</v>
      </c>
      <c r="N176" s="99">
        <f t="shared" si="36"/>
        <v>1.7384999999999999</v>
      </c>
      <c r="O176" s="10"/>
      <c r="P176" s="10"/>
      <c r="Q176" s="10"/>
      <c r="R176" s="10"/>
      <c r="S176" s="10"/>
      <c r="T176" s="10"/>
    </row>
    <row r="177" spans="2:20">
      <c r="B177" s="10"/>
      <c r="C177" s="10" t="s">
        <v>71</v>
      </c>
      <c r="D177" s="10">
        <v>2007</v>
      </c>
      <c r="E177" s="10">
        <v>1.05</v>
      </c>
      <c r="F177" s="99">
        <v>1.0416666666666667</v>
      </c>
      <c r="G177" s="99">
        <v>-0.91175000000000006</v>
      </c>
      <c r="H177" s="99">
        <v>-0.66649999999999998</v>
      </c>
      <c r="I177" s="99">
        <f t="shared" si="35"/>
        <v>-0.78912500000000008</v>
      </c>
      <c r="J177" s="99">
        <v>1.4159999999999999</v>
      </c>
      <c r="K177" s="99">
        <v>1.2410000000000001</v>
      </c>
      <c r="L177" s="99">
        <v>1.9119999999999999</v>
      </c>
      <c r="M177" s="99">
        <v>1.667</v>
      </c>
      <c r="N177" s="99">
        <f t="shared" si="36"/>
        <v>1.7894999999999999</v>
      </c>
      <c r="O177" s="10"/>
      <c r="P177" s="10"/>
      <c r="Q177" s="10"/>
      <c r="R177" s="10"/>
      <c r="S177" s="10"/>
      <c r="T177" s="10"/>
    </row>
    <row r="178" spans="2:20">
      <c r="B178" s="10"/>
      <c r="C178" s="10" t="s">
        <v>70</v>
      </c>
      <c r="D178" s="5">
        <v>2008</v>
      </c>
      <c r="E178" s="5">
        <v>1.05</v>
      </c>
      <c r="F178" s="100">
        <v>1.0416666666666667</v>
      </c>
      <c r="G178" s="100">
        <v>-0.98262499999999997</v>
      </c>
      <c r="H178" s="100">
        <v>-0.69724999999999993</v>
      </c>
      <c r="I178" s="99">
        <f t="shared" si="35"/>
        <v>-0.8399375</v>
      </c>
      <c r="J178" s="100">
        <v>1.4689999999999999</v>
      </c>
      <c r="K178" s="100">
        <v>1.264</v>
      </c>
      <c r="L178" s="100">
        <v>1.9830000000000001</v>
      </c>
      <c r="M178" s="100">
        <v>1.698</v>
      </c>
      <c r="N178" s="99">
        <f t="shared" si="36"/>
        <v>1.8405</v>
      </c>
      <c r="O178" s="10"/>
      <c r="P178" s="10"/>
      <c r="Q178" s="10"/>
      <c r="R178" s="10"/>
      <c r="S178" s="10"/>
      <c r="T178" s="10"/>
    </row>
    <row r="179" spans="2:20">
      <c r="B179" s="10"/>
      <c r="C179" s="10" t="s">
        <v>69</v>
      </c>
      <c r="D179" s="5">
        <v>2009</v>
      </c>
      <c r="E179" s="5">
        <v>1.05</v>
      </c>
      <c r="F179" s="100">
        <v>1.0416666666666667</v>
      </c>
      <c r="G179" s="100">
        <v>-1.0535000000000001</v>
      </c>
      <c r="H179" s="100">
        <v>-0.72799999999999998</v>
      </c>
      <c r="I179" s="99">
        <f t="shared" si="35"/>
        <v>-0.89075000000000004</v>
      </c>
      <c r="J179" s="100">
        <v>1.522</v>
      </c>
      <c r="K179" s="100">
        <v>1.2870000000000001</v>
      </c>
      <c r="L179" s="100">
        <v>2.0539999999999998</v>
      </c>
      <c r="M179" s="100">
        <v>1.7290000000000001</v>
      </c>
      <c r="N179" s="99">
        <f t="shared" si="36"/>
        <v>1.8915</v>
      </c>
      <c r="O179" s="10"/>
      <c r="P179" s="10"/>
      <c r="Q179" s="10"/>
      <c r="R179" s="10"/>
      <c r="S179" s="10"/>
      <c r="T179" s="10"/>
    </row>
    <row r="180" spans="2:20">
      <c r="B180" s="10"/>
      <c r="C180" s="10" t="s">
        <v>68</v>
      </c>
      <c r="D180" s="5">
        <v>2010</v>
      </c>
      <c r="E180" s="5">
        <v>1.05</v>
      </c>
      <c r="F180" s="100">
        <v>1.0416666666666667</v>
      </c>
      <c r="G180" s="100">
        <v>-1.1243750000000001</v>
      </c>
      <c r="H180" s="100">
        <v>-0.75875000000000004</v>
      </c>
      <c r="I180" s="99">
        <f t="shared" si="35"/>
        <v>-0.94156250000000008</v>
      </c>
      <c r="J180" s="100">
        <v>1.575</v>
      </c>
      <c r="K180" s="100">
        <v>1.31</v>
      </c>
      <c r="L180" s="100">
        <v>2.125</v>
      </c>
      <c r="M180" s="100">
        <v>1.76</v>
      </c>
      <c r="N180" s="99">
        <f t="shared" si="36"/>
        <v>1.9424999999999999</v>
      </c>
      <c r="O180" s="10"/>
      <c r="P180" s="10"/>
      <c r="Q180" s="10"/>
      <c r="R180" s="10"/>
      <c r="S180" s="10"/>
      <c r="T180" s="10"/>
    </row>
    <row r="181" spans="2:20">
      <c r="B181" s="10"/>
      <c r="C181" s="10" t="s">
        <v>67</v>
      </c>
      <c r="D181" s="5">
        <v>2011</v>
      </c>
      <c r="E181" s="5">
        <v>1.05</v>
      </c>
      <c r="F181" s="100">
        <v>1.0416666666666667</v>
      </c>
      <c r="G181" s="100">
        <v>-1.1952499999999999</v>
      </c>
      <c r="H181" s="100">
        <v>-0.78949999999999998</v>
      </c>
      <c r="I181" s="99">
        <f t="shared" si="35"/>
        <v>-0.99237500000000001</v>
      </c>
      <c r="J181" s="100">
        <v>1.6279999999999999</v>
      </c>
      <c r="K181" s="100">
        <v>1.3330000000000002</v>
      </c>
      <c r="L181" s="100">
        <v>2.1959999999999997</v>
      </c>
      <c r="M181" s="100">
        <v>1.7909999999999999</v>
      </c>
      <c r="N181" s="99">
        <f t="shared" si="36"/>
        <v>1.9934999999999998</v>
      </c>
      <c r="O181" s="10"/>
      <c r="P181" s="10"/>
      <c r="Q181" s="10"/>
      <c r="R181" s="10"/>
      <c r="S181" s="10"/>
      <c r="T181" s="10"/>
    </row>
    <row r="182" spans="2:20">
      <c r="B182" s="10"/>
      <c r="C182" s="10" t="s">
        <v>65</v>
      </c>
      <c r="D182" s="5">
        <v>2012</v>
      </c>
      <c r="E182" s="5">
        <v>1.05</v>
      </c>
      <c r="F182" s="100">
        <v>1.0416666666666667</v>
      </c>
      <c r="G182" s="100">
        <v>-1.2661249999999999</v>
      </c>
      <c r="H182" s="100">
        <v>-0.82024999999999992</v>
      </c>
      <c r="I182" s="99">
        <f t="shared" si="35"/>
        <v>-1.0431874999999999</v>
      </c>
      <c r="J182" s="100">
        <v>1.6809999999999998</v>
      </c>
      <c r="K182" s="100">
        <v>1.3560000000000001</v>
      </c>
      <c r="L182" s="100">
        <v>2.2669999999999999</v>
      </c>
      <c r="M182" s="100">
        <v>1.8220000000000001</v>
      </c>
      <c r="N182" s="99">
        <f t="shared" si="36"/>
        <v>2.0445000000000002</v>
      </c>
      <c r="O182" s="10"/>
      <c r="P182" s="10"/>
      <c r="Q182" s="10"/>
      <c r="R182" s="10"/>
      <c r="S182" s="10"/>
      <c r="T182" s="10"/>
    </row>
    <row r="183" spans="2:20">
      <c r="B183" s="10"/>
      <c r="C183" s="10" t="s">
        <v>63</v>
      </c>
      <c r="D183" s="5">
        <v>2013</v>
      </c>
      <c r="E183" s="5">
        <v>1.05</v>
      </c>
      <c r="F183" s="100">
        <v>1.0416666666666667</v>
      </c>
      <c r="G183" s="100">
        <v>-1.337</v>
      </c>
      <c r="H183" s="100">
        <v>-0.85099999999999998</v>
      </c>
      <c r="I183" s="99">
        <f t="shared" si="35"/>
        <v>-1.0939999999999999</v>
      </c>
      <c r="J183" s="100">
        <v>1.734</v>
      </c>
      <c r="K183" s="100">
        <v>1.379</v>
      </c>
      <c r="L183" s="100">
        <v>2.3380000000000001</v>
      </c>
      <c r="M183" s="100">
        <v>1.853</v>
      </c>
      <c r="N183" s="99">
        <f t="shared" si="36"/>
        <v>2.0954999999999999</v>
      </c>
      <c r="O183" s="10"/>
      <c r="P183" s="10"/>
      <c r="Q183" s="10"/>
      <c r="R183" s="10"/>
      <c r="S183" s="10"/>
      <c r="T183" s="10"/>
    </row>
  </sheetData>
  <mergeCells count="20">
    <mergeCell ref="F5:F7"/>
    <mergeCell ref="G5:J5"/>
    <mergeCell ref="K5:N5"/>
    <mergeCell ref="G6:H6"/>
    <mergeCell ref="I6:J6"/>
    <mergeCell ref="K6:L6"/>
    <mergeCell ref="M6:N6"/>
    <mergeCell ref="K63:P63"/>
    <mergeCell ref="Q63:R63"/>
    <mergeCell ref="C64:D64"/>
    <mergeCell ref="E64:F64"/>
    <mergeCell ref="G64:H64"/>
    <mergeCell ref="K64:L64"/>
    <mergeCell ref="M64:N64"/>
    <mergeCell ref="O64:P64"/>
    <mergeCell ref="B93:B95"/>
    <mergeCell ref="C94:F94"/>
    <mergeCell ref="G94:J94"/>
    <mergeCell ref="C63:H63"/>
    <mergeCell ref="I63:J63"/>
  </mergeCells>
  <phoneticPr fontId="17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変更後の事業費内訳</vt:lpstr>
      <vt:lpstr>ボイラ排出量算定（追加)</vt:lpstr>
      <vt:lpstr>Sheet1</vt:lpstr>
      <vt:lpstr>'ボイラ排出量算定（追加)'!Print_Area</vt:lpstr>
      <vt:lpstr>変更後の事業費内訳!Print_Area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前田明紀</cp:lastModifiedBy>
  <cp:lastPrinted>2024-08-06T02:04:19Z</cp:lastPrinted>
  <dcterms:created xsi:type="dcterms:W3CDTF">2013-01-29T04:15:39Z</dcterms:created>
  <dcterms:modified xsi:type="dcterms:W3CDTF">2024-08-06T08:17:04Z</dcterms:modified>
</cp:coreProperties>
</file>