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C:\Users\016344\Box\【02_課所共有】02_06_統計課\R07年度\07_経済分析担当\30_産業連関表\30_02_分析\30_02_040_経済系ツール\03_HP掲載（変更）伺い\掲載ツール\"/>
    </mc:Choice>
  </mc:AlternateContent>
  <xr:revisionPtr revIDLastSave="0" documentId="13_ncr:1_{C19E4124-7F83-453E-8738-84E1D9E9612F}" xr6:coauthVersionLast="47" xr6:coauthVersionMax="47" xr10:uidLastSave="{00000000-0000-0000-0000-000000000000}"/>
  <bookViews>
    <workbookView xWindow="-19310" yWindow="-2800" windowWidth="19420" windowHeight="10300" xr2:uid="{C1EC3E57-0DD3-4B9D-8F7F-AB226D3E2F82}"/>
  </bookViews>
  <sheets>
    <sheet name="操作説明" sheetId="4" r:id="rId1"/>
    <sheet name="入力" sheetId="5" r:id="rId2"/>
    <sheet name="報告書" sheetId="11" r:id="rId3"/>
    <sheet name="flow" sheetId="12" r:id="rId4"/>
    <sheet name="造成波及" sheetId="6" r:id="rId5"/>
    <sheet name="建築波及" sheetId="7" r:id="rId6"/>
    <sheet name="設備波及" sheetId="8" r:id="rId7"/>
    <sheet name="生産波及" sheetId="9" r:id="rId8"/>
    <sheet name="DATA" sheetId="10" r:id="rId9"/>
    <sheet name="係数" sheetId="2" r:id="rId10"/>
    <sheet name="固定資本" sheetId="1" r:id="rId11"/>
  </sheets>
  <definedNames>
    <definedName name="_xlnm.Print_Area" localSheetId="2">報告書!$A$5:$N$75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2" i="4" l="1"/>
  <c r="D105" i="4"/>
  <c r="D103" i="4"/>
  <c r="BZ38" i="12" l="1"/>
  <c r="BZ63" i="12"/>
  <c r="BE63" i="12"/>
  <c r="BE38" i="12"/>
  <c r="AJ38" i="12"/>
  <c r="AJ63" i="12"/>
  <c r="O63" i="12"/>
  <c r="O38" i="12"/>
  <c r="BQ4" i="12" l="1"/>
  <c r="AV4" i="12"/>
  <c r="AA4" i="12"/>
  <c r="F4" i="12"/>
  <c r="F75" i="11" l="1"/>
  <c r="F74" i="11"/>
  <c r="C64" i="11"/>
  <c r="C43" i="11"/>
  <c r="F73" i="11" l="1"/>
  <c r="AI4" i="10"/>
  <c r="AH4" i="10"/>
  <c r="AG4" i="10"/>
  <c r="AF4" i="10"/>
  <c r="AA4" i="10"/>
  <c r="Z4" i="10"/>
  <c r="Y4" i="10"/>
  <c r="X4" i="10"/>
  <c r="P4" i="10"/>
  <c r="Q4" i="10"/>
  <c r="R4" i="10"/>
  <c r="S4" i="10"/>
  <c r="K4" i="10"/>
  <c r="J4" i="10"/>
  <c r="I4" i="10"/>
  <c r="P25" i="9" l="1"/>
  <c r="P24" i="9"/>
  <c r="P23" i="9"/>
  <c r="P22" i="9"/>
  <c r="P21" i="9"/>
  <c r="P20" i="9"/>
  <c r="P19" i="9"/>
  <c r="P18" i="9"/>
  <c r="P17" i="9"/>
  <c r="P16" i="9"/>
  <c r="P15" i="9"/>
  <c r="P14" i="9"/>
  <c r="P13" i="9"/>
  <c r="P12" i="9"/>
  <c r="P11" i="9"/>
  <c r="P10" i="9"/>
  <c r="P9" i="9"/>
  <c r="P8" i="9"/>
  <c r="P7" i="9"/>
  <c r="P6" i="9"/>
  <c r="N26" i="9"/>
  <c r="N25" i="9"/>
  <c r="N24" i="9"/>
  <c r="N23" i="9"/>
  <c r="N22" i="9"/>
  <c r="N21" i="9"/>
  <c r="N20" i="9"/>
  <c r="N19" i="9"/>
  <c r="N18" i="9"/>
  <c r="N17" i="9"/>
  <c r="N16" i="9"/>
  <c r="N15" i="9"/>
  <c r="N14" i="9"/>
  <c r="N13" i="9"/>
  <c r="N12" i="9"/>
  <c r="N11" i="9"/>
  <c r="N10" i="9"/>
  <c r="N9" i="9"/>
  <c r="N8" i="9"/>
  <c r="N7" i="9"/>
  <c r="N6" i="9"/>
  <c r="M28" i="9"/>
  <c r="L28" i="9"/>
  <c r="J25" i="9"/>
  <c r="J24" i="9"/>
  <c r="J23" i="9"/>
  <c r="J22" i="9"/>
  <c r="J21" i="9"/>
  <c r="J20" i="9"/>
  <c r="J19" i="9"/>
  <c r="J18" i="9"/>
  <c r="J17" i="9"/>
  <c r="J16" i="9"/>
  <c r="J15" i="9"/>
  <c r="J14" i="9"/>
  <c r="J13" i="9"/>
  <c r="J12" i="9"/>
  <c r="J11" i="9"/>
  <c r="J10" i="9"/>
  <c r="J9" i="9"/>
  <c r="J8" i="9"/>
  <c r="J7" i="9"/>
  <c r="J6" i="9"/>
  <c r="E25" i="9"/>
  <c r="E24" i="9"/>
  <c r="E23" i="9"/>
  <c r="E22" i="9"/>
  <c r="E21" i="9"/>
  <c r="E20" i="9"/>
  <c r="E19" i="9"/>
  <c r="E18" i="9"/>
  <c r="E17" i="9"/>
  <c r="E16" i="9"/>
  <c r="E15" i="9"/>
  <c r="E14" i="9"/>
  <c r="E13" i="9"/>
  <c r="E12" i="9"/>
  <c r="E11" i="9"/>
  <c r="E10" i="9"/>
  <c r="E9" i="9"/>
  <c r="E8" i="9"/>
  <c r="E7" i="9"/>
  <c r="E6" i="9"/>
  <c r="AA5" i="9"/>
  <c r="Z5" i="9"/>
  <c r="Y5" i="9"/>
  <c r="X5" i="9"/>
  <c r="W5" i="9"/>
  <c r="V5" i="9"/>
  <c r="U5" i="9"/>
  <c r="T5" i="9"/>
  <c r="S5" i="9"/>
  <c r="I5" i="9"/>
  <c r="Q26" i="8"/>
  <c r="Q25" i="8"/>
  <c r="Q24" i="8"/>
  <c r="Q23" i="8"/>
  <c r="Q22" i="8"/>
  <c r="Q21" i="8"/>
  <c r="Q20" i="8"/>
  <c r="Q19" i="8"/>
  <c r="Q18" i="8"/>
  <c r="Q17" i="8"/>
  <c r="Q16" i="8"/>
  <c r="Q15" i="8"/>
  <c r="Q14" i="8"/>
  <c r="Q13" i="8"/>
  <c r="Q12" i="8"/>
  <c r="Q11" i="8"/>
  <c r="Q10" i="8"/>
  <c r="Q9" i="8"/>
  <c r="Q8" i="8"/>
  <c r="Q7" i="8"/>
  <c r="Q6" i="8"/>
  <c r="P28" i="8"/>
  <c r="O28" i="8"/>
  <c r="M25" i="8"/>
  <c r="M24" i="8"/>
  <c r="M23" i="8"/>
  <c r="M22" i="8"/>
  <c r="M21" i="8"/>
  <c r="M20" i="8"/>
  <c r="M19" i="8"/>
  <c r="M18" i="8"/>
  <c r="M17" i="8"/>
  <c r="M16" i="8"/>
  <c r="M15" i="8"/>
  <c r="M14" i="8"/>
  <c r="M13" i="8"/>
  <c r="M12" i="8"/>
  <c r="M11" i="8"/>
  <c r="M10" i="8"/>
  <c r="M9" i="8"/>
  <c r="M8" i="8"/>
  <c r="M7" i="8"/>
  <c r="M6" i="8"/>
  <c r="H25" i="8"/>
  <c r="H24" i="8"/>
  <c r="H23" i="8"/>
  <c r="H22" i="8"/>
  <c r="H21" i="8"/>
  <c r="H20" i="8"/>
  <c r="H19" i="8"/>
  <c r="H18" i="8"/>
  <c r="H17" i="8"/>
  <c r="H16" i="8"/>
  <c r="H15" i="8"/>
  <c r="H14" i="8"/>
  <c r="H13" i="8"/>
  <c r="H12" i="8"/>
  <c r="H11" i="8"/>
  <c r="H10" i="8"/>
  <c r="H9" i="8"/>
  <c r="H8" i="8"/>
  <c r="H7" i="8"/>
  <c r="H6" i="8"/>
  <c r="F25" i="8"/>
  <c r="F24" i="8"/>
  <c r="F23" i="8"/>
  <c r="F22" i="8"/>
  <c r="F21" i="8"/>
  <c r="F20" i="8"/>
  <c r="F19" i="8"/>
  <c r="F18" i="8"/>
  <c r="F17" i="8"/>
  <c r="F16" i="8"/>
  <c r="F15" i="8"/>
  <c r="F14" i="8"/>
  <c r="F13" i="8"/>
  <c r="F12" i="8"/>
  <c r="F11" i="8"/>
  <c r="F10" i="8"/>
  <c r="F9" i="8"/>
  <c r="F8" i="8"/>
  <c r="F7" i="8"/>
  <c r="F6" i="8"/>
  <c r="AC5" i="8"/>
  <c r="AB5" i="8"/>
  <c r="AA5" i="8"/>
  <c r="Z5" i="8"/>
  <c r="Y5" i="8"/>
  <c r="X5" i="8"/>
  <c r="W5" i="8"/>
  <c r="V5" i="8"/>
  <c r="U5" i="8"/>
  <c r="L5" i="8"/>
  <c r="G5" i="8"/>
  <c r="E5" i="8"/>
  <c r="Q26" i="7"/>
  <c r="Q25" i="7"/>
  <c r="Q24" i="7"/>
  <c r="Q23" i="7"/>
  <c r="Q22" i="7"/>
  <c r="Q21" i="7"/>
  <c r="Q20" i="7"/>
  <c r="Q19" i="7"/>
  <c r="Q18" i="7"/>
  <c r="Q17" i="7"/>
  <c r="Q16" i="7"/>
  <c r="Q15" i="7"/>
  <c r="Q14" i="7"/>
  <c r="Q13" i="7"/>
  <c r="Q12" i="7"/>
  <c r="Q11" i="7"/>
  <c r="Q10" i="7"/>
  <c r="Q9" i="7"/>
  <c r="Q8" i="7"/>
  <c r="Q7" i="7"/>
  <c r="Q6" i="7"/>
  <c r="P28" i="7"/>
  <c r="O28" i="7"/>
  <c r="M25" i="7"/>
  <c r="M24" i="7"/>
  <c r="M23" i="7"/>
  <c r="M22" i="7"/>
  <c r="M21" i="7"/>
  <c r="M20" i="7"/>
  <c r="M19" i="7"/>
  <c r="M18" i="7"/>
  <c r="M17" i="7"/>
  <c r="M16" i="7"/>
  <c r="M15" i="7"/>
  <c r="M14" i="7"/>
  <c r="M13" i="7"/>
  <c r="M12" i="7"/>
  <c r="M11" i="7"/>
  <c r="M10" i="7"/>
  <c r="M9" i="7"/>
  <c r="M8" i="7"/>
  <c r="M7" i="7"/>
  <c r="M6" i="7"/>
  <c r="H28" i="7"/>
  <c r="H25" i="7"/>
  <c r="H24" i="7"/>
  <c r="H23" i="7"/>
  <c r="H22" i="7"/>
  <c r="H21" i="7"/>
  <c r="H20" i="7"/>
  <c r="H19" i="7"/>
  <c r="H18" i="7"/>
  <c r="H17" i="7"/>
  <c r="H16" i="7"/>
  <c r="H15" i="7"/>
  <c r="H14" i="7"/>
  <c r="H13" i="7"/>
  <c r="H12" i="7"/>
  <c r="H11" i="7"/>
  <c r="H10" i="7"/>
  <c r="H9" i="7"/>
  <c r="H8" i="7"/>
  <c r="H7" i="7"/>
  <c r="H6" i="7"/>
  <c r="F25" i="7"/>
  <c r="F24" i="7"/>
  <c r="F23" i="7"/>
  <c r="F22" i="7"/>
  <c r="F21" i="7"/>
  <c r="F20" i="7"/>
  <c r="F19" i="7"/>
  <c r="F18" i="7"/>
  <c r="F17" i="7"/>
  <c r="F16" i="7"/>
  <c r="F15" i="7"/>
  <c r="F14" i="7"/>
  <c r="F13" i="7"/>
  <c r="F12" i="7"/>
  <c r="F11" i="7"/>
  <c r="F10" i="7"/>
  <c r="F9" i="7"/>
  <c r="F8" i="7"/>
  <c r="F7" i="7"/>
  <c r="F6" i="7"/>
  <c r="AC5" i="7"/>
  <c r="AB5" i="7"/>
  <c r="AA5" i="7"/>
  <c r="Z5" i="7"/>
  <c r="Y5" i="7"/>
  <c r="X5" i="7"/>
  <c r="W5" i="7"/>
  <c r="V5" i="7"/>
  <c r="U5" i="7"/>
  <c r="L5" i="7"/>
  <c r="G5" i="7"/>
  <c r="E5" i="7"/>
  <c r="D5" i="7"/>
  <c r="Q26" i="6"/>
  <c r="Q25" i="6"/>
  <c r="Q24" i="6"/>
  <c r="Q23" i="6"/>
  <c r="Q22" i="6"/>
  <c r="Q21" i="6"/>
  <c r="Q20" i="6"/>
  <c r="Q19" i="6"/>
  <c r="Q18" i="6"/>
  <c r="Q17" i="6"/>
  <c r="Q16" i="6"/>
  <c r="Q15" i="6"/>
  <c r="Q14" i="6"/>
  <c r="Q13" i="6"/>
  <c r="Q12" i="6"/>
  <c r="Q11" i="6"/>
  <c r="Q10" i="6"/>
  <c r="Q9" i="6"/>
  <c r="Q8" i="6"/>
  <c r="Q7" i="6"/>
  <c r="Q6" i="6"/>
  <c r="P28" i="6"/>
  <c r="O28" i="6"/>
  <c r="M25" i="6"/>
  <c r="M24" i="6"/>
  <c r="M23" i="6"/>
  <c r="M22" i="6"/>
  <c r="M21" i="6"/>
  <c r="M20" i="6"/>
  <c r="M19" i="6"/>
  <c r="M18" i="6"/>
  <c r="M17" i="6"/>
  <c r="M16" i="6"/>
  <c r="M15" i="6"/>
  <c r="M14" i="6"/>
  <c r="M13" i="6"/>
  <c r="M12" i="6"/>
  <c r="M11" i="6"/>
  <c r="M10" i="6"/>
  <c r="M9" i="6"/>
  <c r="M8" i="6"/>
  <c r="M7" i="6"/>
  <c r="M6" i="6"/>
  <c r="H28" i="6"/>
  <c r="H25" i="6"/>
  <c r="H24" i="6"/>
  <c r="H23" i="6"/>
  <c r="H22" i="6"/>
  <c r="H21" i="6"/>
  <c r="H20" i="6"/>
  <c r="H19" i="6"/>
  <c r="H18" i="6"/>
  <c r="H17" i="6"/>
  <c r="H16" i="6"/>
  <c r="H15" i="6"/>
  <c r="H14" i="6"/>
  <c r="H13" i="6"/>
  <c r="H12" i="6"/>
  <c r="H11" i="6"/>
  <c r="H10" i="6"/>
  <c r="H9" i="6"/>
  <c r="H8" i="6"/>
  <c r="H7" i="6"/>
  <c r="H6" i="6"/>
  <c r="F25" i="6"/>
  <c r="F24" i="6"/>
  <c r="F23" i="6"/>
  <c r="F22" i="6"/>
  <c r="F21" i="6"/>
  <c r="F20" i="6"/>
  <c r="F19" i="6"/>
  <c r="F18" i="6"/>
  <c r="F17" i="6"/>
  <c r="F16" i="6"/>
  <c r="F15" i="6"/>
  <c r="F14" i="6"/>
  <c r="F13" i="6"/>
  <c r="F12" i="6"/>
  <c r="F11" i="6"/>
  <c r="F10" i="6"/>
  <c r="F9" i="6"/>
  <c r="F8" i="6"/>
  <c r="F7" i="6"/>
  <c r="F6" i="6"/>
  <c r="AC5" i="6"/>
  <c r="AB5" i="6"/>
  <c r="AA5" i="6"/>
  <c r="Z5" i="6"/>
  <c r="Y5" i="6"/>
  <c r="X5" i="6"/>
  <c r="W5" i="6"/>
  <c r="V5" i="6"/>
  <c r="U5" i="6"/>
  <c r="L5" i="6"/>
  <c r="G5" i="6"/>
  <c r="E5" i="6"/>
  <c r="S24" i="5" l="1"/>
  <c r="S22" i="5"/>
  <c r="AL3" i="10"/>
  <c r="AM3" i="10"/>
  <c r="S10" i="5" l="1"/>
  <c r="AN6" i="10"/>
  <c r="AN5" i="10"/>
  <c r="AM5" i="10"/>
  <c r="AL5" i="10"/>
  <c r="AK5" i="10"/>
  <c r="AK6" i="10"/>
  <c r="AO6" i="10"/>
  <c r="AL6" i="10"/>
  <c r="AP6" i="10"/>
  <c r="AM6" i="10"/>
  <c r="AQ6" i="10"/>
  <c r="AL12" i="10" l="1"/>
  <c r="AQ7" i="10"/>
  <c r="AK12" i="10"/>
  <c r="AN12" i="10" s="1"/>
  <c r="AQ12" i="10" l="1"/>
  <c r="S8" i="5" s="1"/>
  <c r="N16" i="5" l="1"/>
  <c r="N14" i="5"/>
  <c r="N9" i="5"/>
  <c r="N8" i="5"/>
  <c r="C6" i="5"/>
  <c r="AL2" i="10" s="1"/>
  <c r="D102" i="4" l="1"/>
  <c r="N3" i="1" l="1"/>
  <c r="M3" i="1"/>
  <c r="N22" i="5" l="1"/>
  <c r="N21" i="5"/>
  <c r="N20" i="5"/>
  <c r="H4" i="10" l="1"/>
  <c r="B11" i="1" l="1"/>
  <c r="I46" i="11"/>
  <c r="I25" i="11"/>
  <c r="L10" i="11"/>
  <c r="L5" i="11"/>
  <c r="C11" i="1" l="1"/>
  <c r="BP7" i="12"/>
  <c r="AU7" i="12"/>
  <c r="E7" i="12"/>
  <c r="Z7" i="12"/>
  <c r="D5" i="9"/>
  <c r="T25" i="9" l="1"/>
  <c r="X25" i="10" l="1"/>
  <c r="X25" i="9"/>
  <c r="T24" i="9"/>
  <c r="T22" i="9"/>
  <c r="T23" i="9"/>
  <c r="X22" i="10" l="1"/>
  <c r="X22" i="9"/>
  <c r="X24" i="10"/>
  <c r="X24" i="9"/>
  <c r="X23" i="10"/>
  <c r="X23" i="9"/>
  <c r="AF22" i="10"/>
  <c r="F64" i="11" s="1"/>
  <c r="D5" i="8"/>
  <c r="D5" i="6" l="1"/>
  <c r="N19" i="5" l="1"/>
  <c r="N18" i="5"/>
  <c r="N17" i="5"/>
  <c r="C9" i="5" l="1"/>
  <c r="V19" i="5"/>
  <c r="D18" i="5" s="1"/>
  <c r="O15" i="5"/>
  <c r="V8" i="5"/>
  <c r="D16" i="9" l="1"/>
  <c r="T16" i="9" s="1"/>
  <c r="D19" i="9"/>
  <c r="T19" i="9" s="1"/>
  <c r="D12" i="9"/>
  <c r="T12" i="9" s="1"/>
  <c r="D15" i="9"/>
  <c r="T15" i="9" s="1"/>
  <c r="D14" i="9"/>
  <c r="T14" i="9" s="1"/>
  <c r="X14" i="9" s="1"/>
  <c r="D20" i="9"/>
  <c r="T20" i="9" s="1"/>
  <c r="D11" i="9"/>
  <c r="D21" i="9"/>
  <c r="D17" i="9"/>
  <c r="T17" i="9" s="1"/>
  <c r="X17" i="9" s="1"/>
  <c r="D10" i="9"/>
  <c r="D9" i="9"/>
  <c r="T9" i="9" s="1"/>
  <c r="X9" i="9" s="1"/>
  <c r="D6" i="9"/>
  <c r="D13" i="9"/>
  <c r="T13" i="9" s="1"/>
  <c r="X13" i="9" s="1"/>
  <c r="D18" i="9"/>
  <c r="D7" i="9"/>
  <c r="T7" i="9" s="1"/>
  <c r="D8" i="9"/>
  <c r="S7" i="5"/>
  <c r="V4" i="5" s="1"/>
  <c r="S16" i="5" s="1"/>
  <c r="X15" i="10" l="1"/>
  <c r="X15" i="9"/>
  <c r="X7" i="10"/>
  <c r="X7" i="9"/>
  <c r="X12" i="10"/>
  <c r="X12" i="9"/>
  <c r="X20" i="10"/>
  <c r="X20" i="9"/>
  <c r="X19" i="10"/>
  <c r="X19" i="9"/>
  <c r="X16" i="10"/>
  <c r="X16" i="9"/>
  <c r="X14" i="10"/>
  <c r="T11" i="9"/>
  <c r="X11" i="9" s="1"/>
  <c r="T21" i="9"/>
  <c r="X21" i="9" s="1"/>
  <c r="T10" i="9"/>
  <c r="X10" i="9" s="1"/>
  <c r="X17" i="10"/>
  <c r="T6" i="9"/>
  <c r="X6" i="9" s="1"/>
  <c r="X9" i="10"/>
  <c r="T18" i="9"/>
  <c r="X18" i="9" s="1"/>
  <c r="X13" i="10"/>
  <c r="T8" i="9"/>
  <c r="X8" i="9" s="1"/>
  <c r="D26" i="9"/>
  <c r="D14" i="5"/>
  <c r="D9" i="7" s="1"/>
  <c r="O13" i="5"/>
  <c r="N12" i="5"/>
  <c r="N11" i="5"/>
  <c r="X11" i="10" l="1"/>
  <c r="X21" i="10"/>
  <c r="T26" i="9"/>
  <c r="F22" i="11" s="1"/>
  <c r="BP22" i="12" s="1"/>
  <c r="X10" i="10"/>
  <c r="X6" i="10"/>
  <c r="X18" i="10"/>
  <c r="X8" i="10"/>
  <c r="V9" i="7"/>
  <c r="E35" i="7"/>
  <c r="N7" i="5"/>
  <c r="E31" i="7" l="1"/>
  <c r="E27" i="7"/>
  <c r="E23" i="7"/>
  <c r="G23" i="7" s="1"/>
  <c r="E19" i="7"/>
  <c r="G19" i="7" s="1"/>
  <c r="E15" i="7"/>
  <c r="G15" i="7" s="1"/>
  <c r="E11" i="7"/>
  <c r="G11" i="7" s="1"/>
  <c r="E7" i="7"/>
  <c r="G7" i="7" s="1"/>
  <c r="E34" i="7"/>
  <c r="AD15" i="12" s="1"/>
  <c r="E30" i="7"/>
  <c r="E26" i="7"/>
  <c r="Z17" i="12" s="1"/>
  <c r="E22" i="7"/>
  <c r="G22" i="7" s="1"/>
  <c r="E18" i="7"/>
  <c r="G18" i="7" s="1"/>
  <c r="E14" i="7"/>
  <c r="G14" i="7" s="1"/>
  <c r="E10" i="7"/>
  <c r="G10" i="7" s="1"/>
  <c r="E6" i="7"/>
  <c r="E33" i="7"/>
  <c r="E29" i="7"/>
  <c r="AE17" i="12" s="1"/>
  <c r="E25" i="7"/>
  <c r="G25" i="7" s="1"/>
  <c r="E21" i="7"/>
  <c r="G21" i="7" s="1"/>
  <c r="E17" i="7"/>
  <c r="G17" i="7" s="1"/>
  <c r="E13" i="7"/>
  <c r="G13" i="7" s="1"/>
  <c r="E9" i="7"/>
  <c r="G9" i="7" s="1"/>
  <c r="E24" i="7"/>
  <c r="G24" i="7" s="1"/>
  <c r="E20" i="7"/>
  <c r="G20" i="7" s="1"/>
  <c r="E32" i="7"/>
  <c r="E16" i="7"/>
  <c r="G16" i="7" s="1"/>
  <c r="E28" i="7"/>
  <c r="AE16" i="12" s="1"/>
  <c r="E12" i="7"/>
  <c r="G12" i="7" s="1"/>
  <c r="E8" i="7"/>
  <c r="G8" i="7" s="1"/>
  <c r="E22" i="11"/>
  <c r="BQ10" i="12" s="1"/>
  <c r="D12" i="5"/>
  <c r="D9" i="6" s="1"/>
  <c r="V9" i="6" s="1"/>
  <c r="X26" i="10"/>
  <c r="V26" i="7"/>
  <c r="V13" i="5"/>
  <c r="D16" i="5" s="1"/>
  <c r="D21" i="8" l="1"/>
  <c r="D13" i="8"/>
  <c r="D19" i="8"/>
  <c r="D7" i="8"/>
  <c r="D17" i="8"/>
  <c r="D18" i="8"/>
  <c r="D15" i="8"/>
  <c r="D16" i="8"/>
  <c r="D9" i="8"/>
  <c r="D10" i="8"/>
  <c r="D12" i="8"/>
  <c r="D8" i="8"/>
  <c r="D20" i="8"/>
  <c r="D11" i="8"/>
  <c r="E35" i="6"/>
  <c r="F6" i="9"/>
  <c r="F8" i="9"/>
  <c r="J8" i="7"/>
  <c r="F10" i="9"/>
  <c r="J10" i="7"/>
  <c r="F12" i="9"/>
  <c r="J12" i="7"/>
  <c r="F14" i="9"/>
  <c r="J14" i="7"/>
  <c r="F16" i="9"/>
  <c r="J16" i="7"/>
  <c r="F18" i="9"/>
  <c r="J18" i="7"/>
  <c r="F20" i="9"/>
  <c r="J20" i="7"/>
  <c r="F22" i="9"/>
  <c r="J22" i="7"/>
  <c r="F24" i="9"/>
  <c r="J24" i="7"/>
  <c r="F7" i="9"/>
  <c r="J7" i="7"/>
  <c r="F9" i="9"/>
  <c r="I9" i="7"/>
  <c r="I9" i="6"/>
  <c r="F11" i="9"/>
  <c r="J11" i="7"/>
  <c r="F13" i="9"/>
  <c r="J13" i="7"/>
  <c r="F15" i="9"/>
  <c r="J15" i="7"/>
  <c r="F17" i="9"/>
  <c r="J17" i="7"/>
  <c r="F19" i="9"/>
  <c r="J19" i="7"/>
  <c r="F21" i="9"/>
  <c r="J21" i="7"/>
  <c r="F23" i="9"/>
  <c r="J23" i="7"/>
  <c r="F25" i="9"/>
  <c r="J25" i="7"/>
  <c r="D14" i="8"/>
  <c r="D6" i="8"/>
  <c r="F16" i="11"/>
  <c r="E16" i="11"/>
  <c r="AA10" i="12" s="1"/>
  <c r="J28" i="7"/>
  <c r="V26" i="6"/>
  <c r="Z9" i="7"/>
  <c r="Z26" i="7" s="1"/>
  <c r="G6" i="7"/>
  <c r="N28" i="7" l="1"/>
  <c r="AI29" i="12"/>
  <c r="AD23" i="9"/>
  <c r="AB23" i="9"/>
  <c r="AB25" i="9"/>
  <c r="AD25" i="9"/>
  <c r="AD22" i="9"/>
  <c r="AB22" i="9"/>
  <c r="AB24" i="9"/>
  <c r="AD24" i="9"/>
  <c r="E6" i="8" a="1"/>
  <c r="E9" i="8" s="1"/>
  <c r="AB19" i="9"/>
  <c r="AD19" i="9"/>
  <c r="AB15" i="9"/>
  <c r="AD15" i="9"/>
  <c r="AB11" i="9"/>
  <c r="AD11" i="9"/>
  <c r="AB6" i="9"/>
  <c r="AD6" i="9"/>
  <c r="G6" i="9" a="1"/>
  <c r="AB7" i="9"/>
  <c r="AD7" i="9"/>
  <c r="AD18" i="9"/>
  <c r="AB18" i="9"/>
  <c r="AB14" i="9"/>
  <c r="AD14" i="9"/>
  <c r="AD10" i="9"/>
  <c r="AB10" i="9"/>
  <c r="AB21" i="9"/>
  <c r="AD21" i="9"/>
  <c r="AB17" i="9"/>
  <c r="AD17" i="9"/>
  <c r="AB13" i="9"/>
  <c r="AD13" i="9"/>
  <c r="AB9" i="9"/>
  <c r="AD9" i="9"/>
  <c r="AB20" i="9"/>
  <c r="AD20" i="9"/>
  <c r="AB16" i="9"/>
  <c r="AD16" i="9"/>
  <c r="AB12" i="9"/>
  <c r="AD12" i="9"/>
  <c r="AB8" i="9"/>
  <c r="AD8" i="9"/>
  <c r="AD9" i="7"/>
  <c r="AD26" i="7" s="1"/>
  <c r="AE74" i="12" s="1"/>
  <c r="AF9" i="7"/>
  <c r="AF26" i="7" s="1"/>
  <c r="AD9" i="6"/>
  <c r="AD26" i="6" s="1"/>
  <c r="J74" i="12" s="1"/>
  <c r="AF9" i="6"/>
  <c r="AF26" i="6" s="1"/>
  <c r="E34" i="6"/>
  <c r="I15" i="12" s="1"/>
  <c r="E30" i="6"/>
  <c r="E26" i="6"/>
  <c r="E17" i="12" s="1"/>
  <c r="E22" i="6"/>
  <c r="G22" i="6" s="1"/>
  <c r="J22" i="6" s="1"/>
  <c r="E18" i="6"/>
  <c r="G18" i="6" s="1"/>
  <c r="J18" i="6" s="1"/>
  <c r="E14" i="6"/>
  <c r="G14" i="6" s="1"/>
  <c r="J14" i="6" s="1"/>
  <c r="E10" i="6"/>
  <c r="G10" i="6" s="1"/>
  <c r="J10" i="6" s="1"/>
  <c r="E6" i="6"/>
  <c r="G6" i="6" s="1"/>
  <c r="J6" i="6" s="1"/>
  <c r="E24" i="6"/>
  <c r="G24" i="6" s="1"/>
  <c r="J24" i="6" s="1"/>
  <c r="E16" i="6"/>
  <c r="G16" i="6" s="1"/>
  <c r="J16" i="6" s="1"/>
  <c r="E8" i="6"/>
  <c r="G8" i="6" s="1"/>
  <c r="J8" i="6" s="1"/>
  <c r="E27" i="6"/>
  <c r="E19" i="6"/>
  <c r="G19" i="6" s="1"/>
  <c r="J19" i="6" s="1"/>
  <c r="E11" i="6"/>
  <c r="G11" i="6" s="1"/>
  <c r="J11" i="6" s="1"/>
  <c r="E33" i="6"/>
  <c r="E29" i="6"/>
  <c r="J17" i="12" s="1"/>
  <c r="E25" i="6"/>
  <c r="G25" i="6" s="1"/>
  <c r="J25" i="6" s="1"/>
  <c r="E21" i="6"/>
  <c r="G21" i="6" s="1"/>
  <c r="J21" i="6" s="1"/>
  <c r="E17" i="6"/>
  <c r="G17" i="6" s="1"/>
  <c r="J17" i="6" s="1"/>
  <c r="E13" i="6"/>
  <c r="G13" i="6" s="1"/>
  <c r="J13" i="6" s="1"/>
  <c r="E9" i="6"/>
  <c r="G9" i="6" s="1"/>
  <c r="J9" i="6" s="1"/>
  <c r="E32" i="6"/>
  <c r="E28" i="6"/>
  <c r="J16" i="12" s="1"/>
  <c r="E20" i="6"/>
  <c r="G20" i="6" s="1"/>
  <c r="J20" i="6" s="1"/>
  <c r="E12" i="6"/>
  <c r="G12" i="6" s="1"/>
  <c r="J12" i="6" s="1"/>
  <c r="E31" i="6"/>
  <c r="E23" i="6"/>
  <c r="G23" i="6" s="1"/>
  <c r="J23" i="6" s="1"/>
  <c r="E15" i="6"/>
  <c r="G15" i="6" s="1"/>
  <c r="J15" i="6" s="1"/>
  <c r="E7" i="6"/>
  <c r="G7" i="6" s="1"/>
  <c r="J7" i="6" s="1"/>
  <c r="D26" i="8"/>
  <c r="E18" i="11" s="1"/>
  <c r="AV10" i="12" s="1"/>
  <c r="J9" i="7"/>
  <c r="F26" i="9"/>
  <c r="BT27" i="12" s="1"/>
  <c r="E14" i="11"/>
  <c r="F10" i="12" s="1"/>
  <c r="F14" i="11"/>
  <c r="J6" i="7"/>
  <c r="G26" i="7"/>
  <c r="Z24" i="12" s="1"/>
  <c r="AD24" i="12" s="1"/>
  <c r="M17" i="11" l="1"/>
  <c r="AA74" i="12"/>
  <c r="M15" i="11"/>
  <c r="F74" i="12"/>
  <c r="E24" i="8"/>
  <c r="G24" i="8" s="1"/>
  <c r="E6" i="8"/>
  <c r="E7" i="8"/>
  <c r="G7" i="8" s="1"/>
  <c r="E23" i="8"/>
  <c r="G23" i="8" s="1"/>
  <c r="E8" i="8"/>
  <c r="G8" i="8" s="1"/>
  <c r="E25" i="8"/>
  <c r="G25" i="8" s="1"/>
  <c r="E19" i="8"/>
  <c r="G19" i="8" s="1"/>
  <c r="E18" i="8"/>
  <c r="G18" i="8" s="1"/>
  <c r="E16" i="8"/>
  <c r="G16" i="8" s="1"/>
  <c r="E15" i="8"/>
  <c r="G15" i="8" s="1"/>
  <c r="E17" i="8"/>
  <c r="G17" i="8" s="1"/>
  <c r="E21" i="8"/>
  <c r="G21" i="8" s="1"/>
  <c r="E13" i="8"/>
  <c r="G13" i="8" s="1"/>
  <c r="E20" i="8"/>
  <c r="G20" i="8" s="1"/>
  <c r="E12" i="8"/>
  <c r="G12" i="8" s="1"/>
  <c r="E11" i="8"/>
  <c r="G11" i="8" s="1"/>
  <c r="E22" i="8"/>
  <c r="G22" i="8" s="1"/>
  <c r="E10" i="8"/>
  <c r="G10" i="8" s="1"/>
  <c r="E14" i="8"/>
  <c r="G14" i="8" s="1"/>
  <c r="K6" i="7" a="1"/>
  <c r="K6" i="7" s="1"/>
  <c r="G6" i="9"/>
  <c r="G9" i="9"/>
  <c r="G14" i="9"/>
  <c r="G19" i="9"/>
  <c r="G25" i="9"/>
  <c r="G10" i="9"/>
  <c r="G15" i="9"/>
  <c r="G21" i="9"/>
  <c r="G13" i="9"/>
  <c r="G18" i="9"/>
  <c r="G23" i="9"/>
  <c r="G11" i="9"/>
  <c r="G17" i="9"/>
  <c r="G22" i="9"/>
  <c r="G24" i="9"/>
  <c r="G8" i="9"/>
  <c r="G20" i="9"/>
  <c r="G12" i="9"/>
  <c r="G7" i="9"/>
  <c r="G16" i="9"/>
  <c r="K6" i="6" a="1"/>
  <c r="J28" i="6"/>
  <c r="X26" i="9"/>
  <c r="Z9" i="6"/>
  <c r="Z26" i="6" s="1"/>
  <c r="E20" i="11"/>
  <c r="AD26" i="9"/>
  <c r="AB26" i="9"/>
  <c r="BU74" i="12" s="1"/>
  <c r="G9" i="8"/>
  <c r="J26" i="7"/>
  <c r="AD29" i="12" s="1"/>
  <c r="J26" i="6"/>
  <c r="I29" i="12" s="1"/>
  <c r="G26" i="6"/>
  <c r="E24" i="12" s="1"/>
  <c r="I24" i="12" s="1"/>
  <c r="M23" i="11" l="1"/>
  <c r="BQ74" i="12"/>
  <c r="N28" i="6"/>
  <c r="N29" i="12"/>
  <c r="K21" i="7"/>
  <c r="K9" i="7"/>
  <c r="K12" i="7"/>
  <c r="K15" i="7"/>
  <c r="K18" i="7"/>
  <c r="K17" i="7"/>
  <c r="K24" i="7"/>
  <c r="K8" i="7"/>
  <c r="K11" i="7"/>
  <c r="K14" i="7"/>
  <c r="K13" i="7"/>
  <c r="K20" i="7"/>
  <c r="K23" i="7"/>
  <c r="K7" i="7"/>
  <c r="K10" i="7"/>
  <c r="K25" i="7"/>
  <c r="K16" i="7"/>
  <c r="K19" i="7"/>
  <c r="K22" i="7"/>
  <c r="K8" i="6"/>
  <c r="N8" i="6" s="1"/>
  <c r="K12" i="6"/>
  <c r="L12" i="6" s="1"/>
  <c r="W12" i="6" s="1"/>
  <c r="AA12" i="6" s="1"/>
  <c r="K16" i="6"/>
  <c r="N16" i="6" s="1"/>
  <c r="K20" i="6"/>
  <c r="K24" i="6"/>
  <c r="N24" i="6" s="1"/>
  <c r="K9" i="6"/>
  <c r="L9" i="6" s="1"/>
  <c r="W9" i="6" s="1"/>
  <c r="AA9" i="6" s="1"/>
  <c r="K13" i="6"/>
  <c r="K17" i="6"/>
  <c r="K21" i="6"/>
  <c r="L21" i="6" s="1"/>
  <c r="W21" i="6" s="1"/>
  <c r="AA21" i="6" s="1"/>
  <c r="K25" i="6"/>
  <c r="L25" i="6" s="1"/>
  <c r="W25" i="6" s="1"/>
  <c r="AA25" i="6" s="1"/>
  <c r="K11" i="6"/>
  <c r="L11" i="6" s="1"/>
  <c r="W11" i="6" s="1"/>
  <c r="AA11" i="6" s="1"/>
  <c r="K19" i="6"/>
  <c r="K6" i="6"/>
  <c r="N6" i="6" s="1"/>
  <c r="K10" i="6"/>
  <c r="N10" i="6" s="1"/>
  <c r="K14" i="6"/>
  <c r="L14" i="6" s="1"/>
  <c r="W14" i="6" s="1"/>
  <c r="AA14" i="6" s="1"/>
  <c r="K18" i="6"/>
  <c r="N18" i="6" s="1"/>
  <c r="K22" i="6"/>
  <c r="N22" i="6" s="1"/>
  <c r="K7" i="6"/>
  <c r="N7" i="6" s="1"/>
  <c r="K15" i="6"/>
  <c r="N15" i="6" s="1"/>
  <c r="K23" i="6"/>
  <c r="I13" i="8"/>
  <c r="V13" i="8"/>
  <c r="Z13" i="8" s="1"/>
  <c r="V19" i="8"/>
  <c r="Z19" i="8" s="1"/>
  <c r="I19" i="8"/>
  <c r="I25" i="8"/>
  <c r="V25" i="8"/>
  <c r="Z25" i="8" s="1"/>
  <c r="I18" i="8"/>
  <c r="V18" i="8"/>
  <c r="Z18" i="8" s="1"/>
  <c r="I20" i="8"/>
  <c r="V20" i="8"/>
  <c r="Z20" i="8" s="1"/>
  <c r="I24" i="8"/>
  <c r="V24" i="8"/>
  <c r="Z24" i="8" s="1"/>
  <c r="I11" i="8"/>
  <c r="V11" i="8"/>
  <c r="Z11" i="8" s="1"/>
  <c r="I9" i="8"/>
  <c r="V9" i="8"/>
  <c r="Z9" i="8" s="1"/>
  <c r="I17" i="8"/>
  <c r="V17" i="8"/>
  <c r="Z17" i="8" s="1"/>
  <c r="I7" i="8"/>
  <c r="V7" i="8"/>
  <c r="Z7" i="8" s="1"/>
  <c r="H9" i="9"/>
  <c r="I9" i="9" s="1"/>
  <c r="U9" i="9" s="1"/>
  <c r="Y9" i="9" s="1"/>
  <c r="K9" i="9"/>
  <c r="H15" i="9"/>
  <c r="I15" i="9" s="1"/>
  <c r="U15" i="9" s="1"/>
  <c r="Y15" i="9" s="1"/>
  <c r="K15" i="9"/>
  <c r="K21" i="9"/>
  <c r="H21" i="9"/>
  <c r="I21" i="9" s="1"/>
  <c r="U21" i="9" s="1"/>
  <c r="Y21" i="9" s="1"/>
  <c r="K8" i="9"/>
  <c r="H8" i="9"/>
  <c r="I8" i="9" s="1"/>
  <c r="U8" i="9" s="1"/>
  <c r="Y8" i="9" s="1"/>
  <c r="K14" i="9"/>
  <c r="H14" i="9"/>
  <c r="I14" i="9" s="1"/>
  <c r="U14" i="9" s="1"/>
  <c r="Y14" i="9" s="1"/>
  <c r="K20" i="9"/>
  <c r="H20" i="9"/>
  <c r="I20" i="9" s="1"/>
  <c r="U20" i="9" s="1"/>
  <c r="Y20" i="9" s="1"/>
  <c r="K7" i="9"/>
  <c r="H7" i="9"/>
  <c r="I7" i="9" s="1"/>
  <c r="U7" i="9" s="1"/>
  <c r="Y7" i="9" s="1"/>
  <c r="H13" i="9"/>
  <c r="I13" i="9" s="1"/>
  <c r="U13" i="9" s="1"/>
  <c r="Y13" i="9" s="1"/>
  <c r="K13" i="9"/>
  <c r="H19" i="9"/>
  <c r="I19" i="9" s="1"/>
  <c r="U19" i="9" s="1"/>
  <c r="Y19" i="9" s="1"/>
  <c r="K19" i="9"/>
  <c r="K6" i="9"/>
  <c r="G26" i="9"/>
  <c r="BT32" i="12" s="1"/>
  <c r="H6" i="9"/>
  <c r="I16" i="8"/>
  <c r="V16" i="8"/>
  <c r="Z16" i="8" s="1"/>
  <c r="I22" i="8"/>
  <c r="V22" i="8"/>
  <c r="Z22" i="8" s="1"/>
  <c r="I12" i="8"/>
  <c r="V12" i="8"/>
  <c r="Z12" i="8" s="1"/>
  <c r="V23" i="8"/>
  <c r="Z23" i="8" s="1"/>
  <c r="I23" i="8"/>
  <c r="V21" i="8"/>
  <c r="Z21" i="8" s="1"/>
  <c r="I21" i="8"/>
  <c r="I8" i="8"/>
  <c r="V8" i="8"/>
  <c r="Z8" i="8" s="1"/>
  <c r="I14" i="8"/>
  <c r="V14" i="8"/>
  <c r="Z14" i="8" s="1"/>
  <c r="I15" i="8"/>
  <c r="V15" i="8"/>
  <c r="Z15" i="8" s="1"/>
  <c r="I10" i="8"/>
  <c r="V10" i="8"/>
  <c r="Z10" i="8" s="1"/>
  <c r="G6" i="8"/>
  <c r="E26" i="8"/>
  <c r="AV15" i="12" s="1"/>
  <c r="H12" i="9"/>
  <c r="I12" i="9" s="1"/>
  <c r="U12" i="9" s="1"/>
  <c r="Y12" i="9" s="1"/>
  <c r="K12" i="9"/>
  <c r="H18" i="9"/>
  <c r="I18" i="9" s="1"/>
  <c r="U18" i="9" s="1"/>
  <c r="Y18" i="9" s="1"/>
  <c r="K18" i="9"/>
  <c r="H24" i="9"/>
  <c r="I24" i="9" s="1"/>
  <c r="U24" i="9" s="1"/>
  <c r="Y24" i="9" s="1"/>
  <c r="K24" i="9"/>
  <c r="H11" i="9"/>
  <c r="I11" i="9" s="1"/>
  <c r="U11" i="9" s="1"/>
  <c r="Y11" i="9" s="1"/>
  <c r="K11" i="9"/>
  <c r="K17" i="9"/>
  <c r="H17" i="9"/>
  <c r="I17" i="9" s="1"/>
  <c r="U17" i="9" s="1"/>
  <c r="Y17" i="9" s="1"/>
  <c r="K23" i="9"/>
  <c r="H23" i="9"/>
  <c r="I23" i="9" s="1"/>
  <c r="U23" i="9" s="1"/>
  <c r="Y23" i="9" s="1"/>
  <c r="K10" i="9"/>
  <c r="H10" i="9"/>
  <c r="I10" i="9" s="1"/>
  <c r="U10" i="9" s="1"/>
  <c r="Y10" i="9" s="1"/>
  <c r="H16" i="9"/>
  <c r="I16" i="9" s="1"/>
  <c r="U16" i="9" s="1"/>
  <c r="Y16" i="9" s="1"/>
  <c r="K16" i="9"/>
  <c r="H22" i="9"/>
  <c r="I22" i="9" s="1"/>
  <c r="U22" i="9" s="1"/>
  <c r="Y22" i="9" s="1"/>
  <c r="K22" i="9"/>
  <c r="K25" i="9"/>
  <c r="H25" i="9"/>
  <c r="I25" i="9" s="1"/>
  <c r="U25" i="9" s="1"/>
  <c r="Y25" i="9" s="1"/>
  <c r="L8" i="6" l="1"/>
  <c r="W8" i="6" s="1"/>
  <c r="AA8" i="6" s="1"/>
  <c r="AD10" i="8"/>
  <c r="AF10" i="8"/>
  <c r="AD14" i="8"/>
  <c r="AF14" i="8"/>
  <c r="AF12" i="8"/>
  <c r="AD12" i="8"/>
  <c r="AF16" i="8"/>
  <c r="AD16" i="8"/>
  <c r="AD23" i="8"/>
  <c r="AF23" i="8"/>
  <c r="AD17" i="8"/>
  <c r="AF17" i="8"/>
  <c r="AD11" i="8"/>
  <c r="AF11" i="8"/>
  <c r="AF20" i="8"/>
  <c r="AD20" i="8"/>
  <c r="AD25" i="8"/>
  <c r="AF25" i="8"/>
  <c r="AD13" i="8"/>
  <c r="AF13" i="8"/>
  <c r="AD15" i="8"/>
  <c r="AF15" i="8"/>
  <c r="AF8" i="8"/>
  <c r="AD8" i="8"/>
  <c r="AD22" i="8"/>
  <c r="AF22" i="8"/>
  <c r="AD19" i="8"/>
  <c r="AF19" i="8"/>
  <c r="AD21" i="8"/>
  <c r="AF21" i="8"/>
  <c r="AD7" i="8"/>
  <c r="AF7" i="8"/>
  <c r="AD9" i="8"/>
  <c r="AF9" i="8"/>
  <c r="AF24" i="8"/>
  <c r="AD24" i="8"/>
  <c r="AD18" i="8"/>
  <c r="AF18" i="8"/>
  <c r="L13" i="6"/>
  <c r="W13" i="6" s="1"/>
  <c r="AA13" i="6" s="1"/>
  <c r="N19" i="6"/>
  <c r="N20" i="6"/>
  <c r="N17" i="6"/>
  <c r="N23" i="6"/>
  <c r="N12" i="6"/>
  <c r="N9" i="6"/>
  <c r="L20" i="6"/>
  <c r="W20" i="6" s="1"/>
  <c r="AA20" i="6" s="1"/>
  <c r="L17" i="6"/>
  <c r="W17" i="6" s="1"/>
  <c r="AA17" i="6" s="1"/>
  <c r="L16" i="6"/>
  <c r="W16" i="6" s="1"/>
  <c r="AA16" i="6" s="1"/>
  <c r="L24" i="6"/>
  <c r="W24" i="6" s="1"/>
  <c r="AA24" i="6" s="1"/>
  <c r="N13" i="6"/>
  <c r="L18" i="6"/>
  <c r="W18" i="6" s="1"/>
  <c r="AA18" i="6" s="1"/>
  <c r="N25" i="6"/>
  <c r="L15" i="6"/>
  <c r="W15" i="6" s="1"/>
  <c r="AA15" i="6" s="1"/>
  <c r="L10" i="6"/>
  <c r="W10" i="6" s="1"/>
  <c r="AA10" i="6" s="1"/>
  <c r="L7" i="6"/>
  <c r="W7" i="6" s="1"/>
  <c r="AA7" i="6" s="1"/>
  <c r="L23" i="6"/>
  <c r="W23" i="6" s="1"/>
  <c r="AA23" i="6" s="1"/>
  <c r="N21" i="6"/>
  <c r="L6" i="6"/>
  <c r="W6" i="6" s="1"/>
  <c r="AA6" i="6" s="1"/>
  <c r="N14" i="6"/>
  <c r="L22" i="6"/>
  <c r="W22" i="6" s="1"/>
  <c r="AA22" i="6" s="1"/>
  <c r="N11" i="6"/>
  <c r="L19" i="6"/>
  <c r="W19" i="6" s="1"/>
  <c r="AA19" i="6" s="1"/>
  <c r="K26" i="6"/>
  <c r="I34" i="12" s="1"/>
  <c r="Y25" i="10"/>
  <c r="Y10" i="10"/>
  <c r="Y23" i="10"/>
  <c r="Y17" i="10"/>
  <c r="H10" i="10"/>
  <c r="H23" i="10"/>
  <c r="H22" i="10"/>
  <c r="H16" i="10"/>
  <c r="Y7" i="10"/>
  <c r="Y20" i="10"/>
  <c r="Y14" i="10"/>
  <c r="Y8" i="10"/>
  <c r="Y21" i="10"/>
  <c r="H7" i="10"/>
  <c r="H9" i="10"/>
  <c r="H18" i="10"/>
  <c r="Y22" i="10"/>
  <c r="Y16" i="10"/>
  <c r="Y11" i="10"/>
  <c r="Y24" i="10"/>
  <c r="Y18" i="10"/>
  <c r="Y12" i="10"/>
  <c r="I6" i="8"/>
  <c r="G26" i="8"/>
  <c r="AU22" i="12" s="1"/>
  <c r="AY22" i="12" s="1"/>
  <c r="V6" i="8"/>
  <c r="Z6" i="8" s="1"/>
  <c r="H15" i="10"/>
  <c r="H14" i="10"/>
  <c r="H8" i="10"/>
  <c r="H21" i="10"/>
  <c r="H12" i="10"/>
  <c r="I6" i="9"/>
  <c r="H26" i="9"/>
  <c r="BY34" i="12" s="1"/>
  <c r="K26" i="9"/>
  <c r="Y19" i="10"/>
  <c r="Y13" i="10"/>
  <c r="Y15" i="10"/>
  <c r="Y9" i="10"/>
  <c r="H17" i="10"/>
  <c r="H11" i="10"/>
  <c r="H24" i="10"/>
  <c r="H20" i="10"/>
  <c r="H25" i="10"/>
  <c r="H19" i="10"/>
  <c r="H13" i="10"/>
  <c r="N10" i="7"/>
  <c r="L10" i="7"/>
  <c r="W10" i="7" s="1"/>
  <c r="AA10" i="7" s="1"/>
  <c r="N23" i="7"/>
  <c r="L23" i="7"/>
  <c r="W23" i="7" s="1"/>
  <c r="AA23" i="7" s="1"/>
  <c r="N24" i="7"/>
  <c r="L24" i="7"/>
  <c r="W24" i="7" s="1"/>
  <c r="AA24" i="7" s="1"/>
  <c r="N7" i="7"/>
  <c r="L7" i="7"/>
  <c r="W7" i="7" s="1"/>
  <c r="AA7" i="7" s="1"/>
  <c r="N19" i="7"/>
  <c r="L19" i="7"/>
  <c r="W19" i="7" s="1"/>
  <c r="AA19" i="7" s="1"/>
  <c r="N20" i="7"/>
  <c r="L20" i="7"/>
  <c r="W20" i="7" s="1"/>
  <c r="AA20" i="7" s="1"/>
  <c r="L14" i="7"/>
  <c r="W14" i="7" s="1"/>
  <c r="AA14" i="7" s="1"/>
  <c r="N14" i="7"/>
  <c r="L9" i="7"/>
  <c r="W9" i="7" s="1"/>
  <c r="AA9" i="7" s="1"/>
  <c r="N9" i="7"/>
  <c r="N17" i="7"/>
  <c r="L17" i="7"/>
  <c r="W17" i="7" s="1"/>
  <c r="AA17" i="7" s="1"/>
  <c r="L25" i="7"/>
  <c r="W25" i="7" s="1"/>
  <c r="AA25" i="7" s="1"/>
  <c r="N25" i="7"/>
  <c r="N16" i="7"/>
  <c r="L16" i="7"/>
  <c r="W16" i="7" s="1"/>
  <c r="AA16" i="7" s="1"/>
  <c r="N11" i="7"/>
  <c r="L11" i="7"/>
  <c r="W11" i="7" s="1"/>
  <c r="AA11" i="7" s="1"/>
  <c r="N8" i="7"/>
  <c r="L8" i="7"/>
  <c r="W8" i="7" s="1"/>
  <c r="AA8" i="7" s="1"/>
  <c r="L18" i="7"/>
  <c r="W18" i="7" s="1"/>
  <c r="AA18" i="7" s="1"/>
  <c r="N18" i="7"/>
  <c r="N15" i="7"/>
  <c r="L15" i="7"/>
  <c r="W15" i="7" s="1"/>
  <c r="AA15" i="7" s="1"/>
  <c r="L12" i="7"/>
  <c r="W12" i="7" s="1"/>
  <c r="AA12" i="7" s="1"/>
  <c r="N12" i="7"/>
  <c r="K26" i="7"/>
  <c r="AD34" i="12" s="1"/>
  <c r="L6" i="7"/>
  <c r="N6" i="7"/>
  <c r="N22" i="7"/>
  <c r="L22" i="7"/>
  <c r="W22" i="7" s="1"/>
  <c r="AA22" i="7" s="1"/>
  <c r="L13" i="7"/>
  <c r="W13" i="7" s="1"/>
  <c r="AA13" i="7" s="1"/>
  <c r="N13" i="7"/>
  <c r="L21" i="7"/>
  <c r="W21" i="7" s="1"/>
  <c r="AA21" i="7" s="1"/>
  <c r="N21" i="7"/>
  <c r="L30" i="9" l="1"/>
  <c r="BT39" i="12"/>
  <c r="I26" i="8"/>
  <c r="AY27" i="12" s="1"/>
  <c r="J6" i="8" a="1"/>
  <c r="AD6" i="8"/>
  <c r="AD26" i="8" s="1"/>
  <c r="AZ74" i="12" s="1"/>
  <c r="AF6" i="8"/>
  <c r="AF26" i="8" s="1"/>
  <c r="N26" i="6"/>
  <c r="L26" i="6"/>
  <c r="N39" i="12" s="1"/>
  <c r="I26" i="9"/>
  <c r="BY39" i="12" s="1"/>
  <c r="U6" i="9"/>
  <c r="Y6" i="9" s="1"/>
  <c r="H6" i="10"/>
  <c r="H26" i="10" s="1"/>
  <c r="Z26" i="8"/>
  <c r="V26" i="8"/>
  <c r="F18" i="11" s="1"/>
  <c r="F20" i="11" s="1"/>
  <c r="AG22" i="10"/>
  <c r="G64" i="11" s="1"/>
  <c r="P22" i="10"/>
  <c r="F43" i="11" s="1"/>
  <c r="N26" i="7"/>
  <c r="W6" i="7"/>
  <c r="AA6" i="7" s="1"/>
  <c r="L26" i="7"/>
  <c r="AI39" i="12" s="1"/>
  <c r="W26" i="6"/>
  <c r="G14" i="11" s="1"/>
  <c r="M19" i="11" l="1"/>
  <c r="M21" i="11" s="1"/>
  <c r="AV74" i="12"/>
  <c r="M30" i="9"/>
  <c r="BT44" i="12"/>
  <c r="N30" i="7"/>
  <c r="O30" i="7" s="1"/>
  <c r="AD39" i="12"/>
  <c r="N30" i="6"/>
  <c r="O30" i="6" s="1"/>
  <c r="I39" i="12"/>
  <c r="J6" i="8"/>
  <c r="J24" i="8"/>
  <c r="J19" i="8"/>
  <c r="J25" i="8"/>
  <c r="J12" i="8"/>
  <c r="J10" i="8"/>
  <c r="J20" i="8"/>
  <c r="J16" i="8"/>
  <c r="J15" i="8"/>
  <c r="J17" i="8"/>
  <c r="J22" i="8"/>
  <c r="J21" i="8"/>
  <c r="J8" i="8"/>
  <c r="J11" i="8"/>
  <c r="J13" i="8"/>
  <c r="J18" i="8"/>
  <c r="J9" i="8"/>
  <c r="J23" i="8"/>
  <c r="J7" i="8"/>
  <c r="J14" i="8"/>
  <c r="Y6" i="10"/>
  <c r="Y26" i="10" s="1"/>
  <c r="U26" i="9"/>
  <c r="G22" i="11" s="1"/>
  <c r="Y26" i="9"/>
  <c r="W26" i="7"/>
  <c r="G16" i="11" s="1"/>
  <c r="AA26" i="6"/>
  <c r="BT49" i="12" l="1"/>
  <c r="O16" i="9"/>
  <c r="Q16" i="9" s="1"/>
  <c r="O17" i="9"/>
  <c r="Q17" i="9" s="1"/>
  <c r="O19" i="9"/>
  <c r="Q19" i="9" s="1"/>
  <c r="O15" i="9"/>
  <c r="Q15" i="9" s="1"/>
  <c r="O20" i="9"/>
  <c r="Q20" i="9" s="1"/>
  <c r="O22" i="9"/>
  <c r="Q22" i="9" s="1"/>
  <c r="O8" i="9"/>
  <c r="Q8" i="9" s="1"/>
  <c r="O6" i="9"/>
  <c r="Q6" i="9" s="1"/>
  <c r="O9" i="9"/>
  <c r="Q9" i="9" s="1"/>
  <c r="O18" i="9"/>
  <c r="Q18" i="9" s="1"/>
  <c r="O13" i="9"/>
  <c r="Q13" i="9" s="1"/>
  <c r="O24" i="9"/>
  <c r="Q24" i="9" s="1"/>
  <c r="O21" i="9"/>
  <c r="Q21" i="9" s="1"/>
  <c r="O11" i="9"/>
  <c r="Q11" i="9" s="1"/>
  <c r="O26" i="9"/>
  <c r="O10" i="9"/>
  <c r="Q10" i="9" s="1"/>
  <c r="O23" i="9"/>
  <c r="Q23" i="9" s="1"/>
  <c r="O12" i="9"/>
  <c r="Q12" i="9" s="1"/>
  <c r="O25" i="9"/>
  <c r="Q25" i="9" s="1"/>
  <c r="O7" i="9"/>
  <c r="Q7" i="9" s="1"/>
  <c r="O14" i="9"/>
  <c r="Q14" i="9" s="1"/>
  <c r="P30" i="7"/>
  <c r="AD44" i="12"/>
  <c r="P30" i="6"/>
  <c r="I44" i="12"/>
  <c r="K14" i="8"/>
  <c r="L14" i="8" s="1"/>
  <c r="W14" i="8" s="1"/>
  <c r="AA14" i="8" s="1"/>
  <c r="K18" i="8"/>
  <c r="L18" i="8" s="1"/>
  <c r="W18" i="8" s="1"/>
  <c r="AA18" i="8" s="1"/>
  <c r="K21" i="8"/>
  <c r="L21" i="8" s="1"/>
  <c r="W21" i="8" s="1"/>
  <c r="AA21" i="8" s="1"/>
  <c r="K16" i="8"/>
  <c r="L16" i="8" s="1"/>
  <c r="W16" i="8" s="1"/>
  <c r="AA16" i="8" s="1"/>
  <c r="K25" i="8"/>
  <c r="L25" i="8" s="1"/>
  <c r="W25" i="8" s="1"/>
  <c r="AA25" i="8" s="1"/>
  <c r="K7" i="8"/>
  <c r="L7" i="8" s="1"/>
  <c r="W7" i="8" s="1"/>
  <c r="AA7" i="8" s="1"/>
  <c r="K13" i="8"/>
  <c r="L13" i="8" s="1"/>
  <c r="W13" i="8" s="1"/>
  <c r="AA13" i="8" s="1"/>
  <c r="K22" i="8"/>
  <c r="L22" i="8" s="1"/>
  <c r="W22" i="8" s="1"/>
  <c r="AA22" i="8" s="1"/>
  <c r="K20" i="8"/>
  <c r="L20" i="8" s="1"/>
  <c r="W20" i="8" s="1"/>
  <c r="AA20" i="8" s="1"/>
  <c r="K19" i="8"/>
  <c r="L19" i="8" s="1"/>
  <c r="W19" i="8" s="1"/>
  <c r="AA19" i="8" s="1"/>
  <c r="K23" i="8"/>
  <c r="L23" i="8" s="1"/>
  <c r="W23" i="8" s="1"/>
  <c r="AA23" i="8" s="1"/>
  <c r="K11" i="8"/>
  <c r="L11" i="8" s="1"/>
  <c r="W11" i="8" s="1"/>
  <c r="AA11" i="8" s="1"/>
  <c r="K17" i="8"/>
  <c r="L17" i="8" s="1"/>
  <c r="W17" i="8" s="1"/>
  <c r="AA17" i="8" s="1"/>
  <c r="K10" i="8"/>
  <c r="L10" i="8" s="1"/>
  <c r="W10" i="8" s="1"/>
  <c r="AA10" i="8" s="1"/>
  <c r="K24" i="8"/>
  <c r="L24" i="8" s="1"/>
  <c r="W24" i="8" s="1"/>
  <c r="AA24" i="8" s="1"/>
  <c r="K9" i="8"/>
  <c r="L9" i="8" s="1"/>
  <c r="W9" i="8" s="1"/>
  <c r="AA9" i="8" s="1"/>
  <c r="K8" i="8"/>
  <c r="L8" i="8" s="1"/>
  <c r="W8" i="8" s="1"/>
  <c r="AA8" i="8" s="1"/>
  <c r="K15" i="8"/>
  <c r="L15" i="8" s="1"/>
  <c r="W15" i="8" s="1"/>
  <c r="AA15" i="8" s="1"/>
  <c r="K12" i="8"/>
  <c r="L12" i="8" s="1"/>
  <c r="W12" i="8" s="1"/>
  <c r="AA12" i="8" s="1"/>
  <c r="K6" i="8"/>
  <c r="N19" i="8"/>
  <c r="N14" i="8"/>
  <c r="N9" i="8"/>
  <c r="N25" i="8"/>
  <c r="N20" i="8"/>
  <c r="N23" i="8"/>
  <c r="N18" i="8"/>
  <c r="N13" i="8"/>
  <c r="N8" i="8"/>
  <c r="N24" i="8"/>
  <c r="N11" i="8"/>
  <c r="N6" i="8"/>
  <c r="J26" i="8"/>
  <c r="AY32" i="12" s="1"/>
  <c r="N22" i="8"/>
  <c r="N17" i="8"/>
  <c r="N12" i="8"/>
  <c r="N15" i="8"/>
  <c r="N10" i="8"/>
  <c r="N7" i="8"/>
  <c r="N21" i="8"/>
  <c r="N16" i="8"/>
  <c r="AA26" i="7"/>
  <c r="R6" i="9" l="1" a="1"/>
  <c r="Q26" i="9"/>
  <c r="BT54" i="12" s="1"/>
  <c r="AD49" i="12"/>
  <c r="R14" i="7"/>
  <c r="S14" i="7" s="1"/>
  <c r="R18" i="7"/>
  <c r="S18" i="7" s="1"/>
  <c r="R26" i="7"/>
  <c r="R17" i="7"/>
  <c r="S17" i="7" s="1"/>
  <c r="R21" i="7"/>
  <c r="S21" i="7" s="1"/>
  <c r="R16" i="7"/>
  <c r="S16" i="7" s="1"/>
  <c r="R20" i="7"/>
  <c r="S20" i="7" s="1"/>
  <c r="R9" i="7"/>
  <c r="S9" i="7" s="1"/>
  <c r="R10" i="7"/>
  <c r="S10" i="7" s="1"/>
  <c r="R23" i="7"/>
  <c r="S23" i="7" s="1"/>
  <c r="R11" i="7"/>
  <c r="S11" i="7" s="1"/>
  <c r="R24" i="7"/>
  <c r="S24" i="7" s="1"/>
  <c r="R19" i="7"/>
  <c r="S19" i="7" s="1"/>
  <c r="R6" i="7"/>
  <c r="S6" i="7" s="1"/>
  <c r="R8" i="7"/>
  <c r="S8" i="7" s="1"/>
  <c r="R22" i="7"/>
  <c r="S22" i="7" s="1"/>
  <c r="R13" i="7"/>
  <c r="S13" i="7" s="1"/>
  <c r="R7" i="7"/>
  <c r="S7" i="7" s="1"/>
  <c r="R25" i="7"/>
  <c r="S25" i="7" s="1"/>
  <c r="R12" i="7"/>
  <c r="S12" i="7" s="1"/>
  <c r="R15" i="7"/>
  <c r="S15" i="7" s="1"/>
  <c r="R23" i="6"/>
  <c r="S23" i="6" s="1"/>
  <c r="I49" i="12"/>
  <c r="R7" i="6"/>
  <c r="S7" i="6" s="1"/>
  <c r="R15" i="6"/>
  <c r="S15" i="6" s="1"/>
  <c r="R9" i="6"/>
  <c r="S9" i="6" s="1"/>
  <c r="R6" i="6"/>
  <c r="S6" i="6" s="1"/>
  <c r="R17" i="6"/>
  <c r="S17" i="6" s="1"/>
  <c r="R20" i="6"/>
  <c r="S20" i="6" s="1"/>
  <c r="R21" i="6"/>
  <c r="S21" i="6" s="1"/>
  <c r="R11" i="6"/>
  <c r="S11" i="6" s="1"/>
  <c r="R13" i="6"/>
  <c r="S13" i="6" s="1"/>
  <c r="R24" i="6"/>
  <c r="S24" i="6" s="1"/>
  <c r="R25" i="6"/>
  <c r="S25" i="6" s="1"/>
  <c r="R16" i="6"/>
  <c r="S16" i="6" s="1"/>
  <c r="R22" i="6"/>
  <c r="S22" i="6" s="1"/>
  <c r="R26" i="6"/>
  <c r="R14" i="6"/>
  <c r="S14" i="6" s="1"/>
  <c r="R19" i="6"/>
  <c r="S19" i="6" s="1"/>
  <c r="R12" i="6"/>
  <c r="S12" i="6" s="1"/>
  <c r="R8" i="6"/>
  <c r="S8" i="6" s="1"/>
  <c r="R18" i="6"/>
  <c r="S18" i="6" s="1"/>
  <c r="R10" i="6"/>
  <c r="S10" i="6" s="1"/>
  <c r="K26" i="8"/>
  <c r="BD34" i="12" s="1"/>
  <c r="N26" i="8"/>
  <c r="I16" i="10"/>
  <c r="I21" i="10"/>
  <c r="I7" i="10"/>
  <c r="I10" i="10"/>
  <c r="I15" i="10"/>
  <c r="I12" i="10"/>
  <c r="I17" i="10"/>
  <c r="I22" i="10"/>
  <c r="L6" i="8"/>
  <c r="I11" i="10"/>
  <c r="I24" i="10"/>
  <c r="I8" i="10"/>
  <c r="I13" i="10"/>
  <c r="I18" i="10"/>
  <c r="I23" i="10"/>
  <c r="I20" i="10"/>
  <c r="I25" i="10"/>
  <c r="I9" i="10"/>
  <c r="I14" i="10"/>
  <c r="I19" i="10"/>
  <c r="O30" i="8" l="1"/>
  <c r="AY39" i="12"/>
  <c r="R6" i="9"/>
  <c r="R10" i="9"/>
  <c r="R9" i="9"/>
  <c r="R18" i="9"/>
  <c r="R11" i="9"/>
  <c r="R7" i="9"/>
  <c r="R17" i="9"/>
  <c r="R15" i="9"/>
  <c r="R13" i="9"/>
  <c r="R14" i="9"/>
  <c r="R24" i="9"/>
  <c r="R22" i="9"/>
  <c r="R12" i="9"/>
  <c r="R25" i="9"/>
  <c r="R21" i="9"/>
  <c r="R8" i="9"/>
  <c r="R20" i="9"/>
  <c r="R19" i="9"/>
  <c r="R23" i="9"/>
  <c r="R16" i="9"/>
  <c r="T6" i="7" a="1"/>
  <c r="S26" i="7"/>
  <c r="AD54" i="12" s="1"/>
  <c r="S26" i="6"/>
  <c r="I54" i="12" s="1"/>
  <c r="T6" i="6" a="1"/>
  <c r="W6" i="8"/>
  <c r="AA6" i="8" s="1"/>
  <c r="L26" i="8"/>
  <c r="BD39" i="12" s="1"/>
  <c r="Q22" i="10"/>
  <c r="G43" i="11" s="1"/>
  <c r="AC19" i="9" l="1"/>
  <c r="AE19" i="9"/>
  <c r="S19" i="9"/>
  <c r="V19" i="9" s="1"/>
  <c r="AC7" i="9"/>
  <c r="S7" i="9"/>
  <c r="V7" i="9" s="1"/>
  <c r="AE7" i="9"/>
  <c r="AC20" i="9"/>
  <c r="S20" i="9"/>
  <c r="V20" i="9" s="1"/>
  <c r="AE20" i="9"/>
  <c r="AE12" i="9"/>
  <c r="S12" i="9"/>
  <c r="V12" i="9" s="1"/>
  <c r="AC12" i="9"/>
  <c r="AC13" i="9"/>
  <c r="S13" i="9"/>
  <c r="V13" i="9" s="1"/>
  <c r="AE13" i="9"/>
  <c r="AC11" i="9"/>
  <c r="AE11" i="9"/>
  <c r="S11" i="9"/>
  <c r="V11" i="9" s="1"/>
  <c r="AC6" i="9"/>
  <c r="AE6" i="9"/>
  <c r="R26" i="9"/>
  <c r="BT59" i="12" s="1"/>
  <c r="S6" i="9"/>
  <c r="AC14" i="9"/>
  <c r="S14" i="9"/>
  <c r="V14" i="9" s="1"/>
  <c r="AE14" i="9"/>
  <c r="AE16" i="9"/>
  <c r="S16" i="9"/>
  <c r="V16" i="9" s="1"/>
  <c r="AC16" i="9"/>
  <c r="AE8" i="9"/>
  <c r="AC8" i="9"/>
  <c r="S8" i="9"/>
  <c r="V8" i="9" s="1"/>
  <c r="AC22" i="9"/>
  <c r="S22" i="9"/>
  <c r="V22" i="9" s="1"/>
  <c r="AE22" i="9"/>
  <c r="AE15" i="9"/>
  <c r="AC15" i="9"/>
  <c r="S15" i="9"/>
  <c r="V15" i="9" s="1"/>
  <c r="AC18" i="9"/>
  <c r="AE18" i="9"/>
  <c r="S18" i="9"/>
  <c r="V18" i="9" s="1"/>
  <c r="AC25" i="9"/>
  <c r="AE25" i="9"/>
  <c r="S25" i="9"/>
  <c r="V25" i="9" s="1"/>
  <c r="AE10" i="9"/>
  <c r="AC10" i="9"/>
  <c r="S10" i="9"/>
  <c r="V10" i="9" s="1"/>
  <c r="AC23" i="9"/>
  <c r="AE23" i="9"/>
  <c r="S23" i="9"/>
  <c r="V23" i="9" s="1"/>
  <c r="AC21" i="9"/>
  <c r="S21" i="9"/>
  <c r="V21" i="9" s="1"/>
  <c r="AE21" i="9"/>
  <c r="AC24" i="9"/>
  <c r="AE24" i="9"/>
  <c r="S24" i="9"/>
  <c r="V24" i="9" s="1"/>
  <c r="AE17" i="9"/>
  <c r="AC17" i="9"/>
  <c r="S17" i="9"/>
  <c r="V17" i="9" s="1"/>
  <c r="AC9" i="9"/>
  <c r="AE9" i="9"/>
  <c r="S9" i="9"/>
  <c r="V9" i="9" s="1"/>
  <c r="P30" i="8"/>
  <c r="AY44" i="12"/>
  <c r="T16" i="7"/>
  <c r="T13" i="7"/>
  <c r="T15" i="7"/>
  <c r="T11" i="7"/>
  <c r="T6" i="7"/>
  <c r="T18" i="7"/>
  <c r="T12" i="7"/>
  <c r="T21" i="7"/>
  <c r="T20" i="7"/>
  <c r="T23" i="7"/>
  <c r="T17" i="7"/>
  <c r="T25" i="7"/>
  <c r="T7" i="7"/>
  <c r="T19" i="7"/>
  <c r="T10" i="7"/>
  <c r="T24" i="7"/>
  <c r="T14" i="7"/>
  <c r="T8" i="7"/>
  <c r="T22" i="7"/>
  <c r="T9" i="7"/>
  <c r="T6" i="6"/>
  <c r="T24" i="6"/>
  <c r="T8" i="6"/>
  <c r="T19" i="6"/>
  <c r="T14" i="6"/>
  <c r="T17" i="6"/>
  <c r="T12" i="6"/>
  <c r="T9" i="6"/>
  <c r="T11" i="6"/>
  <c r="T13" i="6"/>
  <c r="T10" i="6"/>
  <c r="T16" i="6"/>
  <c r="T23" i="6"/>
  <c r="T22" i="6"/>
  <c r="T21" i="6"/>
  <c r="T15" i="6"/>
  <c r="T20" i="6"/>
  <c r="T7" i="6"/>
  <c r="T25" i="6"/>
  <c r="T18" i="6"/>
  <c r="I6" i="10"/>
  <c r="I26" i="10" s="1"/>
  <c r="W26" i="8"/>
  <c r="G18" i="11" s="1"/>
  <c r="G20" i="11" s="1"/>
  <c r="AA26" i="8"/>
  <c r="Z14" i="9" l="1"/>
  <c r="AA14" i="9" s="1"/>
  <c r="Z14" i="10"/>
  <c r="AA14" i="10" s="1"/>
  <c r="W14" i="9"/>
  <c r="AE26" i="9"/>
  <c r="Z20" i="9"/>
  <c r="AA20" i="9" s="1"/>
  <c r="Z20" i="10"/>
  <c r="AA20" i="10" s="1"/>
  <c r="W20" i="9"/>
  <c r="Z24" i="9"/>
  <c r="AA24" i="9" s="1"/>
  <c r="W24" i="9"/>
  <c r="Z24" i="10"/>
  <c r="AA24" i="10" s="1"/>
  <c r="Z21" i="9"/>
  <c r="AA21" i="9" s="1"/>
  <c r="Z21" i="10"/>
  <c r="AA21" i="10" s="1"/>
  <c r="W21" i="9"/>
  <c r="Z25" i="9"/>
  <c r="AA25" i="9" s="1"/>
  <c r="Z25" i="10"/>
  <c r="AA25" i="10" s="1"/>
  <c r="W25" i="9"/>
  <c r="Z8" i="9"/>
  <c r="AA8" i="9" s="1"/>
  <c r="W8" i="9"/>
  <c r="Z8" i="10"/>
  <c r="AA8" i="10" s="1"/>
  <c r="Z16" i="9"/>
  <c r="AA16" i="9" s="1"/>
  <c r="Z16" i="10"/>
  <c r="AA16" i="10" s="1"/>
  <c r="W16" i="9"/>
  <c r="AC26" i="9"/>
  <c r="BU73" i="12" s="1"/>
  <c r="Z12" i="9"/>
  <c r="AA12" i="9" s="1"/>
  <c r="Z12" i="10"/>
  <c r="AA12" i="10" s="1"/>
  <c r="W12" i="9"/>
  <c r="Z19" i="9"/>
  <c r="AA19" i="9" s="1"/>
  <c r="W19" i="9"/>
  <c r="Z19" i="10"/>
  <c r="AA19" i="10" s="1"/>
  <c r="R7" i="8"/>
  <c r="S7" i="8" s="1"/>
  <c r="AY49" i="12"/>
  <c r="R8" i="8"/>
  <c r="S8" i="8" s="1"/>
  <c r="R25" i="8"/>
  <c r="S25" i="8" s="1"/>
  <c r="R14" i="8"/>
  <c r="S14" i="8" s="1"/>
  <c r="R13" i="8"/>
  <c r="S13" i="8" s="1"/>
  <c r="R15" i="8"/>
  <c r="S15" i="8" s="1"/>
  <c r="R16" i="8"/>
  <c r="S16" i="8" s="1"/>
  <c r="R24" i="8"/>
  <c r="S24" i="8" s="1"/>
  <c r="R19" i="8"/>
  <c r="S19" i="8" s="1"/>
  <c r="R11" i="8"/>
  <c r="S11" i="8" s="1"/>
  <c r="R17" i="8"/>
  <c r="S17" i="8" s="1"/>
  <c r="R6" i="8"/>
  <c r="S6" i="8" s="1"/>
  <c r="R18" i="8"/>
  <c r="S18" i="8" s="1"/>
  <c r="R26" i="8"/>
  <c r="R20" i="8"/>
  <c r="S20" i="8" s="1"/>
  <c r="R10" i="8"/>
  <c r="S10" i="8" s="1"/>
  <c r="R22" i="8"/>
  <c r="S22" i="8" s="1"/>
  <c r="R21" i="8"/>
  <c r="S21" i="8" s="1"/>
  <c r="R12" i="8"/>
  <c r="S12" i="8" s="1"/>
  <c r="R9" i="8"/>
  <c r="S9" i="8" s="1"/>
  <c r="R23" i="8"/>
  <c r="S23" i="8" s="1"/>
  <c r="Z17" i="9"/>
  <c r="AA17" i="9" s="1"/>
  <c r="W17" i="9"/>
  <c r="Z17" i="10"/>
  <c r="AA17" i="10" s="1"/>
  <c r="Z10" i="9"/>
  <c r="AA10" i="9" s="1"/>
  <c r="Z10" i="10"/>
  <c r="AA10" i="10" s="1"/>
  <c r="W10" i="9"/>
  <c r="V6" i="9"/>
  <c r="S26" i="9"/>
  <c r="BY64" i="12" s="1"/>
  <c r="Z11" i="9"/>
  <c r="AA11" i="9" s="1"/>
  <c r="Z11" i="10"/>
  <c r="AA11" i="10" s="1"/>
  <c r="W11" i="9"/>
  <c r="Z13" i="9"/>
  <c r="AA13" i="9" s="1"/>
  <c r="W13" i="9"/>
  <c r="Z13" i="10"/>
  <c r="AA13" i="10" s="1"/>
  <c r="Z18" i="9"/>
  <c r="AA18" i="9" s="1"/>
  <c r="W18" i="9"/>
  <c r="Z18" i="10"/>
  <c r="AA18" i="10" s="1"/>
  <c r="Z9" i="9"/>
  <c r="AA9" i="9" s="1"/>
  <c r="W9" i="9"/>
  <c r="Z9" i="10"/>
  <c r="AA9" i="10" s="1"/>
  <c r="Z23" i="9"/>
  <c r="AA23" i="9" s="1"/>
  <c r="Z23" i="10"/>
  <c r="AA23" i="10" s="1"/>
  <c r="W23" i="9"/>
  <c r="Z15" i="9"/>
  <c r="AA15" i="9" s="1"/>
  <c r="Z15" i="10"/>
  <c r="AA15" i="10" s="1"/>
  <c r="W15" i="9"/>
  <c r="Z22" i="9"/>
  <c r="AA22" i="9" s="1"/>
  <c r="Z22" i="10"/>
  <c r="W22" i="9"/>
  <c r="Z7" i="9"/>
  <c r="AA7" i="9" s="1"/>
  <c r="W7" i="9"/>
  <c r="Z7" i="10"/>
  <c r="AA7" i="10" s="1"/>
  <c r="AG9" i="7"/>
  <c r="AE9" i="7"/>
  <c r="U9" i="7"/>
  <c r="X9" i="7" s="1"/>
  <c r="AG24" i="7"/>
  <c r="AE24" i="7"/>
  <c r="U24" i="7"/>
  <c r="X24" i="7" s="1"/>
  <c r="AG25" i="7"/>
  <c r="AE25" i="7"/>
  <c r="U25" i="7"/>
  <c r="X25" i="7" s="1"/>
  <c r="AE21" i="7"/>
  <c r="AG21" i="7"/>
  <c r="U21" i="7"/>
  <c r="X21" i="7" s="1"/>
  <c r="AE11" i="7"/>
  <c r="U11" i="7"/>
  <c r="X11" i="7" s="1"/>
  <c r="AG11" i="7"/>
  <c r="AE22" i="7"/>
  <c r="AG22" i="7"/>
  <c r="U22" i="7"/>
  <c r="X22" i="7" s="1"/>
  <c r="AE10" i="7"/>
  <c r="U10" i="7"/>
  <c r="X10" i="7" s="1"/>
  <c r="AG10" i="7"/>
  <c r="AE17" i="7"/>
  <c r="AG17" i="7"/>
  <c r="U17" i="7"/>
  <c r="X17" i="7" s="1"/>
  <c r="AE12" i="7"/>
  <c r="AG12" i="7"/>
  <c r="U12" i="7"/>
  <c r="X12" i="7" s="1"/>
  <c r="AG15" i="7"/>
  <c r="AE15" i="7"/>
  <c r="U15" i="7"/>
  <c r="X15" i="7" s="1"/>
  <c r="AE8" i="7"/>
  <c r="U8" i="7"/>
  <c r="X8" i="7" s="1"/>
  <c r="AG8" i="7"/>
  <c r="AG19" i="7"/>
  <c r="U19" i="7"/>
  <c r="X19" i="7" s="1"/>
  <c r="AE19" i="7"/>
  <c r="AG23" i="7"/>
  <c r="AE23" i="7"/>
  <c r="U23" i="7"/>
  <c r="X23" i="7" s="1"/>
  <c r="AG18" i="7"/>
  <c r="AE18" i="7"/>
  <c r="U18" i="7"/>
  <c r="X18" i="7" s="1"/>
  <c r="AE13" i="7"/>
  <c r="U13" i="7"/>
  <c r="X13" i="7" s="1"/>
  <c r="AG13" i="7"/>
  <c r="AE14" i="7"/>
  <c r="AG14" i="7"/>
  <c r="U14" i="7"/>
  <c r="X14" i="7" s="1"/>
  <c r="AG7" i="7"/>
  <c r="AE7" i="7"/>
  <c r="U7" i="7"/>
  <c r="X7" i="7" s="1"/>
  <c r="AE20" i="7"/>
  <c r="U20" i="7"/>
  <c r="X20" i="7" s="1"/>
  <c r="AG20" i="7"/>
  <c r="AE6" i="7"/>
  <c r="AG6" i="7"/>
  <c r="U6" i="7"/>
  <c r="T26" i="7"/>
  <c r="AD59" i="12" s="1"/>
  <c r="AE16" i="7"/>
  <c r="AG16" i="7"/>
  <c r="U16" i="7"/>
  <c r="X16" i="7" s="1"/>
  <c r="AG18" i="6"/>
  <c r="U18" i="6"/>
  <c r="X18" i="6" s="1"/>
  <c r="AE18" i="6"/>
  <c r="AG15" i="6"/>
  <c r="U15" i="6"/>
  <c r="X15" i="6" s="1"/>
  <c r="AE15" i="6"/>
  <c r="AE16" i="6"/>
  <c r="AG16" i="6"/>
  <c r="U16" i="6"/>
  <c r="X16" i="6" s="1"/>
  <c r="U9" i="6"/>
  <c r="X9" i="6" s="1"/>
  <c r="AE9" i="6"/>
  <c r="AG9" i="6"/>
  <c r="U19" i="6"/>
  <c r="X19" i="6" s="1"/>
  <c r="AE19" i="6"/>
  <c r="AG19" i="6"/>
  <c r="AG21" i="6"/>
  <c r="AE21" i="6"/>
  <c r="U21" i="6"/>
  <c r="X21" i="6" s="1"/>
  <c r="AE10" i="6"/>
  <c r="U10" i="6"/>
  <c r="X10" i="6" s="1"/>
  <c r="AG10" i="6"/>
  <c r="AG8" i="6"/>
  <c r="AE8" i="6"/>
  <c r="U8" i="6"/>
  <c r="X8" i="6" s="1"/>
  <c r="AE7" i="6"/>
  <c r="AG7" i="6"/>
  <c r="U7" i="6"/>
  <c r="X7" i="6" s="1"/>
  <c r="AE22" i="6"/>
  <c r="AG22" i="6"/>
  <c r="U22" i="6"/>
  <c r="X22" i="6" s="1"/>
  <c r="AE13" i="6"/>
  <c r="AG13" i="6"/>
  <c r="U13" i="6"/>
  <c r="X13" i="6" s="1"/>
  <c r="AG17" i="6"/>
  <c r="AE17" i="6"/>
  <c r="U17" i="6"/>
  <c r="X17" i="6" s="1"/>
  <c r="AE24" i="6"/>
  <c r="AG24" i="6"/>
  <c r="U24" i="6"/>
  <c r="X24" i="6" s="1"/>
  <c r="AE25" i="6"/>
  <c r="AG25" i="6"/>
  <c r="U25" i="6"/>
  <c r="X25" i="6" s="1"/>
  <c r="AG12" i="6"/>
  <c r="AE12" i="6"/>
  <c r="U12" i="6"/>
  <c r="X12" i="6" s="1"/>
  <c r="AG20" i="6"/>
  <c r="U20" i="6"/>
  <c r="X20" i="6" s="1"/>
  <c r="AE20" i="6"/>
  <c r="AG23" i="6"/>
  <c r="U23" i="6"/>
  <c r="X23" i="6" s="1"/>
  <c r="AE23" i="6"/>
  <c r="AE11" i="6"/>
  <c r="AG11" i="6"/>
  <c r="U11" i="6"/>
  <c r="X11" i="6" s="1"/>
  <c r="AE14" i="6"/>
  <c r="U14" i="6"/>
  <c r="X14" i="6" s="1"/>
  <c r="AG14" i="6"/>
  <c r="AE6" i="6"/>
  <c r="U6" i="6"/>
  <c r="AG6" i="6"/>
  <c r="T26" i="6"/>
  <c r="I59" i="12" s="1"/>
  <c r="AG26" i="6" l="1"/>
  <c r="M14" i="11" s="1"/>
  <c r="M22" i="11"/>
  <c r="BQ73" i="12"/>
  <c r="AA22" i="10"/>
  <c r="AI22" i="10" s="1"/>
  <c r="AH22" i="10"/>
  <c r="H64" i="11" s="1"/>
  <c r="I64" i="11" s="1"/>
  <c r="Z6" i="9"/>
  <c r="W6" i="9"/>
  <c r="W26" i="9" s="1"/>
  <c r="V26" i="9"/>
  <c r="H22" i="11" s="1"/>
  <c r="I22" i="11" s="1"/>
  <c r="Z6" i="10"/>
  <c r="S26" i="8"/>
  <c r="AY54" i="12" s="1"/>
  <c r="T6" i="8" a="1"/>
  <c r="AB16" i="7"/>
  <c r="AC16" i="7" s="1"/>
  <c r="Y16" i="7"/>
  <c r="X6" i="7"/>
  <c r="U26" i="7"/>
  <c r="AI64" i="12" s="1"/>
  <c r="AB20" i="7"/>
  <c r="AC20" i="7" s="1"/>
  <c r="Y20" i="7"/>
  <c r="AB25" i="7"/>
  <c r="AC25" i="7" s="1"/>
  <c r="Y25" i="7"/>
  <c r="AG26" i="7"/>
  <c r="AB14" i="7"/>
  <c r="AC14" i="7" s="1"/>
  <c r="Y14" i="7"/>
  <c r="AB13" i="7"/>
  <c r="AC13" i="7" s="1"/>
  <c r="Y13" i="7"/>
  <c r="AB8" i="7"/>
  <c r="AC8" i="7" s="1"/>
  <c r="Y8" i="7"/>
  <c r="AB17" i="7"/>
  <c r="AC17" i="7" s="1"/>
  <c r="Y17" i="7"/>
  <c r="AB10" i="7"/>
  <c r="AC10" i="7" s="1"/>
  <c r="Y10" i="7"/>
  <c r="AB21" i="7"/>
  <c r="AC21" i="7" s="1"/>
  <c r="Y21" i="7"/>
  <c r="AE26" i="7"/>
  <c r="AE73" i="12" s="1"/>
  <c r="AB7" i="7"/>
  <c r="AC7" i="7" s="1"/>
  <c r="Y7" i="7"/>
  <c r="AB23" i="7"/>
  <c r="AC23" i="7" s="1"/>
  <c r="Y23" i="7"/>
  <c r="AB19" i="7"/>
  <c r="AC19" i="7" s="1"/>
  <c r="Y19" i="7"/>
  <c r="AB12" i="7"/>
  <c r="AC12" i="7" s="1"/>
  <c r="Y12" i="7"/>
  <c r="AB9" i="7"/>
  <c r="AC9" i="7" s="1"/>
  <c r="Y9" i="7"/>
  <c r="AB18" i="7"/>
  <c r="AC18" i="7" s="1"/>
  <c r="Y18" i="7"/>
  <c r="AB15" i="7"/>
  <c r="AC15" i="7" s="1"/>
  <c r="Y15" i="7"/>
  <c r="AB22" i="7"/>
  <c r="AC22" i="7" s="1"/>
  <c r="Y22" i="7"/>
  <c r="AB11" i="7"/>
  <c r="AC11" i="7" s="1"/>
  <c r="Y11" i="7"/>
  <c r="AB24" i="7"/>
  <c r="AC24" i="7" s="1"/>
  <c r="Y24" i="7"/>
  <c r="AB17" i="6"/>
  <c r="AC17" i="6" s="1"/>
  <c r="Y17" i="6"/>
  <c r="AB8" i="6"/>
  <c r="AC8" i="6" s="1"/>
  <c r="Y8" i="6"/>
  <c r="X6" i="6"/>
  <c r="U26" i="6"/>
  <c r="N64" i="12" s="1"/>
  <c r="AB20" i="6"/>
  <c r="AC20" i="6" s="1"/>
  <c r="Y20" i="6"/>
  <c r="Y24" i="6"/>
  <c r="AB24" i="6"/>
  <c r="AC24" i="6" s="1"/>
  <c r="AB7" i="6"/>
  <c r="AC7" i="6" s="1"/>
  <c r="Y7" i="6"/>
  <c r="AE26" i="6"/>
  <c r="J73" i="12" s="1"/>
  <c r="Y11" i="6"/>
  <c r="AB11" i="6"/>
  <c r="AC11" i="6" s="1"/>
  <c r="AB23" i="6"/>
  <c r="AC23" i="6" s="1"/>
  <c r="Y23" i="6"/>
  <c r="AB25" i="6"/>
  <c r="AC25" i="6" s="1"/>
  <c r="Y25" i="6"/>
  <c r="AB22" i="6"/>
  <c r="AC22" i="6" s="1"/>
  <c r="Y22" i="6"/>
  <c r="Y21" i="6"/>
  <c r="AB21" i="6"/>
  <c r="AC21" i="6" s="1"/>
  <c r="AB9" i="6"/>
  <c r="AC9" i="6" s="1"/>
  <c r="Y9" i="6"/>
  <c r="AB18" i="6"/>
  <c r="AC18" i="6" s="1"/>
  <c r="Y18" i="6"/>
  <c r="AB14" i="6"/>
  <c r="AC14" i="6" s="1"/>
  <c r="Y14" i="6"/>
  <c r="Y10" i="6"/>
  <c r="AB10" i="6"/>
  <c r="AC10" i="6" s="1"/>
  <c r="AB12" i="6"/>
  <c r="AC12" i="6" s="1"/>
  <c r="Y12" i="6"/>
  <c r="AB13" i="6"/>
  <c r="AC13" i="6" s="1"/>
  <c r="Y13" i="6"/>
  <c r="AB19" i="6"/>
  <c r="AC19" i="6" s="1"/>
  <c r="Y19" i="6"/>
  <c r="AB16" i="6"/>
  <c r="AC16" i="6" s="1"/>
  <c r="Y16" i="6"/>
  <c r="AB15" i="6"/>
  <c r="AC15" i="6" s="1"/>
  <c r="Y15" i="6"/>
  <c r="F73" i="12" l="1"/>
  <c r="CD69" i="12"/>
  <c r="K22" i="11"/>
  <c r="BZ74" i="12" s="1"/>
  <c r="J22" i="11"/>
  <c r="Z26" i="10"/>
  <c r="AA6" i="10"/>
  <c r="T18" i="8"/>
  <c r="T15" i="8"/>
  <c r="T12" i="8"/>
  <c r="T17" i="8"/>
  <c r="T13" i="8"/>
  <c r="T6" i="8"/>
  <c r="T19" i="8"/>
  <c r="T16" i="8"/>
  <c r="T21" i="8"/>
  <c r="T11" i="8"/>
  <c r="T25" i="8"/>
  <c r="T22" i="8"/>
  <c r="T8" i="8"/>
  <c r="T10" i="8"/>
  <c r="T7" i="8"/>
  <c r="T23" i="8"/>
  <c r="T20" i="8"/>
  <c r="T9" i="8"/>
  <c r="T14" i="8"/>
  <c r="T24" i="8"/>
  <c r="Z26" i="9"/>
  <c r="AA6" i="9"/>
  <c r="AA26" i="9" s="1"/>
  <c r="L22" i="11" s="1"/>
  <c r="CD74" i="12" s="1"/>
  <c r="AB6" i="7"/>
  <c r="Y6" i="7"/>
  <c r="Y26" i="7" s="1"/>
  <c r="X26" i="7"/>
  <c r="H16" i="11" s="1"/>
  <c r="I16" i="11" s="1"/>
  <c r="M16" i="11"/>
  <c r="AA73" i="12"/>
  <c r="AB6" i="6"/>
  <c r="Y6" i="6"/>
  <c r="Y26" i="6" s="1"/>
  <c r="X26" i="6"/>
  <c r="H14" i="11" s="1"/>
  <c r="I14" i="11" s="1"/>
  <c r="AE9" i="8" l="1"/>
  <c r="AG9" i="8"/>
  <c r="U9" i="8"/>
  <c r="X9" i="8" s="1"/>
  <c r="AG10" i="8"/>
  <c r="AE10" i="8"/>
  <c r="U10" i="8"/>
  <c r="X10" i="8" s="1"/>
  <c r="AE11" i="8"/>
  <c r="AG11" i="8"/>
  <c r="U11" i="8"/>
  <c r="X11" i="8" s="1"/>
  <c r="T26" i="8"/>
  <c r="AY59" i="12" s="1"/>
  <c r="U6" i="8"/>
  <c r="AE6" i="8"/>
  <c r="AG6" i="8"/>
  <c r="U15" i="8"/>
  <c r="X15" i="8" s="1"/>
  <c r="AE15" i="8"/>
  <c r="AG15" i="8"/>
  <c r="AE14" i="8"/>
  <c r="U14" i="8"/>
  <c r="X14" i="8" s="1"/>
  <c r="AG14" i="8"/>
  <c r="AE7" i="8"/>
  <c r="U7" i="8"/>
  <c r="X7" i="8" s="1"/>
  <c r="AG7" i="8"/>
  <c r="AG25" i="8"/>
  <c r="AE25" i="8"/>
  <c r="U25" i="8"/>
  <c r="X25" i="8" s="1"/>
  <c r="AE19" i="8"/>
  <c r="U19" i="8"/>
  <c r="X19" i="8" s="1"/>
  <c r="AG19" i="8"/>
  <c r="AE12" i="8"/>
  <c r="AG12" i="8"/>
  <c r="U12" i="8"/>
  <c r="X12" i="8" s="1"/>
  <c r="U20" i="8"/>
  <c r="X20" i="8" s="1"/>
  <c r="AG20" i="8"/>
  <c r="AE20" i="8"/>
  <c r="AG8" i="8"/>
  <c r="U8" i="8"/>
  <c r="X8" i="8" s="1"/>
  <c r="AE8" i="8"/>
  <c r="U21" i="8"/>
  <c r="X21" i="8" s="1"/>
  <c r="AE21" i="8"/>
  <c r="AG21" i="8"/>
  <c r="AG13" i="8"/>
  <c r="U13" i="8"/>
  <c r="X13" i="8" s="1"/>
  <c r="AE13" i="8"/>
  <c r="AG18" i="8"/>
  <c r="AE18" i="8"/>
  <c r="U18" i="8"/>
  <c r="X18" i="8" s="1"/>
  <c r="AE24" i="8"/>
  <c r="AG24" i="8"/>
  <c r="U24" i="8"/>
  <c r="X24" i="8" s="1"/>
  <c r="AE23" i="8"/>
  <c r="AG23" i="8"/>
  <c r="U23" i="8"/>
  <c r="X23" i="8" s="1"/>
  <c r="AG22" i="8"/>
  <c r="AE22" i="8"/>
  <c r="U22" i="8"/>
  <c r="X22" i="8" s="1"/>
  <c r="AE16" i="8"/>
  <c r="U16" i="8"/>
  <c r="X16" i="8" s="1"/>
  <c r="AG16" i="8"/>
  <c r="AG17" i="8"/>
  <c r="U17" i="8"/>
  <c r="X17" i="8" s="1"/>
  <c r="AE17" i="8"/>
  <c r="AA26" i="10"/>
  <c r="U19" i="10"/>
  <c r="U14" i="10"/>
  <c r="U17" i="10"/>
  <c r="U16" i="10"/>
  <c r="U7" i="10"/>
  <c r="U18" i="10"/>
  <c r="U21" i="10"/>
  <c r="U15" i="10"/>
  <c r="U6" i="10"/>
  <c r="U12" i="10"/>
  <c r="U11" i="10"/>
  <c r="U8" i="10"/>
  <c r="U9" i="10"/>
  <c r="U20" i="10"/>
  <c r="U10" i="10"/>
  <c r="U13" i="10"/>
  <c r="AN69" i="12"/>
  <c r="K16" i="11"/>
  <c r="AJ74" i="12" s="1"/>
  <c r="J16" i="11"/>
  <c r="AB26" i="7"/>
  <c r="AC6" i="7"/>
  <c r="AC26" i="7" s="1"/>
  <c r="L16" i="11" s="1"/>
  <c r="AN74" i="12" s="1"/>
  <c r="S69" i="12"/>
  <c r="J14" i="11"/>
  <c r="K14" i="11"/>
  <c r="O74" i="12" s="1"/>
  <c r="AC6" i="6"/>
  <c r="AC26" i="6" s="1"/>
  <c r="L14" i="11" s="1"/>
  <c r="S74" i="12" s="1"/>
  <c r="AB26" i="6"/>
  <c r="AB22" i="8" l="1"/>
  <c r="AC22" i="8" s="1"/>
  <c r="J22" i="10"/>
  <c r="Y22" i="8"/>
  <c r="AB12" i="8"/>
  <c r="AC12" i="8" s="1"/>
  <c r="J12" i="10"/>
  <c r="K12" i="10" s="1"/>
  <c r="Y12" i="8"/>
  <c r="AB19" i="8"/>
  <c r="AC19" i="8" s="1"/>
  <c r="J19" i="10"/>
  <c r="K19" i="10" s="1"/>
  <c r="Y19" i="8"/>
  <c r="U26" i="8"/>
  <c r="BD64" i="12" s="1"/>
  <c r="X6" i="8"/>
  <c r="AB9" i="8"/>
  <c r="AC9" i="8" s="1"/>
  <c r="J9" i="10"/>
  <c r="K9" i="10" s="1"/>
  <c r="Y9" i="8"/>
  <c r="AB17" i="8"/>
  <c r="AC17" i="8" s="1"/>
  <c r="Y17" i="8"/>
  <c r="J17" i="10"/>
  <c r="K17" i="10" s="1"/>
  <c r="AB23" i="8"/>
  <c r="AC23" i="8" s="1"/>
  <c r="Y23" i="8"/>
  <c r="J23" i="10"/>
  <c r="K23" i="10" s="1"/>
  <c r="AB8" i="8"/>
  <c r="AC8" i="8" s="1"/>
  <c r="J8" i="10"/>
  <c r="K8" i="10" s="1"/>
  <c r="Y8" i="8"/>
  <c r="AB20" i="8"/>
  <c r="AC20" i="8" s="1"/>
  <c r="Y20" i="8"/>
  <c r="J20" i="10"/>
  <c r="K20" i="10" s="1"/>
  <c r="AE26" i="8"/>
  <c r="AZ73" i="12" s="1"/>
  <c r="AD20" i="10"/>
  <c r="AD18" i="10"/>
  <c r="AD12" i="10"/>
  <c r="AD19" i="10"/>
  <c r="AD6" i="10"/>
  <c r="AD9" i="10"/>
  <c r="AD17" i="10"/>
  <c r="AD10" i="10"/>
  <c r="AD14" i="10"/>
  <c r="AD7" i="10"/>
  <c r="AD15" i="10"/>
  <c r="AD8" i="10"/>
  <c r="AD11" i="10"/>
  <c r="AD21" i="10"/>
  <c r="AD13" i="10"/>
  <c r="AD16" i="10"/>
  <c r="AB18" i="8"/>
  <c r="AC18" i="8" s="1"/>
  <c r="J18" i="10"/>
  <c r="K18" i="10" s="1"/>
  <c r="Y18" i="8"/>
  <c r="AB13" i="8"/>
  <c r="AC13" i="8" s="1"/>
  <c r="Y13" i="8"/>
  <c r="J13" i="10"/>
  <c r="K13" i="10" s="1"/>
  <c r="AB21" i="8"/>
  <c r="AC21" i="8" s="1"/>
  <c r="Y21" i="8"/>
  <c r="J21" i="10"/>
  <c r="K21" i="10" s="1"/>
  <c r="AB14" i="8"/>
  <c r="AC14" i="8" s="1"/>
  <c r="Y14" i="8"/>
  <c r="J14" i="10"/>
  <c r="K14" i="10" s="1"/>
  <c r="AB15" i="8"/>
  <c r="AC15" i="8" s="1"/>
  <c r="J15" i="10"/>
  <c r="K15" i="10" s="1"/>
  <c r="Y15" i="8"/>
  <c r="AB10" i="8"/>
  <c r="AC10" i="8" s="1"/>
  <c r="J10" i="10"/>
  <c r="K10" i="10" s="1"/>
  <c r="Y10" i="8"/>
  <c r="AB16" i="8"/>
  <c r="AC16" i="8" s="1"/>
  <c r="Y16" i="8"/>
  <c r="J16" i="10"/>
  <c r="K16" i="10" s="1"/>
  <c r="AB24" i="8"/>
  <c r="AC24" i="8" s="1"/>
  <c r="Y24" i="8"/>
  <c r="J24" i="10"/>
  <c r="K24" i="10" s="1"/>
  <c r="AB25" i="8"/>
  <c r="AC25" i="8" s="1"/>
  <c r="Y25" i="8"/>
  <c r="J25" i="10"/>
  <c r="K25" i="10" s="1"/>
  <c r="AB7" i="8"/>
  <c r="AC7" i="8" s="1"/>
  <c r="J7" i="10"/>
  <c r="K7" i="10" s="1"/>
  <c r="Y7" i="8"/>
  <c r="AG26" i="8"/>
  <c r="AB11" i="8"/>
  <c r="AC11" i="8" s="1"/>
  <c r="J11" i="10"/>
  <c r="K11" i="10" s="1"/>
  <c r="Y11" i="8"/>
  <c r="AI14" i="10" l="1"/>
  <c r="AF14" i="10"/>
  <c r="F56" i="11" s="1"/>
  <c r="AG14" i="10"/>
  <c r="G56" i="11" s="1"/>
  <c r="AE14" i="10"/>
  <c r="C56" i="11" s="1"/>
  <c r="AH14" i="10"/>
  <c r="H56" i="11" s="1"/>
  <c r="AH16" i="10"/>
  <c r="H58" i="11" s="1"/>
  <c r="AI16" i="10"/>
  <c r="AG16" i="10"/>
  <c r="G58" i="11" s="1"/>
  <c r="AE16" i="10"/>
  <c r="C58" i="11" s="1"/>
  <c r="AF16" i="10"/>
  <c r="F58" i="11" s="1"/>
  <c r="AI8" i="10"/>
  <c r="AH8" i="10"/>
  <c r="H50" i="11" s="1"/>
  <c r="AG8" i="10"/>
  <c r="G50" i="11" s="1"/>
  <c r="AE8" i="10"/>
  <c r="C50" i="11" s="1"/>
  <c r="AF8" i="10"/>
  <c r="F50" i="11" s="1"/>
  <c r="AE10" i="10"/>
  <c r="C52" i="11" s="1"/>
  <c r="AI10" i="10"/>
  <c r="AF10" i="10"/>
  <c r="F52" i="11" s="1"/>
  <c r="AG10" i="10"/>
  <c r="G52" i="11" s="1"/>
  <c r="AH10" i="10"/>
  <c r="H52" i="11" s="1"/>
  <c r="AH19" i="10"/>
  <c r="H61" i="11" s="1"/>
  <c r="AE19" i="10"/>
  <c r="C61" i="11" s="1"/>
  <c r="AI19" i="10"/>
  <c r="AF19" i="10"/>
  <c r="F61" i="11" s="1"/>
  <c r="AG19" i="10"/>
  <c r="G61" i="11" s="1"/>
  <c r="AB6" i="8"/>
  <c r="J6" i="10"/>
  <c r="Y6" i="8"/>
  <c r="Y26" i="8" s="1"/>
  <c r="X26" i="8"/>
  <c r="H18" i="11" s="1"/>
  <c r="AF6" i="10"/>
  <c r="AG6" i="10"/>
  <c r="AI6" i="10"/>
  <c r="AH6" i="10"/>
  <c r="AE6" i="10"/>
  <c r="C48" i="11" s="1"/>
  <c r="M18" i="11"/>
  <c r="M20" i="11" s="1"/>
  <c r="AV73" i="12"/>
  <c r="AH13" i="10"/>
  <c r="H55" i="11" s="1"/>
  <c r="AI13" i="10"/>
  <c r="AG13" i="10"/>
  <c r="G55" i="11" s="1"/>
  <c r="AF13" i="10"/>
  <c r="F55" i="11" s="1"/>
  <c r="AE13" i="10"/>
  <c r="C55" i="11" s="1"/>
  <c r="AI15" i="10"/>
  <c r="AF15" i="10"/>
  <c r="F57" i="11" s="1"/>
  <c r="AG15" i="10"/>
  <c r="G57" i="11" s="1"/>
  <c r="AH15" i="10"/>
  <c r="H57" i="11" s="1"/>
  <c r="AE15" i="10"/>
  <c r="C57" i="11" s="1"/>
  <c r="AE17" i="10"/>
  <c r="C59" i="11" s="1"/>
  <c r="AH17" i="10"/>
  <c r="H59" i="11" s="1"/>
  <c r="AI17" i="10"/>
  <c r="AF17" i="10"/>
  <c r="F59" i="11" s="1"/>
  <c r="AG17" i="10"/>
  <c r="G59" i="11" s="1"/>
  <c r="AF12" i="10"/>
  <c r="F54" i="11" s="1"/>
  <c r="AI12" i="10"/>
  <c r="AH12" i="10"/>
  <c r="H54" i="11" s="1"/>
  <c r="AG12" i="10"/>
  <c r="G54" i="11" s="1"/>
  <c r="AE12" i="10"/>
  <c r="C54" i="11" s="1"/>
  <c r="K22" i="10"/>
  <c r="S22" i="10" s="1"/>
  <c r="R22" i="10"/>
  <c r="H43" i="11" s="1"/>
  <c r="I43" i="11" s="1"/>
  <c r="AH11" i="10"/>
  <c r="H53" i="11" s="1"/>
  <c r="AE11" i="10"/>
  <c r="C53" i="11" s="1"/>
  <c r="AI11" i="10"/>
  <c r="AF11" i="10"/>
  <c r="F53" i="11" s="1"/>
  <c r="AG11" i="10"/>
  <c r="G53" i="11" s="1"/>
  <c r="AF20" i="10"/>
  <c r="F62" i="11" s="1"/>
  <c r="AE20" i="10"/>
  <c r="C62" i="11" s="1"/>
  <c r="AH20" i="10"/>
  <c r="H62" i="11" s="1"/>
  <c r="AI20" i="10"/>
  <c r="AG20" i="10"/>
  <c r="G62" i="11" s="1"/>
  <c r="AG21" i="10"/>
  <c r="G63" i="11" s="1"/>
  <c r="AF21" i="10"/>
  <c r="F63" i="11" s="1"/>
  <c r="AE21" i="10"/>
  <c r="C63" i="11" s="1"/>
  <c r="AH21" i="10"/>
  <c r="H63" i="11" s="1"/>
  <c r="AI21" i="10"/>
  <c r="AI7" i="10"/>
  <c r="AH7" i="10"/>
  <c r="H49" i="11" s="1"/>
  <c r="AG7" i="10"/>
  <c r="G49" i="11" s="1"/>
  <c r="AE7" i="10"/>
  <c r="C49" i="11" s="1"/>
  <c r="AF7" i="10"/>
  <c r="F49" i="11" s="1"/>
  <c r="AI9" i="10"/>
  <c r="AF9" i="10"/>
  <c r="F51" i="11" s="1"/>
  <c r="AG9" i="10"/>
  <c r="G51" i="11" s="1"/>
  <c r="AH9" i="10"/>
  <c r="H51" i="11" s="1"/>
  <c r="AE9" i="10"/>
  <c r="C51" i="11" s="1"/>
  <c r="AH18" i="10"/>
  <c r="H60" i="11" s="1"/>
  <c r="AE18" i="10"/>
  <c r="C60" i="11" s="1"/>
  <c r="AI18" i="10"/>
  <c r="AF18" i="10"/>
  <c r="F60" i="11" s="1"/>
  <c r="AG18" i="10"/>
  <c r="G60" i="11" s="1"/>
  <c r="I54" i="11" l="1"/>
  <c r="I55" i="11"/>
  <c r="AI26" i="10"/>
  <c r="I61" i="11"/>
  <c r="I56" i="11"/>
  <c r="I53" i="11"/>
  <c r="I60" i="11"/>
  <c r="I57" i="11"/>
  <c r="G48" i="11"/>
  <c r="G65" i="11" s="1"/>
  <c r="AG26" i="10"/>
  <c r="K6" i="10"/>
  <c r="J26" i="10"/>
  <c r="I50" i="11"/>
  <c r="I49" i="11"/>
  <c r="I62" i="11"/>
  <c r="I59" i="11"/>
  <c r="AF26" i="10"/>
  <c r="F48" i="11"/>
  <c r="AC6" i="8"/>
  <c r="AC26" i="8" s="1"/>
  <c r="L18" i="11" s="1"/>
  <c r="AB26" i="8"/>
  <c r="I52" i="11"/>
  <c r="I58" i="11"/>
  <c r="I63" i="11"/>
  <c r="I51" i="11"/>
  <c r="AH26" i="10"/>
  <c r="H48" i="11"/>
  <c r="H65" i="11" s="1"/>
  <c r="I18" i="11"/>
  <c r="H20" i="11"/>
  <c r="L20" i="11" l="1"/>
  <c r="BI74" i="12"/>
  <c r="I48" i="11"/>
  <c r="I65" i="11" s="1"/>
  <c r="F65" i="11"/>
  <c r="BI69" i="12"/>
  <c r="J18" i="11"/>
  <c r="I20" i="11"/>
  <c r="K18" i="11"/>
  <c r="BE74" i="12" s="1"/>
  <c r="E15" i="10"/>
  <c r="E18" i="10"/>
  <c r="E19" i="10"/>
  <c r="E17" i="10"/>
  <c r="E11" i="10"/>
  <c r="E21" i="10"/>
  <c r="E12" i="10"/>
  <c r="E7" i="10"/>
  <c r="E8" i="10"/>
  <c r="K26" i="10"/>
  <c r="E20" i="10"/>
  <c r="E10" i="10"/>
  <c r="E6" i="10"/>
  <c r="E9" i="10"/>
  <c r="E16" i="10"/>
  <c r="E14" i="10"/>
  <c r="E13" i="10"/>
  <c r="N17" i="10" l="1"/>
  <c r="N7" i="10"/>
  <c r="N11" i="10"/>
  <c r="N16" i="10"/>
  <c r="N21" i="10"/>
  <c r="N9" i="10"/>
  <c r="N6" i="10"/>
  <c r="N20" i="10"/>
  <c r="N8" i="10"/>
  <c r="N13" i="10"/>
  <c r="N18" i="10"/>
  <c r="N19" i="10"/>
  <c r="N12" i="10"/>
  <c r="N15" i="10"/>
  <c r="N10" i="10"/>
  <c r="N14" i="10"/>
  <c r="K20" i="11"/>
  <c r="J20" i="11"/>
  <c r="O14" i="10" l="1"/>
  <c r="C35" i="11" s="1"/>
  <c r="P14" i="10"/>
  <c r="F35" i="11" s="1"/>
  <c r="Q14" i="10"/>
  <c r="G35" i="11" s="1"/>
  <c r="R14" i="10"/>
  <c r="H35" i="11" s="1"/>
  <c r="S14" i="10"/>
  <c r="S20" i="10"/>
  <c r="O20" i="10"/>
  <c r="C41" i="11" s="1"/>
  <c r="Q20" i="10"/>
  <c r="G41" i="11" s="1"/>
  <c r="R20" i="10"/>
  <c r="H41" i="11" s="1"/>
  <c r="P20" i="10"/>
  <c r="F41" i="11" s="1"/>
  <c r="Q16" i="10"/>
  <c r="G37" i="11" s="1"/>
  <c r="O16" i="10"/>
  <c r="C37" i="11" s="1"/>
  <c r="S16" i="10"/>
  <c r="P16" i="10"/>
  <c r="F37" i="11" s="1"/>
  <c r="R16" i="10"/>
  <c r="H37" i="11" s="1"/>
  <c r="O10" i="10"/>
  <c r="C31" i="11" s="1"/>
  <c r="Q10" i="10"/>
  <c r="G31" i="11" s="1"/>
  <c r="P10" i="10"/>
  <c r="F31" i="11" s="1"/>
  <c r="R10" i="10"/>
  <c r="H31" i="11" s="1"/>
  <c r="S10" i="10"/>
  <c r="Q18" i="10"/>
  <c r="G39" i="11" s="1"/>
  <c r="S18" i="10"/>
  <c r="O18" i="10"/>
  <c r="C39" i="11" s="1"/>
  <c r="R18" i="10"/>
  <c r="H39" i="11" s="1"/>
  <c r="P18" i="10"/>
  <c r="F39" i="11" s="1"/>
  <c r="P6" i="10"/>
  <c r="R6" i="10"/>
  <c r="S6" i="10"/>
  <c r="Q6" i="10"/>
  <c r="O6" i="10"/>
  <c r="C27" i="11" s="1"/>
  <c r="Q11" i="10"/>
  <c r="G32" i="11" s="1"/>
  <c r="O11" i="10"/>
  <c r="C32" i="11" s="1"/>
  <c r="S11" i="10"/>
  <c r="R11" i="10"/>
  <c r="H32" i="11" s="1"/>
  <c r="P11" i="10"/>
  <c r="F32" i="11" s="1"/>
  <c r="Q15" i="10"/>
  <c r="G36" i="11" s="1"/>
  <c r="S15" i="10"/>
  <c r="O15" i="10"/>
  <c r="C36" i="11" s="1"/>
  <c r="P15" i="10"/>
  <c r="F36" i="11" s="1"/>
  <c r="R15" i="10"/>
  <c r="H36" i="11" s="1"/>
  <c r="O13" i="10"/>
  <c r="C34" i="11" s="1"/>
  <c r="P13" i="10"/>
  <c r="F34" i="11" s="1"/>
  <c r="R13" i="10"/>
  <c r="H34" i="11" s="1"/>
  <c r="Q13" i="10"/>
  <c r="G34" i="11" s="1"/>
  <c r="S13" i="10"/>
  <c r="O9" i="10"/>
  <c r="C30" i="11" s="1"/>
  <c r="P9" i="10"/>
  <c r="F30" i="11" s="1"/>
  <c r="R9" i="10"/>
  <c r="H30" i="11" s="1"/>
  <c r="S9" i="10"/>
  <c r="Q9" i="10"/>
  <c r="G30" i="11" s="1"/>
  <c r="O7" i="10"/>
  <c r="C28" i="11" s="1"/>
  <c r="R7" i="10"/>
  <c r="H28" i="11" s="1"/>
  <c r="P7" i="10"/>
  <c r="F28" i="11" s="1"/>
  <c r="Q7" i="10"/>
  <c r="G28" i="11" s="1"/>
  <c r="S7" i="10"/>
  <c r="S19" i="10"/>
  <c r="Q19" i="10"/>
  <c r="G40" i="11" s="1"/>
  <c r="R19" i="10"/>
  <c r="H40" i="11" s="1"/>
  <c r="O19" i="10"/>
  <c r="C40" i="11" s="1"/>
  <c r="P19" i="10"/>
  <c r="F40" i="11" s="1"/>
  <c r="S12" i="10"/>
  <c r="R12" i="10"/>
  <c r="H33" i="11" s="1"/>
  <c r="Q12" i="10"/>
  <c r="G33" i="11" s="1"/>
  <c r="P12" i="10"/>
  <c r="F33" i="11" s="1"/>
  <c r="O12" i="10"/>
  <c r="C33" i="11" s="1"/>
  <c r="Q8" i="10"/>
  <c r="G29" i="11" s="1"/>
  <c r="R8" i="10"/>
  <c r="H29" i="11" s="1"/>
  <c r="O8" i="10"/>
  <c r="C29" i="11" s="1"/>
  <c r="S8" i="10"/>
  <c r="P8" i="10"/>
  <c r="F29" i="11" s="1"/>
  <c r="P21" i="10"/>
  <c r="F42" i="11" s="1"/>
  <c r="O21" i="10"/>
  <c r="C42" i="11" s="1"/>
  <c r="R21" i="10"/>
  <c r="H42" i="11" s="1"/>
  <c r="S21" i="10"/>
  <c r="Q21" i="10"/>
  <c r="G42" i="11" s="1"/>
  <c r="S17" i="10"/>
  <c r="Q17" i="10"/>
  <c r="G38" i="11" s="1"/>
  <c r="O17" i="10"/>
  <c r="C38" i="11" s="1"/>
  <c r="P17" i="10"/>
  <c r="F38" i="11" s="1"/>
  <c r="R17" i="10"/>
  <c r="H38" i="11" s="1"/>
  <c r="I33" i="11" l="1"/>
  <c r="I40" i="11"/>
  <c r="I29" i="11"/>
  <c r="I31" i="11"/>
  <c r="S26" i="10"/>
  <c r="I38" i="11"/>
  <c r="I42" i="11"/>
  <c r="I30" i="11"/>
  <c r="I36" i="11"/>
  <c r="I32" i="11"/>
  <c r="H27" i="11"/>
  <c r="H44" i="11" s="1"/>
  <c r="R26" i="10"/>
  <c r="I34" i="11"/>
  <c r="F27" i="11"/>
  <c r="P26" i="10"/>
  <c r="I37" i="11"/>
  <c r="I41" i="11"/>
  <c r="I35" i="11"/>
  <c r="I28" i="11"/>
  <c r="Q26" i="10"/>
  <c r="G27" i="11"/>
  <c r="G44" i="11" s="1"/>
  <c r="I39" i="11"/>
  <c r="I27" i="11" l="1"/>
  <c r="I44" i="11" s="1"/>
  <c r="F44" i="11"/>
</calcChain>
</file>

<file path=xl/sharedStrings.xml><?xml version="1.0" encoding="utf-8"?>
<sst xmlns="http://schemas.openxmlformats.org/spreadsheetml/2006/main" count="981" uniqueCount="469">
  <si>
    <t>単位</t>
    <rPh sb="0" eb="2">
      <t>タンイ</t>
    </rPh>
    <phoneticPr fontId="20"/>
  </si>
  <si>
    <t>年設定</t>
    <rPh sb="0" eb="1">
      <t>ネン</t>
    </rPh>
    <rPh sb="1" eb="3">
      <t>セッテイ</t>
    </rPh>
    <phoneticPr fontId="20"/>
  </si>
  <si>
    <t>年</t>
    <rPh sb="0" eb="1">
      <t>ネン</t>
    </rPh>
    <phoneticPr fontId="20"/>
  </si>
  <si>
    <t>億円</t>
    <rPh sb="0" eb="2">
      <t>オクエン</t>
    </rPh>
    <phoneticPr fontId="20"/>
  </si>
  <si>
    <t>百万円</t>
    <rPh sb="0" eb="3">
      <t>ヒャクマンエン</t>
    </rPh>
    <phoneticPr fontId="20"/>
  </si>
  <si>
    <t>万円</t>
    <rPh sb="0" eb="2">
      <t>マンエン</t>
    </rPh>
    <phoneticPr fontId="20"/>
  </si>
  <si>
    <t>千円</t>
    <rPh sb="0" eb="2">
      <t>センエン</t>
    </rPh>
    <phoneticPr fontId="20"/>
  </si>
  <si>
    <t>はい</t>
  </si>
  <si>
    <t>いいえ</t>
  </si>
  <si>
    <t>鉱業  　　　　　　　</t>
  </si>
  <si>
    <t>製造業</t>
    <rPh sb="0" eb="3">
      <t>セイゾウギョウ</t>
    </rPh>
    <phoneticPr fontId="27"/>
  </si>
  <si>
    <t>建設</t>
    <rPh sb="0" eb="2">
      <t>ケンセツ</t>
    </rPh>
    <phoneticPr fontId="27"/>
  </si>
  <si>
    <t>電気・ガス・水道</t>
    <rPh sb="6" eb="8">
      <t>スイドウ</t>
    </rPh>
    <phoneticPr fontId="27"/>
  </si>
  <si>
    <t>商業</t>
    <rPh sb="0" eb="2">
      <t>ショウギョウ</t>
    </rPh>
    <phoneticPr fontId="27"/>
  </si>
  <si>
    <t>金融・保険</t>
    <rPh sb="0" eb="2">
      <t>キンユウ</t>
    </rPh>
    <rPh sb="3" eb="5">
      <t>ホケン</t>
    </rPh>
    <phoneticPr fontId="27"/>
  </si>
  <si>
    <t>不動産</t>
    <rPh sb="0" eb="3">
      <t>フドウサン</t>
    </rPh>
    <phoneticPr fontId="27"/>
  </si>
  <si>
    <t>運輸・郵便</t>
    <rPh sb="0" eb="2">
      <t>ウンユ</t>
    </rPh>
    <rPh sb="3" eb="5">
      <t>ユウビン</t>
    </rPh>
    <phoneticPr fontId="27"/>
  </si>
  <si>
    <t>情報通信</t>
    <rPh sb="0" eb="2">
      <t>ジョウホウ</t>
    </rPh>
    <rPh sb="2" eb="4">
      <t>ツウシン</t>
    </rPh>
    <phoneticPr fontId="27"/>
  </si>
  <si>
    <t>公務</t>
    <rPh sb="0" eb="2">
      <t>コウム</t>
    </rPh>
    <phoneticPr fontId="27"/>
  </si>
  <si>
    <t>一件当たり敷地面積</t>
    <rPh sb="0" eb="2">
      <t>イッケン</t>
    </rPh>
    <rPh sb="2" eb="3">
      <t>ア</t>
    </rPh>
    <rPh sb="5" eb="7">
      <t>シキチ</t>
    </rPh>
    <rPh sb="7" eb="9">
      <t>メンセキ</t>
    </rPh>
    <phoneticPr fontId="27"/>
  </si>
  <si>
    <t>敷地利用率</t>
    <rPh sb="0" eb="2">
      <t>シキチ</t>
    </rPh>
    <rPh sb="2" eb="5">
      <t>リヨウリツ</t>
    </rPh>
    <phoneticPr fontId="27"/>
  </si>
  <si>
    <t>傾き</t>
    <rPh sb="0" eb="1">
      <t>カタム</t>
    </rPh>
    <phoneticPr fontId="27"/>
  </si>
  <si>
    <t>切片</t>
    <rPh sb="0" eb="2">
      <t>セッペン</t>
    </rPh>
    <phoneticPr fontId="27"/>
  </si>
  <si>
    <t>鉱業</t>
    <rPh sb="0" eb="2">
      <t>コウギョウ</t>
    </rPh>
    <phoneticPr fontId="51"/>
  </si>
  <si>
    <t>製造業</t>
    <rPh sb="0" eb="3">
      <t>セイゾウギョウ</t>
    </rPh>
    <phoneticPr fontId="51"/>
  </si>
  <si>
    <t>建設</t>
    <rPh sb="0" eb="2">
      <t>ケンセツ</t>
    </rPh>
    <phoneticPr fontId="51"/>
  </si>
  <si>
    <t>電気・ガス・水道</t>
    <rPh sb="0" eb="2">
      <t>デンキ</t>
    </rPh>
    <rPh sb="6" eb="8">
      <t>スイドウ</t>
    </rPh>
    <phoneticPr fontId="51"/>
  </si>
  <si>
    <t>商業</t>
    <rPh sb="0" eb="2">
      <t>ショウギョウ</t>
    </rPh>
    <phoneticPr fontId="51"/>
  </si>
  <si>
    <t>金融・保険</t>
    <rPh sb="0" eb="2">
      <t>キンユウ</t>
    </rPh>
    <rPh sb="3" eb="5">
      <t>ホケン</t>
    </rPh>
    <phoneticPr fontId="51"/>
  </si>
  <si>
    <t>不動産</t>
    <rPh sb="0" eb="3">
      <t>フドウサン</t>
    </rPh>
    <phoneticPr fontId="51"/>
  </si>
  <si>
    <t>運輸・郵便</t>
    <rPh sb="0" eb="2">
      <t>ウンユ</t>
    </rPh>
    <rPh sb="3" eb="5">
      <t>ユウビン</t>
    </rPh>
    <phoneticPr fontId="51"/>
  </si>
  <si>
    <t>情報通信</t>
    <rPh sb="0" eb="2">
      <t>ジョウホウ</t>
    </rPh>
    <rPh sb="2" eb="4">
      <t>ツウシン</t>
    </rPh>
    <phoneticPr fontId="51"/>
  </si>
  <si>
    <t>公務</t>
    <rPh sb="0" eb="2">
      <t>コウム</t>
    </rPh>
    <phoneticPr fontId="51"/>
  </si>
  <si>
    <t>教育・学習支援業</t>
    <rPh sb="0" eb="2">
      <t>キョウイク</t>
    </rPh>
    <rPh sb="3" eb="5">
      <t>ガクシュウ</t>
    </rPh>
    <rPh sb="5" eb="7">
      <t>シエン</t>
    </rPh>
    <rPh sb="7" eb="8">
      <t>ギョウ</t>
    </rPh>
    <phoneticPr fontId="51"/>
  </si>
  <si>
    <t>医療・福祉業</t>
    <rPh sb="0" eb="2">
      <t>イリョウ</t>
    </rPh>
    <rPh sb="3" eb="5">
      <t>フクシ</t>
    </rPh>
    <rPh sb="5" eb="6">
      <t>ギョウ</t>
    </rPh>
    <phoneticPr fontId="51"/>
  </si>
  <si>
    <t>宿泊業</t>
    <rPh sb="0" eb="2">
      <t>シュクハク</t>
    </rPh>
    <rPh sb="2" eb="3">
      <t>ギョウ</t>
    </rPh>
    <phoneticPr fontId="51"/>
  </si>
  <si>
    <t>飲食サービス業</t>
    <rPh sb="0" eb="2">
      <t>インショク</t>
    </rPh>
    <rPh sb="6" eb="7">
      <t>ギョウ</t>
    </rPh>
    <phoneticPr fontId="51"/>
  </si>
  <si>
    <t>その他のサービス業</t>
    <rPh sb="2" eb="3">
      <t>ホカ</t>
    </rPh>
    <rPh sb="8" eb="9">
      <t>ギョウ</t>
    </rPh>
    <phoneticPr fontId="51"/>
  </si>
  <si>
    <t>自家輸送</t>
    <rPh sb="0" eb="2">
      <t>ジカ</t>
    </rPh>
    <rPh sb="2" eb="4">
      <t>ユソウ</t>
    </rPh>
    <phoneticPr fontId="51"/>
  </si>
  <si>
    <t>事務用品</t>
    <rPh sb="0" eb="2">
      <t>ジム</t>
    </rPh>
    <rPh sb="2" eb="4">
      <t>ヨウヒン</t>
    </rPh>
    <phoneticPr fontId="51"/>
  </si>
  <si>
    <t>分類不明</t>
    <rPh sb="0" eb="2">
      <t>ブンルイ</t>
    </rPh>
    <rPh sb="2" eb="4">
      <t>フメイ</t>
    </rPh>
    <phoneticPr fontId="51"/>
  </si>
  <si>
    <t>１事業所当たり</t>
    <rPh sb="1" eb="4">
      <t>ジギョウショ</t>
    </rPh>
    <rPh sb="4" eb="5">
      <t>ア</t>
    </rPh>
    <phoneticPr fontId="51"/>
  </si>
  <si>
    <t>生産額</t>
    <rPh sb="0" eb="3">
      <t>セイサンガク</t>
    </rPh>
    <phoneticPr fontId="51"/>
  </si>
  <si>
    <t>従業者数</t>
    <rPh sb="0" eb="1">
      <t>ジュウ</t>
    </rPh>
    <rPh sb="1" eb="4">
      <t>ギョウシャスウ</t>
    </rPh>
    <phoneticPr fontId="51"/>
  </si>
  <si>
    <t>伐採・抜根費</t>
    <rPh sb="0" eb="2">
      <t>バッサイ</t>
    </rPh>
    <rPh sb="3" eb="5">
      <t>バッコン</t>
    </rPh>
    <rPh sb="5" eb="6">
      <t>ヒ</t>
    </rPh>
    <phoneticPr fontId="27"/>
  </si>
  <si>
    <t>地盤改良費</t>
    <rPh sb="0" eb="2">
      <t>ジバン</t>
    </rPh>
    <rPh sb="2" eb="4">
      <t>カイリョウ</t>
    </rPh>
    <rPh sb="4" eb="5">
      <t>ヒ</t>
    </rPh>
    <phoneticPr fontId="27"/>
  </si>
  <si>
    <t>整地費</t>
    <rPh sb="0" eb="2">
      <t>セイチ</t>
    </rPh>
    <rPh sb="2" eb="3">
      <t>ヒ</t>
    </rPh>
    <phoneticPr fontId="27"/>
  </si>
  <si>
    <t>傾斜地</t>
    <rPh sb="0" eb="3">
      <t>ケイシャチ</t>
    </rPh>
    <phoneticPr fontId="27"/>
  </si>
  <si>
    <t>平坦地</t>
    <rPh sb="0" eb="2">
      <t>ヘイタン</t>
    </rPh>
    <rPh sb="2" eb="3">
      <t>チ</t>
    </rPh>
    <phoneticPr fontId="27"/>
  </si>
  <si>
    <t>敷地面積</t>
    <rPh sb="0" eb="2">
      <t>シキチ</t>
    </rPh>
    <rPh sb="2" eb="4">
      <t>メンセキ</t>
    </rPh>
    <phoneticPr fontId="27"/>
  </si>
  <si>
    <t>１事業所当たりの敷地面積を入力します。</t>
    <rPh sb="1" eb="4">
      <t>ジギョウショ</t>
    </rPh>
    <rPh sb="4" eb="5">
      <t>ア</t>
    </rPh>
    <rPh sb="8" eb="10">
      <t>シキチ</t>
    </rPh>
    <rPh sb="10" eb="12">
      <t>メンセキ</t>
    </rPh>
    <rPh sb="13" eb="15">
      <t>ニュウリョク</t>
    </rPh>
    <phoneticPr fontId="27"/>
  </si>
  <si>
    <t>土地造成費</t>
    <rPh sb="0" eb="2">
      <t>トチ</t>
    </rPh>
    <rPh sb="2" eb="4">
      <t>ゾウセイ</t>
    </rPh>
    <rPh sb="4" eb="5">
      <t>ヒ</t>
    </rPh>
    <phoneticPr fontId="27"/>
  </si>
  <si>
    <t>伐採・抜根、地盤改良が必要な場合は、チェックボックスにチェックを入れると、自動計算します。</t>
    <rPh sb="0" eb="2">
      <t>バッサイ</t>
    </rPh>
    <rPh sb="3" eb="5">
      <t>バッコン</t>
    </rPh>
    <rPh sb="6" eb="8">
      <t>ジバン</t>
    </rPh>
    <rPh sb="8" eb="10">
      <t>カイリョウ</t>
    </rPh>
    <rPh sb="11" eb="13">
      <t>ヒツヨウ</t>
    </rPh>
    <rPh sb="14" eb="16">
      <t>バアイ</t>
    </rPh>
    <rPh sb="32" eb="33">
      <t>イ</t>
    </rPh>
    <rPh sb="37" eb="39">
      <t>ジドウ</t>
    </rPh>
    <rPh sb="39" eb="41">
      <t>ケイサン</t>
    </rPh>
    <phoneticPr fontId="27"/>
  </si>
  <si>
    <t>平坦地と傾斜地で、入力内容が変わります。</t>
    <rPh sb="0" eb="2">
      <t>ヘイタン</t>
    </rPh>
    <rPh sb="2" eb="3">
      <t>チ</t>
    </rPh>
    <rPh sb="4" eb="7">
      <t>ケイシャチ</t>
    </rPh>
    <rPh sb="9" eb="11">
      <t>ニュウリョク</t>
    </rPh>
    <rPh sb="11" eb="13">
      <t>ナイヨウ</t>
    </rPh>
    <rPh sb="14" eb="15">
      <t>カ</t>
    </rPh>
    <phoneticPr fontId="27"/>
  </si>
  <si>
    <t>建築費</t>
    <rPh sb="0" eb="3">
      <t>ケンチクヒ</t>
    </rPh>
    <phoneticPr fontId="27"/>
  </si>
  <si>
    <t>　手入力することもできます。</t>
    <rPh sb="1" eb="2">
      <t>テ</t>
    </rPh>
    <rPh sb="2" eb="4">
      <t>ニュウリョク</t>
    </rPh>
    <phoneticPr fontId="27"/>
  </si>
  <si>
    <t>設備投資額</t>
    <rPh sb="0" eb="2">
      <t>セツビ</t>
    </rPh>
    <rPh sb="2" eb="4">
      <t>トウシ</t>
    </rPh>
    <rPh sb="4" eb="5">
      <t>ガク</t>
    </rPh>
    <phoneticPr fontId="27"/>
  </si>
  <si>
    <t>延床面積に相当する設備投資額を自動計算します。</t>
    <rPh sb="0" eb="2">
      <t>ノベユカ</t>
    </rPh>
    <rPh sb="2" eb="4">
      <t>メンセキ</t>
    </rPh>
    <rPh sb="5" eb="7">
      <t>ソウトウ</t>
    </rPh>
    <rPh sb="9" eb="11">
      <t>セツビ</t>
    </rPh>
    <rPh sb="11" eb="13">
      <t>トウシ</t>
    </rPh>
    <rPh sb="13" eb="14">
      <t>ガク</t>
    </rPh>
    <rPh sb="15" eb="17">
      <t>ジドウ</t>
    </rPh>
    <rPh sb="17" eb="19">
      <t>ケイサン</t>
    </rPh>
    <phoneticPr fontId="27"/>
  </si>
  <si>
    <t>部門分類</t>
    <rPh sb="0" eb="2">
      <t>ブモン</t>
    </rPh>
    <rPh sb="2" eb="4">
      <t>ブンルイ</t>
    </rPh>
    <phoneticPr fontId="27"/>
  </si>
  <si>
    <t>生産額</t>
    <rPh sb="0" eb="3">
      <t>セイサンガク</t>
    </rPh>
    <phoneticPr fontId="27"/>
  </si>
  <si>
    <t>１事業所当たりの生産額と１事業所当たり従業者数が自動的に表示されます。</t>
    <rPh sb="1" eb="4">
      <t>ジギョウショ</t>
    </rPh>
    <rPh sb="4" eb="5">
      <t>ア</t>
    </rPh>
    <rPh sb="8" eb="11">
      <t>セイサンガク</t>
    </rPh>
    <rPh sb="13" eb="16">
      <t>ジギョウショ</t>
    </rPh>
    <rPh sb="16" eb="17">
      <t>ア</t>
    </rPh>
    <rPh sb="19" eb="20">
      <t>ジュウ</t>
    </rPh>
    <rPh sb="20" eb="23">
      <t>ギョウシャスウ</t>
    </rPh>
    <rPh sb="24" eb="27">
      <t>ジドウテキ</t>
    </rPh>
    <rPh sb="28" eb="30">
      <t>ヒョウジ</t>
    </rPh>
    <phoneticPr fontId="27"/>
  </si>
  <si>
    <t>A</t>
    <phoneticPr fontId="27"/>
  </si>
  <si>
    <t>産業部門</t>
    <rPh sb="0" eb="2">
      <t>サンギョウ</t>
    </rPh>
    <rPh sb="2" eb="4">
      <t>ブモン</t>
    </rPh>
    <phoneticPr fontId="27"/>
  </si>
  <si>
    <t>B</t>
    <phoneticPr fontId="27"/>
  </si>
  <si>
    <r>
      <t xml:space="preserve"> m</t>
    </r>
    <r>
      <rPr>
        <vertAlign val="superscript"/>
        <sz val="11"/>
        <color theme="1"/>
        <rFont val="ＭＳ Ｐゴシック"/>
        <family val="3"/>
        <charset val="128"/>
        <scheme val="minor"/>
      </rPr>
      <t>2</t>
    </r>
    <phoneticPr fontId="27"/>
  </si>
  <si>
    <t>建築費</t>
    <rPh sb="0" eb="3">
      <t>ケンチクヒ</t>
    </rPh>
    <phoneticPr fontId="27"/>
  </si>
  <si>
    <t>延床面積</t>
    <rPh sb="0" eb="1">
      <t>ノ</t>
    </rPh>
    <rPh sb="1" eb="4">
      <t>ユカメンセキ</t>
    </rPh>
    <phoneticPr fontId="27"/>
  </si>
  <si>
    <t>（敷地利用率）</t>
    <rPh sb="1" eb="3">
      <t>シキチ</t>
    </rPh>
    <rPh sb="3" eb="6">
      <t>リヨウリツ</t>
    </rPh>
    <phoneticPr fontId="27"/>
  </si>
  <si>
    <t xml:space="preserve"> ％</t>
    <phoneticPr fontId="27"/>
  </si>
  <si>
    <t>土地造成費</t>
    <rPh sb="0" eb="2">
      <t>トチ</t>
    </rPh>
    <rPh sb="2" eb="4">
      <t>ゾウセイ</t>
    </rPh>
    <rPh sb="4" eb="5">
      <t>ヒ</t>
    </rPh>
    <phoneticPr fontId="27"/>
  </si>
  <si>
    <t>㎡当たり単価</t>
    <rPh sb="1" eb="2">
      <t>ア</t>
    </rPh>
    <rPh sb="4" eb="6">
      <t>タンカ</t>
    </rPh>
    <phoneticPr fontId="27"/>
  </si>
  <si>
    <t>A</t>
    <phoneticPr fontId="27"/>
  </si>
  <si>
    <t>B</t>
    <phoneticPr fontId="27"/>
  </si>
  <si>
    <t>　延床面積を手入力することもできます。</t>
    <rPh sb="1" eb="2">
      <t>ノ</t>
    </rPh>
    <rPh sb="2" eb="5">
      <t>ユカメンセキ</t>
    </rPh>
    <rPh sb="6" eb="7">
      <t>テ</t>
    </rPh>
    <rPh sb="7" eb="9">
      <t>ニュウリョク</t>
    </rPh>
    <phoneticPr fontId="27"/>
  </si>
  <si>
    <t>自動</t>
    <rPh sb="0" eb="2">
      <t>ジドウ</t>
    </rPh>
    <phoneticPr fontId="27"/>
  </si>
  <si>
    <t>手入力</t>
    <rPh sb="0" eb="1">
      <t>テ</t>
    </rPh>
    <rPh sb="1" eb="3">
      <t>ニュウリョク</t>
    </rPh>
    <phoneticPr fontId="27"/>
  </si>
  <si>
    <t>千円</t>
    <rPh sb="0" eb="1">
      <t>セン</t>
    </rPh>
    <rPh sb="1" eb="2">
      <t>エン</t>
    </rPh>
    <phoneticPr fontId="27"/>
  </si>
  <si>
    <t>千円</t>
    <rPh sb="0" eb="2">
      <t>センエン</t>
    </rPh>
    <phoneticPr fontId="27"/>
  </si>
  <si>
    <r>
      <t>円/m</t>
    </r>
    <r>
      <rPr>
        <vertAlign val="superscript"/>
        <sz val="11"/>
        <color theme="1"/>
        <rFont val="ＭＳ Ｐゴシック"/>
        <family val="3"/>
        <charset val="128"/>
        <scheme val="minor"/>
      </rPr>
      <t>2</t>
    </r>
    <rPh sb="0" eb="1">
      <t>エン</t>
    </rPh>
    <phoneticPr fontId="27"/>
  </si>
  <si>
    <t>設備投資額</t>
    <rPh sb="0" eb="2">
      <t>セツビ</t>
    </rPh>
    <rPh sb="2" eb="4">
      <t>トウシ</t>
    </rPh>
    <rPh sb="4" eb="5">
      <t>ガク</t>
    </rPh>
    <phoneticPr fontId="27"/>
  </si>
  <si>
    <t>生産額</t>
    <rPh sb="0" eb="3">
      <t>セイサンガク</t>
    </rPh>
    <phoneticPr fontId="27"/>
  </si>
  <si>
    <t>１事業所当たり生産額</t>
    <rPh sb="1" eb="4">
      <t>ジギョウショ</t>
    </rPh>
    <rPh sb="4" eb="5">
      <t>ア</t>
    </rPh>
    <rPh sb="7" eb="10">
      <t>セイサンガク</t>
    </rPh>
    <phoneticPr fontId="27"/>
  </si>
  <si>
    <t>１事業所当たり従業者数</t>
    <rPh sb="1" eb="4">
      <t>ジギョウショ</t>
    </rPh>
    <rPh sb="4" eb="5">
      <t>ア</t>
    </rPh>
    <rPh sb="7" eb="8">
      <t>ジュウ</t>
    </rPh>
    <rPh sb="8" eb="11">
      <t>ギョウシャスウ</t>
    </rPh>
    <phoneticPr fontId="27"/>
  </si>
  <si>
    <t xml:space="preserve"> 人</t>
    <rPh sb="1" eb="2">
      <t>ニン</t>
    </rPh>
    <phoneticPr fontId="27"/>
  </si>
  <si>
    <t>産業部門</t>
    <rPh sb="0" eb="2">
      <t>サンギョウ</t>
    </rPh>
    <rPh sb="2" eb="4">
      <t>ブモン</t>
    </rPh>
    <phoneticPr fontId="27"/>
  </si>
  <si>
    <t>敷地面積</t>
    <rPh sb="0" eb="2">
      <t>シキチ</t>
    </rPh>
    <rPh sb="2" eb="4">
      <t>メンセキ</t>
    </rPh>
    <phoneticPr fontId="27"/>
  </si>
  <si>
    <t>　土地造成費</t>
    <rPh sb="1" eb="3">
      <t>トチ</t>
    </rPh>
    <rPh sb="3" eb="5">
      <t>ゾウセイ</t>
    </rPh>
    <rPh sb="5" eb="6">
      <t>ヒ</t>
    </rPh>
    <phoneticPr fontId="27"/>
  </si>
  <si>
    <t>　建築費</t>
    <rPh sb="1" eb="4">
      <t>ケンチクヒ</t>
    </rPh>
    <phoneticPr fontId="27"/>
  </si>
  <si>
    <t>　設備投資額</t>
    <rPh sb="1" eb="3">
      <t>セツビ</t>
    </rPh>
    <rPh sb="3" eb="5">
      <t>トウシ</t>
    </rPh>
    <rPh sb="5" eb="6">
      <t>ガク</t>
    </rPh>
    <phoneticPr fontId="27"/>
  </si>
  <si>
    <t>　生産額</t>
    <rPh sb="1" eb="4">
      <t>セイサンガク</t>
    </rPh>
    <phoneticPr fontId="27"/>
  </si>
  <si>
    <t>土地造成費</t>
    <rPh sb="0" eb="2">
      <t>トチ</t>
    </rPh>
    <rPh sb="2" eb="4">
      <t>ゾウセイ</t>
    </rPh>
    <rPh sb="4" eb="5">
      <t>ヒ</t>
    </rPh>
    <phoneticPr fontId="27"/>
  </si>
  <si>
    <t>建築費</t>
    <rPh sb="0" eb="3">
      <t>ケンチクヒ</t>
    </rPh>
    <phoneticPr fontId="27"/>
  </si>
  <si>
    <t>・第１の基準以上の敷地面積の場合は、20%未満の敷地利用率を適用し、第２の基準以下の敷地面積の場合は、20%以上の敷地利用率を適用しました。第１の基準と第２の基準の敷地面積の中間の場合は、単回帰で、敷地利用率を計算しました。</t>
    <rPh sb="1" eb="2">
      <t>ダイ</t>
    </rPh>
    <rPh sb="4" eb="6">
      <t>キジュン</t>
    </rPh>
    <rPh sb="6" eb="8">
      <t>イジョウ</t>
    </rPh>
    <rPh sb="9" eb="11">
      <t>シキチ</t>
    </rPh>
    <rPh sb="11" eb="13">
      <t>メンセキ</t>
    </rPh>
    <rPh sb="14" eb="16">
      <t>バアイ</t>
    </rPh>
    <rPh sb="21" eb="23">
      <t>ミマン</t>
    </rPh>
    <rPh sb="24" eb="26">
      <t>シキチ</t>
    </rPh>
    <rPh sb="26" eb="29">
      <t>リヨウリツ</t>
    </rPh>
    <rPh sb="30" eb="32">
      <t>テキヨウ</t>
    </rPh>
    <rPh sb="34" eb="35">
      <t>ダイ</t>
    </rPh>
    <rPh sb="37" eb="39">
      <t>キジュン</t>
    </rPh>
    <rPh sb="39" eb="41">
      <t>イカ</t>
    </rPh>
    <rPh sb="42" eb="44">
      <t>シキチ</t>
    </rPh>
    <rPh sb="44" eb="46">
      <t>メンセキ</t>
    </rPh>
    <rPh sb="47" eb="49">
      <t>バアイ</t>
    </rPh>
    <rPh sb="54" eb="56">
      <t>イジョウ</t>
    </rPh>
    <rPh sb="57" eb="59">
      <t>シキチ</t>
    </rPh>
    <rPh sb="59" eb="62">
      <t>リヨウリツ</t>
    </rPh>
    <rPh sb="63" eb="65">
      <t>テキヨウ</t>
    </rPh>
    <rPh sb="70" eb="71">
      <t>ダイ</t>
    </rPh>
    <rPh sb="73" eb="75">
      <t>キジュン</t>
    </rPh>
    <rPh sb="76" eb="77">
      <t>ダイ</t>
    </rPh>
    <rPh sb="79" eb="81">
      <t>キジュン</t>
    </rPh>
    <rPh sb="82" eb="84">
      <t>シキチ</t>
    </rPh>
    <rPh sb="84" eb="86">
      <t>メンセキ</t>
    </rPh>
    <rPh sb="87" eb="89">
      <t>チュウカン</t>
    </rPh>
    <rPh sb="90" eb="92">
      <t>バアイ</t>
    </rPh>
    <rPh sb="94" eb="95">
      <t>タン</t>
    </rPh>
    <rPh sb="95" eb="96">
      <t>カイ</t>
    </rPh>
    <rPh sb="96" eb="97">
      <t>キ</t>
    </rPh>
    <rPh sb="99" eb="101">
      <t>シキチ</t>
    </rPh>
    <rPh sb="101" eb="104">
      <t>リヨウリツ</t>
    </rPh>
    <rPh sb="105" eb="107">
      <t>ケイサン</t>
    </rPh>
    <phoneticPr fontId="27"/>
  </si>
  <si>
    <t>・上記推計により求めた敷地利用率に敷地面積を掛けて、延床面積としました。</t>
    <rPh sb="1" eb="3">
      <t>ジョウキ</t>
    </rPh>
    <rPh sb="3" eb="5">
      <t>スイケイ</t>
    </rPh>
    <rPh sb="8" eb="9">
      <t>モト</t>
    </rPh>
    <rPh sb="11" eb="13">
      <t>シキチ</t>
    </rPh>
    <rPh sb="13" eb="16">
      <t>リヨウリツ</t>
    </rPh>
    <rPh sb="17" eb="19">
      <t>シキチ</t>
    </rPh>
    <rPh sb="19" eb="21">
      <t>メンセキ</t>
    </rPh>
    <rPh sb="22" eb="23">
      <t>カ</t>
    </rPh>
    <rPh sb="26" eb="28">
      <t>ノベユカ</t>
    </rPh>
    <rPh sb="28" eb="30">
      <t>メンセキ</t>
    </rPh>
    <phoneticPr fontId="27"/>
  </si>
  <si>
    <t>家計外消費支出（行）</t>
    <rPh sb="0" eb="2">
      <t>カケイ</t>
    </rPh>
    <rPh sb="2" eb="3">
      <t>ガイ</t>
    </rPh>
    <rPh sb="3" eb="5">
      <t>ショウヒ</t>
    </rPh>
    <rPh sb="5" eb="7">
      <t>シシュツ</t>
    </rPh>
    <rPh sb="8" eb="9">
      <t>ギョウ</t>
    </rPh>
    <phoneticPr fontId="51"/>
  </si>
  <si>
    <t>雇用者所得</t>
    <rPh sb="0" eb="3">
      <t>コヨウシャ</t>
    </rPh>
    <rPh sb="3" eb="5">
      <t>ショトク</t>
    </rPh>
    <phoneticPr fontId="51"/>
  </si>
  <si>
    <t>営業余剰</t>
    <rPh sb="0" eb="2">
      <t>エイギョウ</t>
    </rPh>
    <rPh sb="2" eb="4">
      <t>ヨジョウ</t>
    </rPh>
    <phoneticPr fontId="51"/>
  </si>
  <si>
    <t>資本減耗引当</t>
    <rPh sb="0" eb="2">
      <t>シホン</t>
    </rPh>
    <rPh sb="2" eb="4">
      <t>ゲンモウ</t>
    </rPh>
    <rPh sb="4" eb="6">
      <t>ヒキアテ</t>
    </rPh>
    <phoneticPr fontId="51"/>
  </si>
  <si>
    <t>間接税（除関税・輸入品商品税）</t>
    <rPh sb="0" eb="3">
      <t>カンセツゼイ</t>
    </rPh>
    <rPh sb="4" eb="5">
      <t>ノゾ</t>
    </rPh>
    <rPh sb="5" eb="7">
      <t>カンゼイ</t>
    </rPh>
    <rPh sb="8" eb="10">
      <t>ユニュウ</t>
    </rPh>
    <rPh sb="10" eb="11">
      <t>ヒン</t>
    </rPh>
    <rPh sb="11" eb="13">
      <t>ショウヒン</t>
    </rPh>
    <rPh sb="13" eb="14">
      <t>ゼイ</t>
    </rPh>
    <phoneticPr fontId="51"/>
  </si>
  <si>
    <t>（控除）経常補助金</t>
    <rPh sb="1" eb="3">
      <t>コウジョ</t>
    </rPh>
    <rPh sb="4" eb="6">
      <t>ケイジョウ</t>
    </rPh>
    <rPh sb="6" eb="9">
      <t>ホジョキン</t>
    </rPh>
    <phoneticPr fontId="51"/>
  </si>
  <si>
    <t>粗付加価値部門計</t>
    <rPh sb="0" eb="1">
      <t>ソ</t>
    </rPh>
    <rPh sb="1" eb="3">
      <t>フカ</t>
    </rPh>
    <rPh sb="3" eb="5">
      <t>カチ</t>
    </rPh>
    <rPh sb="5" eb="7">
      <t>ブモン</t>
    </rPh>
    <rPh sb="7" eb="8">
      <t>ケイ</t>
    </rPh>
    <phoneticPr fontId="51"/>
  </si>
  <si>
    <t>国内生産額</t>
    <rPh sb="0" eb="2">
      <t>コクナイ</t>
    </rPh>
    <rPh sb="2" eb="5">
      <t>セイサンガク</t>
    </rPh>
    <phoneticPr fontId="51"/>
  </si>
  <si>
    <t>投資額
直接効果</t>
    <rPh sb="0" eb="2">
      <t>トウシ</t>
    </rPh>
    <rPh sb="2" eb="3">
      <t>ガク</t>
    </rPh>
    <rPh sb="4" eb="6">
      <t>チョクセツ</t>
    </rPh>
    <rPh sb="6" eb="8">
      <t>コウカ</t>
    </rPh>
    <phoneticPr fontId="20"/>
  </si>
  <si>
    <t>投資額の
投入内訳</t>
    <rPh sb="0" eb="2">
      <t>トウシ</t>
    </rPh>
    <rPh sb="2" eb="3">
      <t>ガク</t>
    </rPh>
    <rPh sb="5" eb="7">
      <t>トウニュウ</t>
    </rPh>
    <rPh sb="7" eb="9">
      <t>ウチワケ</t>
    </rPh>
    <phoneticPr fontId="20"/>
  </si>
  <si>
    <t>県内
自給率</t>
    <rPh sb="0" eb="2">
      <t>ケンナイ</t>
    </rPh>
    <rPh sb="3" eb="6">
      <t>ジキュウリツ</t>
    </rPh>
    <phoneticPr fontId="20"/>
  </si>
  <si>
    <t>県内産
原材料費</t>
    <rPh sb="0" eb="2">
      <t>ケンナイ</t>
    </rPh>
    <rPh sb="2" eb="3">
      <t>サン</t>
    </rPh>
    <rPh sb="4" eb="7">
      <t>ゲンザイリョウ</t>
    </rPh>
    <rPh sb="7" eb="8">
      <t>ヒ</t>
    </rPh>
    <phoneticPr fontId="20"/>
  </si>
  <si>
    <t>価格変換
（ﾃﾞﾌﾚｰﾀ）</t>
    <rPh sb="0" eb="2">
      <t>カカク</t>
    </rPh>
    <rPh sb="2" eb="4">
      <t>ヘンカン</t>
    </rPh>
    <phoneticPr fontId="20"/>
  </si>
  <si>
    <t>第１次
間接効果</t>
    <rPh sb="0" eb="1">
      <t>ダイ</t>
    </rPh>
    <rPh sb="2" eb="3">
      <t>ジ</t>
    </rPh>
    <rPh sb="4" eb="6">
      <t>カンセツ</t>
    </rPh>
    <rPh sb="6" eb="8">
      <t>コウカ</t>
    </rPh>
    <phoneticPr fontId="20"/>
  </si>
  <si>
    <t>所得率</t>
    <rPh sb="0" eb="2">
      <t>ショトク</t>
    </rPh>
    <rPh sb="2" eb="3">
      <t>リツ</t>
    </rPh>
    <phoneticPr fontId="20"/>
  </si>
  <si>
    <t>所得増加額</t>
    <rPh sb="0" eb="2">
      <t>ショトク</t>
    </rPh>
    <rPh sb="2" eb="4">
      <t>ゾウカ</t>
    </rPh>
    <rPh sb="4" eb="5">
      <t>ガク</t>
    </rPh>
    <phoneticPr fontId="20"/>
  </si>
  <si>
    <t>従業者のうち県内在住者の所得</t>
    <rPh sb="0" eb="3">
      <t>ジュウギョウシャ</t>
    </rPh>
    <rPh sb="6" eb="8">
      <t>ケンナイ</t>
    </rPh>
    <rPh sb="8" eb="11">
      <t>ザイジュウシャ</t>
    </rPh>
    <rPh sb="12" eb="14">
      <t>ショトク</t>
    </rPh>
    <phoneticPr fontId="20"/>
  </si>
  <si>
    <t>所得のうち
貯蓄を除く
消費増加額</t>
    <rPh sb="0" eb="2">
      <t>ショトク</t>
    </rPh>
    <rPh sb="6" eb="8">
      <t>チョチク</t>
    </rPh>
    <rPh sb="9" eb="10">
      <t>ノゾ</t>
    </rPh>
    <rPh sb="12" eb="14">
      <t>ショウヒ</t>
    </rPh>
    <rPh sb="14" eb="16">
      <t>ゾウカ</t>
    </rPh>
    <rPh sb="16" eb="17">
      <t>ガク</t>
    </rPh>
    <phoneticPr fontId="20"/>
  </si>
  <si>
    <t>消費ﾊﾟﾀｰﾝ</t>
    <rPh sb="0" eb="2">
      <t>ショウヒ</t>
    </rPh>
    <phoneticPr fontId="20"/>
  </si>
  <si>
    <t>消費増加額</t>
    <rPh sb="0" eb="2">
      <t>ショウヒ</t>
    </rPh>
    <rPh sb="2" eb="4">
      <t>ゾウカ</t>
    </rPh>
    <rPh sb="4" eb="5">
      <t>ガク</t>
    </rPh>
    <phoneticPr fontId="20"/>
  </si>
  <si>
    <t>消費増加額
のうち
県内自給分</t>
    <rPh sb="0" eb="2">
      <t>ショウヒ</t>
    </rPh>
    <rPh sb="2" eb="4">
      <t>ゾウカ</t>
    </rPh>
    <rPh sb="4" eb="5">
      <t>ガク</t>
    </rPh>
    <rPh sb="10" eb="12">
      <t>ケンナイ</t>
    </rPh>
    <rPh sb="12" eb="14">
      <t>ジキュウ</t>
    </rPh>
    <rPh sb="14" eb="15">
      <t>ブン</t>
    </rPh>
    <phoneticPr fontId="20"/>
  </si>
  <si>
    <t>第２次
間接効果</t>
    <rPh sb="0" eb="1">
      <t>ダイ</t>
    </rPh>
    <rPh sb="2" eb="3">
      <t>ジ</t>
    </rPh>
    <rPh sb="4" eb="6">
      <t>カンセツ</t>
    </rPh>
    <rPh sb="6" eb="8">
      <t>コウカ</t>
    </rPh>
    <phoneticPr fontId="20"/>
  </si>
  <si>
    <t>総合効果</t>
    <rPh sb="0" eb="2">
      <t>ソウゴウ</t>
    </rPh>
    <rPh sb="2" eb="4">
      <t>コウカ</t>
    </rPh>
    <phoneticPr fontId="20"/>
  </si>
  <si>
    <t>粗付加価値誘発額</t>
    <rPh sb="0" eb="1">
      <t>ソ</t>
    </rPh>
    <rPh sb="1" eb="3">
      <t>フカ</t>
    </rPh>
    <rPh sb="3" eb="5">
      <t>カチ</t>
    </rPh>
    <rPh sb="5" eb="7">
      <t>ユウハツ</t>
    </rPh>
    <rPh sb="7" eb="8">
      <t>ガク</t>
    </rPh>
    <phoneticPr fontId="20"/>
  </si>
  <si>
    <t>雇用誘発人数</t>
    <rPh sb="0" eb="2">
      <t>コヨウ</t>
    </rPh>
    <rPh sb="2" eb="4">
      <t>ユウハツ</t>
    </rPh>
    <rPh sb="4" eb="6">
      <t>ニンズウ</t>
    </rPh>
    <phoneticPr fontId="20"/>
  </si>
  <si>
    <t>労働誘発人数</t>
    <rPh sb="0" eb="2">
      <t>ロウドウ</t>
    </rPh>
    <rPh sb="2" eb="4">
      <t>ユウハツ</t>
    </rPh>
    <rPh sb="4" eb="6">
      <t>ニンズウ</t>
    </rPh>
    <phoneticPr fontId="20"/>
  </si>
  <si>
    <t>直接効果</t>
    <rPh sb="0" eb="2">
      <t>チョクセツ</t>
    </rPh>
    <rPh sb="2" eb="4">
      <t>コウカ</t>
    </rPh>
    <phoneticPr fontId="20"/>
  </si>
  <si>
    <t>計</t>
    <rPh sb="0" eb="1">
      <t>ケイ</t>
    </rPh>
    <phoneticPr fontId="20"/>
  </si>
  <si>
    <t>価格変換</t>
    <rPh sb="0" eb="2">
      <t>カカク</t>
    </rPh>
    <rPh sb="2" eb="4">
      <t>ヘンカン</t>
    </rPh>
    <phoneticPr fontId="20"/>
  </si>
  <si>
    <t>＝</t>
    <phoneticPr fontId="27"/>
  </si>
  <si>
    <t>＋</t>
    <phoneticPr fontId="27"/>
  </si>
  <si>
    <t>×県民所得係数</t>
    <rPh sb="1" eb="3">
      <t>ケンミン</t>
    </rPh>
    <rPh sb="3" eb="5">
      <t>ショトク</t>
    </rPh>
    <rPh sb="5" eb="7">
      <t>ケイスウ</t>
    </rPh>
    <phoneticPr fontId="20"/>
  </si>
  <si>
    <t>×消費転換係数</t>
    <rPh sb="1" eb="3">
      <t>ショウヒ</t>
    </rPh>
    <rPh sb="3" eb="5">
      <t>テンカン</t>
    </rPh>
    <rPh sb="5" eb="7">
      <t>ケイスウ</t>
    </rPh>
    <phoneticPr fontId="20"/>
  </si>
  <si>
    <t>誘致したい産業部門を選択します。</t>
    <rPh sb="0" eb="2">
      <t>ユウチ</t>
    </rPh>
    <rPh sb="5" eb="7">
      <t>サンギョウ</t>
    </rPh>
    <rPh sb="7" eb="9">
      <t>ブモン</t>
    </rPh>
    <rPh sb="10" eb="12">
      <t>センタク</t>
    </rPh>
    <phoneticPr fontId="27"/>
  </si>
  <si>
    <t>第１次
直接・間接効果</t>
    <rPh sb="0" eb="1">
      <t>ダイ</t>
    </rPh>
    <rPh sb="2" eb="3">
      <t>ジ</t>
    </rPh>
    <rPh sb="4" eb="6">
      <t>チョクセツ</t>
    </rPh>
    <rPh sb="7" eb="9">
      <t>カンセツ</t>
    </rPh>
    <rPh sb="9" eb="11">
      <t>コウカ</t>
    </rPh>
    <phoneticPr fontId="20"/>
  </si>
  <si>
    <t>　道路整備に伴うストック効果は、所要時間の短縮や渋滞の減少といった道路利用者への直接的な効果のみならず、民間投資や観光交流、雇用等を増加させるなど、中長期的に国民生活や経済活動を成長させる波及効果をもたらします。</t>
    <rPh sb="1" eb="3">
      <t>ドウロ</t>
    </rPh>
    <rPh sb="3" eb="5">
      <t>セイビ</t>
    </rPh>
    <rPh sb="6" eb="7">
      <t>トモナ</t>
    </rPh>
    <rPh sb="12" eb="14">
      <t>コウカ</t>
    </rPh>
    <rPh sb="16" eb="18">
      <t>ショヨウ</t>
    </rPh>
    <rPh sb="18" eb="20">
      <t>ジカン</t>
    </rPh>
    <rPh sb="21" eb="23">
      <t>タンシュク</t>
    </rPh>
    <rPh sb="24" eb="26">
      <t>ジュウタイ</t>
    </rPh>
    <rPh sb="27" eb="29">
      <t>ゲンショウ</t>
    </rPh>
    <rPh sb="33" eb="35">
      <t>ドウロ</t>
    </rPh>
    <rPh sb="35" eb="38">
      <t>リヨウシャ</t>
    </rPh>
    <rPh sb="40" eb="42">
      <t>チョクセツ</t>
    </rPh>
    <rPh sb="42" eb="43">
      <t>テキ</t>
    </rPh>
    <rPh sb="44" eb="46">
      <t>コウカ</t>
    </rPh>
    <rPh sb="52" eb="54">
      <t>ミンカン</t>
    </rPh>
    <rPh sb="54" eb="56">
      <t>トウシ</t>
    </rPh>
    <rPh sb="57" eb="59">
      <t>カンコウ</t>
    </rPh>
    <rPh sb="59" eb="61">
      <t>コウリュウ</t>
    </rPh>
    <rPh sb="62" eb="64">
      <t>コヨウ</t>
    </rPh>
    <rPh sb="64" eb="65">
      <t>トウ</t>
    </rPh>
    <rPh sb="66" eb="68">
      <t>ゾウカ</t>
    </rPh>
    <rPh sb="74" eb="77">
      <t>チュウチョウキ</t>
    </rPh>
    <rPh sb="77" eb="78">
      <t>テキ</t>
    </rPh>
    <rPh sb="79" eb="81">
      <t>コクミン</t>
    </rPh>
    <rPh sb="81" eb="83">
      <t>セイカツ</t>
    </rPh>
    <rPh sb="84" eb="86">
      <t>ケイザイ</t>
    </rPh>
    <rPh sb="86" eb="88">
      <t>カツドウ</t>
    </rPh>
    <rPh sb="89" eb="91">
      <t>セイチョウ</t>
    </rPh>
    <rPh sb="94" eb="96">
      <t>ハキュウ</t>
    </rPh>
    <rPh sb="96" eb="98">
      <t>コウカ</t>
    </rPh>
    <phoneticPr fontId="27"/>
  </si>
  <si>
    <t>　平坦地の場合は、整地費、土盛体積、土止擁壁面積を入力します。</t>
    <rPh sb="1" eb="3">
      <t>ヘイタン</t>
    </rPh>
    <rPh sb="3" eb="4">
      <t>チ</t>
    </rPh>
    <rPh sb="5" eb="7">
      <t>バアイ</t>
    </rPh>
    <rPh sb="9" eb="11">
      <t>セイチ</t>
    </rPh>
    <rPh sb="11" eb="12">
      <t>ヒ</t>
    </rPh>
    <rPh sb="13" eb="15">
      <t>ドモリ</t>
    </rPh>
    <rPh sb="15" eb="17">
      <t>タイセキ</t>
    </rPh>
    <rPh sb="18" eb="19">
      <t>ツチ</t>
    </rPh>
    <rPh sb="19" eb="20">
      <t>ドメ</t>
    </rPh>
    <rPh sb="20" eb="22">
      <t>ヨウヘキ</t>
    </rPh>
    <rPh sb="22" eb="24">
      <t>メンセキ</t>
    </rPh>
    <rPh sb="25" eb="27">
      <t>ニュウリョク</t>
    </rPh>
    <phoneticPr fontId="27"/>
  </si>
  <si>
    <t>稼働前投資</t>
    <rPh sb="0" eb="2">
      <t>カドウ</t>
    </rPh>
    <rPh sb="2" eb="3">
      <t>マエ</t>
    </rPh>
    <rPh sb="3" eb="5">
      <t>トウシ</t>
    </rPh>
    <phoneticPr fontId="20"/>
  </si>
  <si>
    <t>Rank</t>
    <phoneticPr fontId="20"/>
  </si>
  <si>
    <t>投資額</t>
    <rPh sb="0" eb="2">
      <t>トウシ</t>
    </rPh>
    <rPh sb="2" eb="3">
      <t>ガク</t>
    </rPh>
    <phoneticPr fontId="20"/>
  </si>
  <si>
    <t>第１次間接</t>
    <rPh sb="0" eb="1">
      <t>ダイ</t>
    </rPh>
    <rPh sb="2" eb="3">
      <t>ジ</t>
    </rPh>
    <rPh sb="3" eb="5">
      <t>カンセツ</t>
    </rPh>
    <phoneticPr fontId="20"/>
  </si>
  <si>
    <t>第２次間接</t>
    <rPh sb="0" eb="1">
      <t>ダイ</t>
    </rPh>
    <rPh sb="2" eb="3">
      <t>ジ</t>
    </rPh>
    <rPh sb="3" eb="5">
      <t>カンセツ</t>
    </rPh>
    <phoneticPr fontId="20"/>
  </si>
  <si>
    <t>②=I③</t>
    <phoneticPr fontId="20"/>
  </si>
  <si>
    <t>③=I④</t>
    <phoneticPr fontId="20"/>
  </si>
  <si>
    <t>①=I⑤</t>
    <phoneticPr fontId="20"/>
  </si>
  <si>
    <t>その他</t>
    <phoneticPr fontId="27"/>
  </si>
  <si>
    <t>■</t>
    <phoneticPr fontId="20"/>
  </si>
  <si>
    <t>報告書の表示単位を選択してください</t>
    <rPh sb="0" eb="3">
      <t>ホウコクショ</t>
    </rPh>
    <rPh sb="4" eb="6">
      <t>ヒョウジ</t>
    </rPh>
    <rPh sb="6" eb="8">
      <t>タンイ</t>
    </rPh>
    <rPh sb="9" eb="11">
      <t>センタク</t>
    </rPh>
    <phoneticPr fontId="20"/>
  </si>
  <si>
    <t>報告書に日付を表示しますか。</t>
    <rPh sb="0" eb="3">
      <t>ホウコクショ</t>
    </rPh>
    <rPh sb="4" eb="6">
      <t>ヒヅケ</t>
    </rPh>
    <rPh sb="7" eb="9">
      <t>ヒョウジ</t>
    </rPh>
    <phoneticPr fontId="20"/>
  </si>
  <si>
    <t>試算結果</t>
    <rPh sb="0" eb="2">
      <t>シサン</t>
    </rPh>
    <rPh sb="2" eb="4">
      <t>ケッカ</t>
    </rPh>
    <phoneticPr fontId="20"/>
  </si>
  <si>
    <t>項　目</t>
    <rPh sb="0" eb="1">
      <t>コウ</t>
    </rPh>
    <rPh sb="2" eb="3">
      <t>メ</t>
    </rPh>
    <phoneticPr fontId="20"/>
  </si>
  <si>
    <t>最終需要
増加額</t>
    <rPh sb="0" eb="2">
      <t>サイシュウ</t>
    </rPh>
    <rPh sb="2" eb="4">
      <t>ジュヨウ</t>
    </rPh>
    <rPh sb="5" eb="7">
      <t>ゾウカ</t>
    </rPh>
    <rPh sb="7" eb="8">
      <t>ガク</t>
    </rPh>
    <phoneticPr fontId="20"/>
  </si>
  <si>
    <t>生産誘発倍率
(対最終需要)</t>
    <rPh sb="0" eb="2">
      <t>セイサン</t>
    </rPh>
    <rPh sb="2" eb="4">
      <t>ユウハツ</t>
    </rPh>
    <rPh sb="4" eb="6">
      <t>バイリツ</t>
    </rPh>
    <rPh sb="8" eb="9">
      <t>タイ</t>
    </rPh>
    <rPh sb="9" eb="11">
      <t>サイシュウ</t>
    </rPh>
    <rPh sb="11" eb="13">
      <t>ジュヨウ</t>
    </rPh>
    <phoneticPr fontId="20"/>
  </si>
  <si>
    <t>生産誘発倍率
(対直接効果)</t>
    <rPh sb="0" eb="2">
      <t>セイサン</t>
    </rPh>
    <rPh sb="2" eb="4">
      <t>ユウハツ</t>
    </rPh>
    <rPh sb="4" eb="6">
      <t>バイリツ</t>
    </rPh>
    <rPh sb="8" eb="9">
      <t>タイ</t>
    </rPh>
    <rPh sb="9" eb="11">
      <t>チョクセツ</t>
    </rPh>
    <rPh sb="11" eb="13">
      <t>コウカ</t>
    </rPh>
    <phoneticPr fontId="20"/>
  </si>
  <si>
    <t>粗付加価値
誘発額</t>
    <rPh sb="0" eb="1">
      <t>ソ</t>
    </rPh>
    <rPh sb="1" eb="3">
      <t>フカ</t>
    </rPh>
    <rPh sb="3" eb="5">
      <t>カチ</t>
    </rPh>
    <rPh sb="6" eb="8">
      <t>ユウハツ</t>
    </rPh>
    <rPh sb="8" eb="9">
      <t>ガク</t>
    </rPh>
    <phoneticPr fontId="20"/>
  </si>
  <si>
    <t>①</t>
    <phoneticPr fontId="20"/>
  </si>
  <si>
    <t>②</t>
    <phoneticPr fontId="20"/>
  </si>
  <si>
    <t>③</t>
    <phoneticPr fontId="20"/>
  </si>
  <si>
    <t>④</t>
    <phoneticPr fontId="20"/>
  </si>
  <si>
    <t>⑤=②+③+④</t>
    <phoneticPr fontId="20"/>
  </si>
  <si>
    <t>⑥=⑤÷①</t>
    <phoneticPr fontId="20"/>
  </si>
  <si>
    <t>⑦=⑤÷②</t>
    <phoneticPr fontId="20"/>
  </si>
  <si>
    <t>⑧</t>
    <phoneticPr fontId="20"/>
  </si>
  <si>
    <t>⑨</t>
    <phoneticPr fontId="20"/>
  </si>
  <si>
    <t>土地造成</t>
    <rPh sb="0" eb="2">
      <t>トチ</t>
    </rPh>
    <rPh sb="2" eb="4">
      <t>ゾウセイ</t>
    </rPh>
    <phoneticPr fontId="20"/>
  </si>
  <si>
    <t>設備投資</t>
    <rPh sb="0" eb="2">
      <t>セツビ</t>
    </rPh>
    <rPh sb="2" eb="4">
      <t>トウシ</t>
    </rPh>
    <phoneticPr fontId="20"/>
  </si>
  <si>
    <t>　</t>
    <phoneticPr fontId="20"/>
  </si>
  <si>
    <t>稼働
後</t>
    <rPh sb="0" eb="2">
      <t>カドウ</t>
    </rPh>
    <rPh sb="3" eb="4">
      <t>ゴ</t>
    </rPh>
    <phoneticPr fontId="20"/>
  </si>
  <si>
    <t>生　　産</t>
    <rPh sb="0" eb="1">
      <t>ナマ</t>
    </rPh>
    <rPh sb="3" eb="4">
      <t>サン</t>
    </rPh>
    <phoneticPr fontId="20"/>
  </si>
  <si>
    <t>No</t>
    <phoneticPr fontId="20"/>
  </si>
  <si>
    <t>第１次間接効果</t>
    <rPh sb="0" eb="1">
      <t>ダイ</t>
    </rPh>
    <rPh sb="2" eb="3">
      <t>ジ</t>
    </rPh>
    <rPh sb="3" eb="5">
      <t>カンセツ</t>
    </rPh>
    <rPh sb="5" eb="7">
      <t>コウカ</t>
    </rPh>
    <phoneticPr fontId="20"/>
  </si>
  <si>
    <t>第２次間接効果</t>
    <rPh sb="0" eb="1">
      <t>ダイ</t>
    </rPh>
    <rPh sb="2" eb="3">
      <t>ジ</t>
    </rPh>
    <rPh sb="3" eb="5">
      <t>カンセツ</t>
    </rPh>
    <rPh sb="5" eb="7">
      <t>コウカ</t>
    </rPh>
    <phoneticPr fontId="20"/>
  </si>
  <si>
    <t>合計</t>
    <rPh sb="0" eb="2">
      <t>ゴウケイ</t>
    </rPh>
    <phoneticPr fontId="20"/>
  </si>
  <si>
    <t>●稼働前による投資（土地造成、工場建築、設備投資）は、一時的なものであるため、波及効果の金額や雇用誘発人数は継続的ではない。</t>
    <rPh sb="1" eb="3">
      <t>カドウ</t>
    </rPh>
    <rPh sb="3" eb="4">
      <t>マエ</t>
    </rPh>
    <rPh sb="7" eb="9">
      <t>トウシ</t>
    </rPh>
    <rPh sb="10" eb="12">
      <t>トチ</t>
    </rPh>
    <rPh sb="12" eb="14">
      <t>ゾウセイ</t>
    </rPh>
    <rPh sb="15" eb="17">
      <t>コウジョウ</t>
    </rPh>
    <rPh sb="17" eb="19">
      <t>ケンチク</t>
    </rPh>
    <rPh sb="20" eb="22">
      <t>セツビ</t>
    </rPh>
    <rPh sb="22" eb="24">
      <t>トウシ</t>
    </rPh>
    <rPh sb="27" eb="30">
      <t>イチジテキ</t>
    </rPh>
    <rPh sb="39" eb="41">
      <t>ハキュウ</t>
    </rPh>
    <rPh sb="41" eb="43">
      <t>コウカ</t>
    </rPh>
    <rPh sb="44" eb="46">
      <t>キンガク</t>
    </rPh>
    <rPh sb="47" eb="49">
      <t>コヨウ</t>
    </rPh>
    <rPh sb="49" eb="51">
      <t>ユウハツ</t>
    </rPh>
    <rPh sb="51" eb="53">
      <t>ニンズウ</t>
    </rPh>
    <rPh sb="54" eb="57">
      <t>ケイゾクテキ</t>
    </rPh>
    <phoneticPr fontId="20"/>
  </si>
  <si>
    <t>●稼働後による生産は、継続性があるため、波及効果の金額や雇用誘発人数は継続的である。</t>
    <rPh sb="1" eb="3">
      <t>カドウ</t>
    </rPh>
    <rPh sb="3" eb="4">
      <t>ゴ</t>
    </rPh>
    <rPh sb="7" eb="9">
      <t>セイサン</t>
    </rPh>
    <rPh sb="11" eb="13">
      <t>ケイゾク</t>
    </rPh>
    <rPh sb="13" eb="14">
      <t>セイ</t>
    </rPh>
    <rPh sb="20" eb="22">
      <t>ハキュウ</t>
    </rPh>
    <rPh sb="22" eb="24">
      <t>コウカ</t>
    </rPh>
    <rPh sb="25" eb="27">
      <t>キンガク</t>
    </rPh>
    <rPh sb="28" eb="30">
      <t>コヨウ</t>
    </rPh>
    <rPh sb="30" eb="32">
      <t>ユウハツ</t>
    </rPh>
    <rPh sb="32" eb="34">
      <t>ニンズウ</t>
    </rPh>
    <rPh sb="35" eb="38">
      <t>ケイゾクテキ</t>
    </rPh>
    <phoneticPr fontId="20"/>
  </si>
  <si>
    <t>分析に利用した産業連関表と各種係数</t>
    <rPh sb="0" eb="2">
      <t>ブンセキ</t>
    </rPh>
    <rPh sb="3" eb="5">
      <t>リヨウ</t>
    </rPh>
    <rPh sb="7" eb="9">
      <t>サンギョウ</t>
    </rPh>
    <rPh sb="9" eb="11">
      <t>レンカン</t>
    </rPh>
    <rPh sb="11" eb="12">
      <t>ヒョウ</t>
    </rPh>
    <rPh sb="13" eb="15">
      <t>カクシュ</t>
    </rPh>
    <rPh sb="15" eb="17">
      <t>ケイスウ</t>
    </rPh>
    <phoneticPr fontId="20"/>
  </si>
  <si>
    <t>・物価調整</t>
    <rPh sb="1" eb="3">
      <t>ブッカ</t>
    </rPh>
    <rPh sb="3" eb="5">
      <t>チョウセイ</t>
    </rPh>
    <phoneticPr fontId="20"/>
  </si>
  <si>
    <t>・県民所得係数　</t>
    <rPh sb="1" eb="3">
      <t>ケンミン</t>
    </rPh>
    <rPh sb="3" eb="5">
      <t>ショトク</t>
    </rPh>
    <rPh sb="5" eb="7">
      <t>ケイスウ</t>
    </rPh>
    <phoneticPr fontId="20"/>
  </si>
  <si>
    <t>・消費転換係数</t>
    <rPh sb="1" eb="3">
      <t>ショウヒ</t>
    </rPh>
    <rPh sb="3" eb="5">
      <t>テンカン</t>
    </rPh>
    <rPh sb="5" eb="7">
      <t>ケイスウ</t>
    </rPh>
    <phoneticPr fontId="20"/>
  </si>
  <si>
    <t>　しかしながら、初期の構想段階で、どの様な企業が、どのくらいの規模の事業所を誘致するかを想定することは、非常に困難な作業であろうと思われます。</t>
    <rPh sb="8" eb="10">
      <t>ショキ</t>
    </rPh>
    <rPh sb="11" eb="13">
      <t>コウソウ</t>
    </rPh>
    <rPh sb="13" eb="15">
      <t>ダンカイ</t>
    </rPh>
    <rPh sb="19" eb="20">
      <t>ヨウ</t>
    </rPh>
    <rPh sb="21" eb="23">
      <t>キギョウ</t>
    </rPh>
    <rPh sb="31" eb="33">
      <t>キボ</t>
    </rPh>
    <rPh sb="34" eb="37">
      <t>ジギョウショ</t>
    </rPh>
    <rPh sb="38" eb="40">
      <t>ユウチ</t>
    </rPh>
    <rPh sb="44" eb="46">
      <t>ソウテイ</t>
    </rPh>
    <rPh sb="52" eb="54">
      <t>ヒジョウ</t>
    </rPh>
    <rPh sb="55" eb="57">
      <t>コンナン</t>
    </rPh>
    <rPh sb="58" eb="60">
      <t>サギョウ</t>
    </rPh>
    <rPh sb="65" eb="66">
      <t>オモ</t>
    </rPh>
    <phoneticPr fontId="27"/>
  </si>
  <si>
    <t>敷地面積に対する敷地利用率を推計して、延床面積を自動計算し、㎡当たり工事費から建築費用を求めます。</t>
    <rPh sb="0" eb="2">
      <t>シキチ</t>
    </rPh>
    <rPh sb="2" eb="4">
      <t>メンセキ</t>
    </rPh>
    <rPh sb="5" eb="6">
      <t>タイ</t>
    </rPh>
    <rPh sb="8" eb="10">
      <t>シキチ</t>
    </rPh>
    <rPh sb="10" eb="13">
      <t>リヨウリツ</t>
    </rPh>
    <rPh sb="14" eb="16">
      <t>スイケイ</t>
    </rPh>
    <rPh sb="19" eb="20">
      <t>ノ</t>
    </rPh>
    <rPh sb="20" eb="23">
      <t>ユカメンセキ</t>
    </rPh>
    <rPh sb="24" eb="26">
      <t>ジドウ</t>
    </rPh>
    <rPh sb="26" eb="28">
      <t>ケイサン</t>
    </rPh>
    <rPh sb="31" eb="32">
      <t>ア</t>
    </rPh>
    <rPh sb="34" eb="37">
      <t>コウジヒ</t>
    </rPh>
    <rPh sb="39" eb="41">
      <t>ケンチク</t>
    </rPh>
    <rPh sb="41" eb="43">
      <t>ヒヨウ</t>
    </rPh>
    <rPh sb="44" eb="45">
      <t>モト</t>
    </rPh>
    <phoneticPr fontId="27"/>
  </si>
  <si>
    <t>　規模に応じて、従業者数を変更することで、１事業所当たりの生産額を変更することができます。</t>
    <rPh sb="1" eb="3">
      <t>キボ</t>
    </rPh>
    <rPh sb="4" eb="5">
      <t>オウ</t>
    </rPh>
    <rPh sb="8" eb="11">
      <t>ジュウギョウシャ</t>
    </rPh>
    <rPh sb="11" eb="12">
      <t>スウ</t>
    </rPh>
    <rPh sb="13" eb="15">
      <t>ヘンコウ</t>
    </rPh>
    <rPh sb="22" eb="25">
      <t>ジギョウショ</t>
    </rPh>
    <rPh sb="25" eb="26">
      <t>ア</t>
    </rPh>
    <rPh sb="29" eb="32">
      <t>セイサンガク</t>
    </rPh>
    <rPh sb="33" eb="35">
      <t>ヘンコウ</t>
    </rPh>
    <phoneticPr fontId="27"/>
  </si>
  <si>
    <t>産業部門名</t>
    <rPh sb="0" eb="2">
      <t>サンギョウ</t>
    </rPh>
    <rPh sb="2" eb="4">
      <t>ブモン</t>
    </rPh>
    <rPh sb="4" eb="5">
      <t>メイ</t>
    </rPh>
    <phoneticPr fontId="27"/>
  </si>
  <si>
    <t>　そこで、埼玉県では、敷地面積に相当する建築費や設備投資額を自動的に計算し、平均的な１事業所当たり生産額を設定することによって、簡単に波及効果分析を試算できるツールを開発しました。</t>
    <rPh sb="5" eb="8">
      <t>サイタマケン</t>
    </rPh>
    <rPh sb="11" eb="13">
      <t>シキチ</t>
    </rPh>
    <rPh sb="13" eb="15">
      <t>メンセキ</t>
    </rPh>
    <rPh sb="16" eb="18">
      <t>ソウトウ</t>
    </rPh>
    <rPh sb="20" eb="23">
      <t>ケンチクヒ</t>
    </rPh>
    <rPh sb="24" eb="26">
      <t>セツビ</t>
    </rPh>
    <rPh sb="26" eb="28">
      <t>トウシ</t>
    </rPh>
    <rPh sb="28" eb="29">
      <t>ガク</t>
    </rPh>
    <rPh sb="30" eb="33">
      <t>ジドウテキ</t>
    </rPh>
    <rPh sb="34" eb="36">
      <t>ケイサン</t>
    </rPh>
    <rPh sb="38" eb="41">
      <t>ヘイキンテキ</t>
    </rPh>
    <rPh sb="43" eb="46">
      <t>ジギョウショ</t>
    </rPh>
    <rPh sb="46" eb="47">
      <t>ア</t>
    </rPh>
    <rPh sb="49" eb="52">
      <t>セイサンガク</t>
    </rPh>
    <rPh sb="53" eb="55">
      <t>セッテイ</t>
    </rPh>
    <rPh sb="64" eb="66">
      <t>カンタン</t>
    </rPh>
    <rPh sb="67" eb="69">
      <t>ハキュウ</t>
    </rPh>
    <rPh sb="69" eb="71">
      <t>コウカ</t>
    </rPh>
    <rPh sb="71" eb="73">
      <t>ブンセキ</t>
    </rPh>
    <rPh sb="74" eb="76">
      <t>シサン</t>
    </rPh>
    <rPh sb="83" eb="85">
      <t>カイハツ</t>
    </rPh>
    <phoneticPr fontId="27"/>
  </si>
  <si>
    <t>建　　  築</t>
    <rPh sb="0" eb="1">
      <t>ケン</t>
    </rPh>
    <rPh sb="5" eb="6">
      <t>チク</t>
    </rPh>
    <phoneticPr fontId="20"/>
  </si>
  <si>
    <t>表示単位</t>
    <rPh sb="0" eb="2">
      <t>ヒョウジ</t>
    </rPh>
    <rPh sb="2" eb="4">
      <t>タンイ</t>
    </rPh>
    <phoneticPr fontId="27"/>
  </si>
  <si>
    <t>・表示単位を、千円、万円、百万円、億円からプルダウンメニューから選べます。</t>
    <rPh sb="1" eb="3">
      <t>ヒョウジ</t>
    </rPh>
    <rPh sb="3" eb="5">
      <t>タンイ</t>
    </rPh>
    <rPh sb="7" eb="9">
      <t>センエン</t>
    </rPh>
    <rPh sb="10" eb="12">
      <t>マンエン</t>
    </rPh>
    <rPh sb="13" eb="16">
      <t>ヒャクマンエン</t>
    </rPh>
    <rPh sb="17" eb="19">
      <t>オクエン</t>
    </rPh>
    <rPh sb="32" eb="33">
      <t>エラ</t>
    </rPh>
    <phoneticPr fontId="27"/>
  </si>
  <si>
    <t>日付</t>
    <rPh sb="0" eb="2">
      <t>ヒヅケ</t>
    </rPh>
    <phoneticPr fontId="27"/>
  </si>
  <si>
    <t>表題</t>
    <rPh sb="0" eb="2">
      <t>ヒョウダイ</t>
    </rPh>
    <phoneticPr fontId="27"/>
  </si>
  <si>
    <t>稼働前投資</t>
    <rPh sb="0" eb="2">
      <t>カドウ</t>
    </rPh>
    <rPh sb="2" eb="3">
      <t>マエ</t>
    </rPh>
    <rPh sb="3" eb="5">
      <t>トウシ</t>
    </rPh>
    <phoneticPr fontId="27"/>
  </si>
  <si>
    <t>稼働後生産</t>
    <rPh sb="0" eb="2">
      <t>カドウ</t>
    </rPh>
    <rPh sb="2" eb="3">
      <t>ゴ</t>
    </rPh>
    <rPh sb="3" eb="5">
      <t>セイサン</t>
    </rPh>
    <phoneticPr fontId="27"/>
  </si>
  <si>
    <t>・投資後、生産が開始されますが、生産による経済波及効果を計算しています。</t>
    <rPh sb="1" eb="3">
      <t>トウシ</t>
    </rPh>
    <rPh sb="3" eb="4">
      <t>ゴ</t>
    </rPh>
    <rPh sb="5" eb="7">
      <t>セイサン</t>
    </rPh>
    <rPh sb="8" eb="10">
      <t>カイシ</t>
    </rPh>
    <rPh sb="16" eb="18">
      <t>セイサン</t>
    </rPh>
    <rPh sb="21" eb="23">
      <t>ケイザイ</t>
    </rPh>
    <rPh sb="23" eb="25">
      <t>ハキュウ</t>
    </rPh>
    <rPh sb="25" eb="27">
      <t>コウカ</t>
    </rPh>
    <rPh sb="28" eb="30">
      <t>ケイサン</t>
    </rPh>
    <phoneticPr fontId="27"/>
  </si>
  <si>
    <t>・造成費、建築費、設備投資額は、生産稼働前の投資額となります。稼働前の投資の経済波及効果を計算しています。</t>
    <rPh sb="1" eb="3">
      <t>ゾウセイ</t>
    </rPh>
    <rPh sb="3" eb="4">
      <t>ヒ</t>
    </rPh>
    <rPh sb="5" eb="8">
      <t>ケンチクヒ</t>
    </rPh>
    <rPh sb="9" eb="11">
      <t>セツビ</t>
    </rPh>
    <rPh sb="11" eb="13">
      <t>トウシ</t>
    </rPh>
    <rPh sb="13" eb="14">
      <t>ガク</t>
    </rPh>
    <rPh sb="16" eb="18">
      <t>セイサン</t>
    </rPh>
    <rPh sb="18" eb="20">
      <t>カドウ</t>
    </rPh>
    <rPh sb="20" eb="21">
      <t>マエ</t>
    </rPh>
    <rPh sb="22" eb="24">
      <t>トウシ</t>
    </rPh>
    <rPh sb="24" eb="25">
      <t>ガク</t>
    </rPh>
    <rPh sb="31" eb="33">
      <t>カドウ</t>
    </rPh>
    <rPh sb="33" eb="34">
      <t>マエ</t>
    </rPh>
    <rPh sb="35" eb="37">
      <t>トウシ</t>
    </rPh>
    <rPh sb="38" eb="40">
      <t>ケイザイ</t>
    </rPh>
    <rPh sb="40" eb="42">
      <t>ハキュウ</t>
    </rPh>
    <rPh sb="42" eb="44">
      <t>コウカ</t>
    </rPh>
    <rPh sb="45" eb="47">
      <t>ケイサン</t>
    </rPh>
    <phoneticPr fontId="27"/>
  </si>
  <si>
    <t>　傾斜地の場合は、傾斜角度を選択します。（整地費、土盛費、擁壁工事費を含んだ工事費が計算されます。）</t>
    <rPh sb="1" eb="4">
      <t>ケイシャチ</t>
    </rPh>
    <rPh sb="5" eb="7">
      <t>バアイ</t>
    </rPh>
    <rPh sb="9" eb="11">
      <t>ケイシャ</t>
    </rPh>
    <rPh sb="11" eb="13">
      <t>カクド</t>
    </rPh>
    <rPh sb="14" eb="16">
      <t>センタク</t>
    </rPh>
    <rPh sb="21" eb="23">
      <t>セイチ</t>
    </rPh>
    <rPh sb="23" eb="24">
      <t>ヒ</t>
    </rPh>
    <rPh sb="25" eb="27">
      <t>ドモリ</t>
    </rPh>
    <rPh sb="27" eb="28">
      <t>ヒ</t>
    </rPh>
    <rPh sb="29" eb="31">
      <t>ヨウヘキ</t>
    </rPh>
    <rPh sb="31" eb="33">
      <t>コウジ</t>
    </rPh>
    <rPh sb="33" eb="34">
      <t>ヒ</t>
    </rPh>
    <rPh sb="35" eb="36">
      <t>フク</t>
    </rPh>
    <rPh sb="38" eb="41">
      <t>コウジヒ</t>
    </rPh>
    <rPh sb="42" eb="44">
      <t>ケイサン</t>
    </rPh>
    <phoneticPr fontId="27"/>
  </si>
  <si>
    <t>・報告書の日付の表示を、はい、いいえで、選択表示できます。</t>
    <rPh sb="1" eb="4">
      <t>ホウコクショ</t>
    </rPh>
    <rPh sb="5" eb="7">
      <t>ヒヅケ</t>
    </rPh>
    <rPh sb="8" eb="10">
      <t>ヒョウジ</t>
    </rPh>
    <rPh sb="20" eb="22">
      <t>センタク</t>
    </rPh>
    <rPh sb="22" eb="24">
      <t>ヒョウジ</t>
    </rPh>
    <phoneticPr fontId="27"/>
  </si>
  <si>
    <t>A</t>
    <phoneticPr fontId="27"/>
  </si>
  <si>
    <t>B</t>
    <phoneticPr fontId="27"/>
  </si>
  <si>
    <t>C</t>
    <phoneticPr fontId="27"/>
  </si>
  <si>
    <t>D</t>
    <phoneticPr fontId="27"/>
  </si>
  <si>
    <r>
      <t>　※注意
本ツールで求められる経済波及効果は、立地条件に関係なく埼玉県のどの土地でも一律の結果となる</t>
    </r>
    <r>
      <rPr>
        <b/>
        <sz val="9"/>
        <color theme="1"/>
        <rFont val="ＭＳ Ｐゴシック"/>
        <family val="3"/>
        <charset val="128"/>
        <scheme val="minor"/>
      </rPr>
      <t>参考値</t>
    </r>
    <r>
      <rPr>
        <sz val="9"/>
        <color theme="1"/>
        <rFont val="ＭＳ Ｐゴシック"/>
        <family val="2"/>
        <charset val="128"/>
        <scheme val="minor"/>
      </rPr>
      <t>です。
経済波及効果の基礎データとして必要な土地造成費・建築費等は、</t>
    </r>
    <r>
      <rPr>
        <b/>
        <sz val="9"/>
        <color theme="1"/>
        <rFont val="ＭＳ Ｐゴシック"/>
        <family val="3"/>
        <charset val="128"/>
        <scheme val="minor"/>
      </rPr>
      <t>現在公表されている公的統計データを組み合わせた平均値で計算</t>
    </r>
    <r>
      <rPr>
        <sz val="9"/>
        <color theme="1"/>
        <rFont val="ＭＳ Ｐゴシック"/>
        <family val="2"/>
        <charset val="128"/>
        <scheme val="minor"/>
      </rPr>
      <t>したものです。</t>
    </r>
    <rPh sb="5" eb="6">
      <t>ホン</t>
    </rPh>
    <rPh sb="23" eb="25">
      <t>リッチ</t>
    </rPh>
    <rPh sb="25" eb="27">
      <t>ジョウケン</t>
    </rPh>
    <rPh sb="28" eb="30">
      <t>カンケイ</t>
    </rPh>
    <rPh sb="32" eb="35">
      <t>サイタマケン</t>
    </rPh>
    <rPh sb="38" eb="40">
      <t>トチ</t>
    </rPh>
    <rPh sb="42" eb="44">
      <t>イチリツ</t>
    </rPh>
    <rPh sb="45" eb="47">
      <t>ケッカ</t>
    </rPh>
    <rPh sb="50" eb="52">
      <t>サンコウ</t>
    </rPh>
    <rPh sb="52" eb="53">
      <t>チ</t>
    </rPh>
    <rPh sb="57" eb="59">
      <t>ケイザイ</t>
    </rPh>
    <rPh sb="59" eb="61">
      <t>ハキュウ</t>
    </rPh>
    <rPh sb="61" eb="63">
      <t>コウカ</t>
    </rPh>
    <rPh sb="64" eb="66">
      <t>キソ</t>
    </rPh>
    <rPh sb="72" eb="74">
      <t>ヒツヨウ</t>
    </rPh>
    <rPh sb="75" eb="77">
      <t>トチ</t>
    </rPh>
    <rPh sb="77" eb="79">
      <t>ゾウセイ</t>
    </rPh>
    <rPh sb="79" eb="80">
      <t>ヒ</t>
    </rPh>
    <rPh sb="81" eb="84">
      <t>ケンチクヒ</t>
    </rPh>
    <rPh sb="84" eb="85">
      <t>トウ</t>
    </rPh>
    <rPh sb="87" eb="89">
      <t>ゲンザイ</t>
    </rPh>
    <rPh sb="89" eb="91">
      <t>コウヒョウ</t>
    </rPh>
    <rPh sb="96" eb="98">
      <t>コウテキ</t>
    </rPh>
    <rPh sb="98" eb="100">
      <t>トウケイ</t>
    </rPh>
    <rPh sb="104" eb="105">
      <t>ク</t>
    </rPh>
    <rPh sb="106" eb="107">
      <t>ア</t>
    </rPh>
    <rPh sb="110" eb="113">
      <t>ヘイキンチ</t>
    </rPh>
    <rPh sb="114" eb="116">
      <t>ケイサン</t>
    </rPh>
    <phoneticPr fontId="27"/>
  </si>
  <si>
    <t>　限られた統計データの中から導き出した数値であるため、改良の余地はあろうかと思いますが、経済波及効果の予測に役立てていただければ幸いに存じます。</t>
    <rPh sb="1" eb="2">
      <t>カギ</t>
    </rPh>
    <rPh sb="5" eb="7">
      <t>トウケイ</t>
    </rPh>
    <rPh sb="11" eb="12">
      <t>ナカ</t>
    </rPh>
    <rPh sb="14" eb="15">
      <t>ミチビ</t>
    </rPh>
    <rPh sb="16" eb="17">
      <t>ダ</t>
    </rPh>
    <rPh sb="19" eb="21">
      <t>スウチ</t>
    </rPh>
    <rPh sb="27" eb="29">
      <t>カイリョウ</t>
    </rPh>
    <rPh sb="30" eb="32">
      <t>ヨチ</t>
    </rPh>
    <rPh sb="38" eb="39">
      <t>オモ</t>
    </rPh>
    <rPh sb="44" eb="46">
      <t>ケイザイ</t>
    </rPh>
    <rPh sb="46" eb="48">
      <t>ハキュウ</t>
    </rPh>
    <rPh sb="48" eb="50">
      <t>コウカ</t>
    </rPh>
    <rPh sb="51" eb="53">
      <t>ヨソク</t>
    </rPh>
    <rPh sb="54" eb="56">
      <t>ヤクダ</t>
    </rPh>
    <rPh sb="64" eb="65">
      <t>サイワ</t>
    </rPh>
    <rPh sb="67" eb="68">
      <t>ゾン</t>
    </rPh>
    <phoneticPr fontId="27"/>
  </si>
  <si>
    <t>・経済波及効果の分析名を入力します。</t>
    <rPh sb="1" eb="3">
      <t>ケイザイ</t>
    </rPh>
    <rPh sb="3" eb="5">
      <t>ハキュウ</t>
    </rPh>
    <rPh sb="5" eb="7">
      <t>コウカ</t>
    </rPh>
    <rPh sb="8" eb="10">
      <t>ブンセキ</t>
    </rPh>
    <rPh sb="10" eb="11">
      <t>メイ</t>
    </rPh>
    <rPh sb="12" eb="14">
      <t>ニュウリョク</t>
    </rPh>
    <phoneticPr fontId="27"/>
  </si>
  <si>
    <t>２０部門</t>
    <rPh sb="2" eb="4">
      <t>ブモン</t>
    </rPh>
    <phoneticPr fontId="51"/>
  </si>
  <si>
    <t>⇒</t>
    <phoneticPr fontId="27"/>
  </si>
  <si>
    <t>※生産額は、規模に関係なく産業別に一律の数値となっているため、１事業所当たり従業者数を入力して調整してください。</t>
    <rPh sb="1" eb="4">
      <t>セイサンガク</t>
    </rPh>
    <rPh sb="6" eb="8">
      <t>キボ</t>
    </rPh>
    <rPh sb="9" eb="11">
      <t>カンケイ</t>
    </rPh>
    <rPh sb="13" eb="15">
      <t>サンギョウ</t>
    </rPh>
    <rPh sb="15" eb="16">
      <t>ベツ</t>
    </rPh>
    <rPh sb="17" eb="19">
      <t>イチリツ</t>
    </rPh>
    <rPh sb="20" eb="22">
      <t>スウチ</t>
    </rPh>
    <rPh sb="32" eb="35">
      <t>ジギョウショ</t>
    </rPh>
    <rPh sb="35" eb="36">
      <t>ア</t>
    </rPh>
    <rPh sb="38" eb="39">
      <t>ジュウ</t>
    </rPh>
    <rPh sb="39" eb="42">
      <t>ギョウシャスウ</t>
    </rPh>
    <rPh sb="43" eb="45">
      <t>ニュウリョク</t>
    </rPh>
    <rPh sb="47" eb="49">
      <t>チョウセイ</t>
    </rPh>
    <phoneticPr fontId="27"/>
  </si>
  <si>
    <t>a</t>
    <phoneticPr fontId="27"/>
  </si>
  <si>
    <t>b</t>
    <phoneticPr fontId="27"/>
  </si>
  <si>
    <t>平均</t>
    <rPh sb="0" eb="2">
      <t>ヘイキン</t>
    </rPh>
    <phoneticPr fontId="27"/>
  </si>
  <si>
    <t>1000円</t>
    <rPh sb="4" eb="5">
      <t>エン</t>
    </rPh>
    <phoneticPr fontId="66"/>
  </si>
  <si>
    <t>人</t>
    <rPh sb="0" eb="1">
      <t>ニン</t>
    </rPh>
    <phoneticPr fontId="66"/>
  </si>
  <si>
    <t>20部門</t>
    <rPh sb="2" eb="4">
      <t>ブモン</t>
    </rPh>
    <phoneticPr fontId="22"/>
  </si>
  <si>
    <t>生産者価格
自給率</t>
    <rPh sb="0" eb="3">
      <t>セイサンシャ</t>
    </rPh>
    <rPh sb="3" eb="5">
      <t>カカク</t>
    </rPh>
    <rPh sb="6" eb="9">
      <t>ジキュウリツ</t>
    </rPh>
    <phoneticPr fontId="66"/>
  </si>
  <si>
    <t>雇用者所得率</t>
    <rPh sb="0" eb="3">
      <t>コヨウシャ</t>
    </rPh>
    <rPh sb="3" eb="5">
      <t>ショトク</t>
    </rPh>
    <rPh sb="5" eb="6">
      <t>リツ</t>
    </rPh>
    <phoneticPr fontId="27" alignment="distributed"/>
  </si>
  <si>
    <t>営業余剰率</t>
    <rPh sb="0" eb="2">
      <t>エイギョウ</t>
    </rPh>
    <rPh sb="2" eb="4">
      <t>ヨジョウ</t>
    </rPh>
    <rPh sb="4" eb="5">
      <t>リツ</t>
    </rPh>
    <phoneticPr fontId="27" alignment="distributed"/>
  </si>
  <si>
    <t>家計消費支出
構成比</t>
    <rPh sb="0" eb="2">
      <t>カケイ</t>
    </rPh>
    <rPh sb="2" eb="4">
      <t>ショウヒ</t>
    </rPh>
    <rPh sb="4" eb="6">
      <t>シシュツ</t>
    </rPh>
    <rPh sb="7" eb="10">
      <t>コウセイヒ</t>
    </rPh>
    <phoneticPr fontId="66"/>
  </si>
  <si>
    <t>就業係数</t>
    <rPh sb="0" eb="2">
      <t>シュウギョウ</t>
    </rPh>
    <rPh sb="2" eb="4">
      <t>ケイスウ</t>
    </rPh>
    <phoneticPr fontId="66"/>
  </si>
  <si>
    <t>雇用係数</t>
    <rPh sb="0" eb="2">
      <t>コヨウ</t>
    </rPh>
    <rPh sb="2" eb="4">
      <t>ケイスウ</t>
    </rPh>
    <phoneticPr fontId="27" alignment="distributed"/>
  </si>
  <si>
    <t>逆行列係数</t>
    <rPh sb="0" eb="3">
      <t>ギャクギョウレツ</t>
    </rPh>
    <rPh sb="3" eb="5">
      <t>ケイスウ</t>
    </rPh>
    <phoneticPr fontId="66"/>
  </si>
  <si>
    <t>有給役員・雇用数</t>
    <rPh sb="0" eb="2">
      <t>ユウキュウ</t>
    </rPh>
    <rPh sb="2" eb="4">
      <t>ヤクイン</t>
    </rPh>
    <rPh sb="5" eb="7">
      <t>コヨウ</t>
    </rPh>
    <rPh sb="7" eb="8">
      <t>スウ</t>
    </rPh>
    <phoneticPr fontId="51"/>
  </si>
  <si>
    <t>農林漁業</t>
    <rPh sb="0" eb="2">
      <t>ノウリン</t>
    </rPh>
    <rPh sb="2" eb="4">
      <t>ギョギョウ</t>
    </rPh>
    <phoneticPr fontId="66"/>
  </si>
  <si>
    <t>鉱業</t>
    <rPh sb="0" eb="2">
      <t>コウギョウ</t>
    </rPh>
    <phoneticPr fontId="21"/>
  </si>
  <si>
    <t>製造業</t>
    <rPh sb="0" eb="3">
      <t>セイゾウギョウ</t>
    </rPh>
    <phoneticPr fontId="21"/>
  </si>
  <si>
    <t>建設　　　　　　　　</t>
  </si>
  <si>
    <t>商業　　　　　　　　</t>
  </si>
  <si>
    <t>金融・保険　　　　　</t>
  </si>
  <si>
    <t>不動産　　　　　　　</t>
  </si>
  <si>
    <t>運輸・郵便　　　</t>
    <rPh sb="3" eb="5">
      <t>ユウビン</t>
    </rPh>
    <phoneticPr fontId="67"/>
  </si>
  <si>
    <t>情報通信</t>
    <rPh sb="0" eb="2">
      <t>ジョウホウ</t>
    </rPh>
    <rPh sb="2" eb="4">
      <t>ツウシン</t>
    </rPh>
    <phoneticPr fontId="21"/>
  </si>
  <si>
    <t>公務　　　　　　　　</t>
  </si>
  <si>
    <t>教育・学習支援</t>
    <rPh sb="0" eb="2">
      <t>キョウイク</t>
    </rPh>
    <rPh sb="3" eb="5">
      <t>ガクシュウ</t>
    </rPh>
    <rPh sb="5" eb="7">
      <t>シエン</t>
    </rPh>
    <phoneticPr fontId="66"/>
  </si>
  <si>
    <t>医療・福祉</t>
    <rPh sb="0" eb="2">
      <t>イリョウ</t>
    </rPh>
    <rPh sb="3" eb="5">
      <t>フクシ</t>
    </rPh>
    <phoneticPr fontId="66"/>
  </si>
  <si>
    <t>宿泊業</t>
    <rPh sb="0" eb="2">
      <t>シュクハク</t>
    </rPh>
    <rPh sb="2" eb="3">
      <t>ギョウ</t>
    </rPh>
    <phoneticPr fontId="66"/>
  </si>
  <si>
    <t>飲食・サービス業</t>
    <rPh sb="0" eb="2">
      <t>インショク</t>
    </rPh>
    <rPh sb="7" eb="8">
      <t>ギョウ</t>
    </rPh>
    <phoneticPr fontId="66"/>
  </si>
  <si>
    <t>その他のサービス</t>
    <rPh sb="2" eb="3">
      <t>ホカ</t>
    </rPh>
    <phoneticPr fontId="66"/>
  </si>
  <si>
    <t>住宅賃貸料（帰属家賃）</t>
    <rPh sb="0" eb="2">
      <t>ジュウタク</t>
    </rPh>
    <rPh sb="2" eb="5">
      <t>チンタイリョウ</t>
    </rPh>
    <rPh sb="6" eb="8">
      <t>キゾク</t>
    </rPh>
    <rPh sb="8" eb="10">
      <t>ヤチン</t>
    </rPh>
    <phoneticPr fontId="66"/>
  </si>
  <si>
    <t>自家輸送</t>
    <rPh sb="0" eb="2">
      <t>ジカ</t>
    </rPh>
    <rPh sb="2" eb="4">
      <t>ユソウ</t>
    </rPh>
    <phoneticPr fontId="66"/>
  </si>
  <si>
    <t>事務用品</t>
    <rPh sb="0" eb="2">
      <t>ジム</t>
    </rPh>
    <rPh sb="2" eb="4">
      <t>ヨウヒン</t>
    </rPh>
    <phoneticPr fontId="21"/>
  </si>
  <si>
    <t>分類不明</t>
    <rPh sb="0" eb="2">
      <t>ブンルイ</t>
    </rPh>
    <rPh sb="2" eb="4">
      <t>フメイ</t>
    </rPh>
    <phoneticPr fontId="21"/>
  </si>
  <si>
    <t>固定資本</t>
    <rPh sb="0" eb="2">
      <t>コテイ</t>
    </rPh>
    <rPh sb="2" eb="4">
      <t>シホン</t>
    </rPh>
    <phoneticPr fontId="66"/>
  </si>
  <si>
    <t>第01表</t>
    <rPh sb="0" eb="1">
      <t>ダイ</t>
    </rPh>
    <rPh sb="3" eb="4">
      <t>ヒョウ</t>
    </rPh>
    <phoneticPr fontId="66"/>
  </si>
  <si>
    <t>第23表</t>
    <rPh sb="0" eb="1">
      <t>ダイ</t>
    </rPh>
    <rPh sb="3" eb="4">
      <t>ヒョウ</t>
    </rPh>
    <phoneticPr fontId="66"/>
  </si>
  <si>
    <t>土地造成費</t>
    <rPh sb="0" eb="2">
      <t>トチ</t>
    </rPh>
    <rPh sb="2" eb="4">
      <t>ゾウセイ</t>
    </rPh>
    <rPh sb="4" eb="5">
      <t>ヒ</t>
    </rPh>
    <phoneticPr fontId="66"/>
  </si>
  <si>
    <t>農林漁業</t>
    <rPh sb="0" eb="2">
      <t>ノウリン</t>
    </rPh>
    <rPh sb="2" eb="4">
      <t>ギョギョウ</t>
    </rPh>
    <phoneticPr fontId="27"/>
  </si>
  <si>
    <t>教育・学習支援</t>
    <rPh sb="0" eb="2">
      <t>キョウイク</t>
    </rPh>
    <rPh sb="3" eb="5">
      <t>ガクシュウ</t>
    </rPh>
    <rPh sb="5" eb="7">
      <t>シエン</t>
    </rPh>
    <phoneticPr fontId="27"/>
  </si>
  <si>
    <t>医療・福祉</t>
    <rPh sb="0" eb="2">
      <t>イリョウ</t>
    </rPh>
    <rPh sb="3" eb="5">
      <t>フクシ</t>
    </rPh>
    <phoneticPr fontId="27"/>
  </si>
  <si>
    <t>宿泊業</t>
    <rPh sb="0" eb="2">
      <t>シュクハク</t>
    </rPh>
    <rPh sb="2" eb="3">
      <t>ギョウ</t>
    </rPh>
    <phoneticPr fontId="27"/>
  </si>
  <si>
    <t>飲食・サービス業</t>
    <rPh sb="0" eb="2">
      <t>インショク</t>
    </rPh>
    <rPh sb="7" eb="8">
      <t>ギョウ</t>
    </rPh>
    <phoneticPr fontId="27"/>
  </si>
  <si>
    <t>その他のサービス</t>
    <rPh sb="2" eb="3">
      <t>ホカ</t>
    </rPh>
    <phoneticPr fontId="27"/>
  </si>
  <si>
    <t>住宅賃貸料（帰属家賃）</t>
    <rPh sb="0" eb="2">
      <t>ジュウタク</t>
    </rPh>
    <rPh sb="2" eb="5">
      <t>チンタイリョウ</t>
    </rPh>
    <rPh sb="6" eb="8">
      <t>キゾク</t>
    </rPh>
    <rPh sb="8" eb="10">
      <t>ヤチン</t>
    </rPh>
    <phoneticPr fontId="27"/>
  </si>
  <si>
    <t>自家輸送</t>
    <rPh sb="0" eb="2">
      <t>ジカ</t>
    </rPh>
    <rPh sb="2" eb="4">
      <t>ユソウ</t>
    </rPh>
    <phoneticPr fontId="27"/>
  </si>
  <si>
    <t>事務用品</t>
    <rPh sb="0" eb="2">
      <t>ジム</t>
    </rPh>
    <rPh sb="2" eb="4">
      <t>ヨウヒン</t>
    </rPh>
    <phoneticPr fontId="27"/>
  </si>
  <si>
    <t>分類不明</t>
    <rPh sb="0" eb="2">
      <t>ブンルイ</t>
    </rPh>
    <rPh sb="2" eb="4">
      <t>フメイ</t>
    </rPh>
    <phoneticPr fontId="27"/>
  </si>
  <si>
    <t>建築費に対する設備投資額の比</t>
    <rPh sb="0" eb="3">
      <t>ケンチクヒ</t>
    </rPh>
    <rPh sb="4" eb="5">
      <t>タイ</t>
    </rPh>
    <rPh sb="7" eb="9">
      <t>セツビ</t>
    </rPh>
    <rPh sb="9" eb="11">
      <t>トウシ</t>
    </rPh>
    <rPh sb="11" eb="12">
      <t>ガク</t>
    </rPh>
    <rPh sb="13" eb="14">
      <t>ヒ</t>
    </rPh>
    <phoneticPr fontId="66"/>
  </si>
  <si>
    <t>工事費目</t>
    <rPh sb="0" eb="2">
      <t>コウジ</t>
    </rPh>
    <rPh sb="2" eb="4">
      <t>ヒモク</t>
    </rPh>
    <phoneticPr fontId="66"/>
  </si>
  <si>
    <t>造成区分</t>
    <rPh sb="0" eb="2">
      <t>ゾウセイ</t>
    </rPh>
    <rPh sb="2" eb="4">
      <t>クブン</t>
    </rPh>
    <phoneticPr fontId="66"/>
  </si>
  <si>
    <t>金額</t>
    <rPh sb="0" eb="2">
      <t>キンガク</t>
    </rPh>
    <phoneticPr fontId="66"/>
  </si>
  <si>
    <t>20%未満</t>
    <rPh sb="3" eb="5">
      <t>ミマン</t>
    </rPh>
    <phoneticPr fontId="27"/>
  </si>
  <si>
    <t>20%以上</t>
    <rPh sb="3" eb="5">
      <t>イジョウ</t>
    </rPh>
    <phoneticPr fontId="27"/>
  </si>
  <si>
    <t>製造業</t>
    <rPh sb="0" eb="3">
      <t>セイゾウギョウ</t>
    </rPh>
    <phoneticPr fontId="1"/>
  </si>
  <si>
    <t>建設</t>
    <rPh sb="0" eb="2">
      <t>ケンセツ</t>
    </rPh>
    <phoneticPr fontId="1"/>
  </si>
  <si>
    <t>土盛費</t>
    <rPh sb="0" eb="2">
      <t>ドモ</t>
    </rPh>
    <rPh sb="2" eb="3">
      <t>ヒ</t>
    </rPh>
    <phoneticPr fontId="27"/>
  </si>
  <si>
    <t>電気・ガス・水道</t>
    <rPh sb="6" eb="8">
      <t>スイドウ</t>
    </rPh>
    <phoneticPr fontId="1"/>
  </si>
  <si>
    <t>土止費</t>
    <rPh sb="0" eb="1">
      <t>ツチ</t>
    </rPh>
    <rPh sb="1" eb="2">
      <t>トメ</t>
    </rPh>
    <rPh sb="2" eb="3">
      <t>ヒ</t>
    </rPh>
    <phoneticPr fontId="27"/>
  </si>
  <si>
    <t>商業</t>
    <rPh sb="0" eb="2">
      <t>ショウギョウ</t>
    </rPh>
    <phoneticPr fontId="1"/>
  </si>
  <si>
    <t>　３度超　５度以下</t>
    <rPh sb="2" eb="3">
      <t>ド</t>
    </rPh>
    <rPh sb="3" eb="4">
      <t>コ</t>
    </rPh>
    <rPh sb="6" eb="7">
      <t>ド</t>
    </rPh>
    <rPh sb="7" eb="9">
      <t>イカ</t>
    </rPh>
    <phoneticPr fontId="27"/>
  </si>
  <si>
    <t>金融・保険</t>
    <rPh sb="0" eb="2">
      <t>キンユウ</t>
    </rPh>
    <rPh sb="3" eb="5">
      <t>ホケン</t>
    </rPh>
    <phoneticPr fontId="1"/>
  </si>
  <si>
    <t>　５度超１０度以下</t>
    <rPh sb="2" eb="3">
      <t>ド</t>
    </rPh>
    <rPh sb="3" eb="4">
      <t>コ</t>
    </rPh>
    <rPh sb="6" eb="7">
      <t>ド</t>
    </rPh>
    <rPh sb="7" eb="9">
      <t>イカ</t>
    </rPh>
    <phoneticPr fontId="27"/>
  </si>
  <si>
    <t>不動産</t>
    <rPh sb="0" eb="3">
      <t>フドウサン</t>
    </rPh>
    <phoneticPr fontId="1"/>
  </si>
  <si>
    <t>１０度超１５度以下</t>
    <rPh sb="2" eb="3">
      <t>ド</t>
    </rPh>
    <rPh sb="3" eb="4">
      <t>コ</t>
    </rPh>
    <rPh sb="6" eb="7">
      <t>ド</t>
    </rPh>
    <rPh sb="7" eb="9">
      <t>イカ</t>
    </rPh>
    <phoneticPr fontId="27"/>
  </si>
  <si>
    <t>運輸・郵便</t>
    <rPh sb="0" eb="2">
      <t>ウンユ</t>
    </rPh>
    <rPh sb="3" eb="5">
      <t>ユウビン</t>
    </rPh>
    <phoneticPr fontId="1"/>
  </si>
  <si>
    <t>１５度超２０度以下</t>
    <rPh sb="2" eb="3">
      <t>ド</t>
    </rPh>
    <rPh sb="3" eb="4">
      <t>コ</t>
    </rPh>
    <rPh sb="6" eb="7">
      <t>ド</t>
    </rPh>
    <rPh sb="7" eb="9">
      <t>イカ</t>
    </rPh>
    <phoneticPr fontId="27"/>
  </si>
  <si>
    <t>情報通信</t>
    <rPh sb="0" eb="2">
      <t>ジョウホウ</t>
    </rPh>
    <rPh sb="2" eb="4">
      <t>ツウシン</t>
    </rPh>
    <phoneticPr fontId="1"/>
  </si>
  <si>
    <t>２０度超２５度以下</t>
    <rPh sb="2" eb="3">
      <t>ド</t>
    </rPh>
    <rPh sb="3" eb="4">
      <t>コ</t>
    </rPh>
    <rPh sb="6" eb="7">
      <t>ド</t>
    </rPh>
    <rPh sb="7" eb="9">
      <t>イカ</t>
    </rPh>
    <phoneticPr fontId="27"/>
  </si>
  <si>
    <t>公務</t>
    <rPh sb="0" eb="2">
      <t>コウム</t>
    </rPh>
    <phoneticPr fontId="1"/>
  </si>
  <si>
    <t>２５度超３０度以下</t>
    <rPh sb="2" eb="3">
      <t>ド</t>
    </rPh>
    <rPh sb="3" eb="4">
      <t>コ</t>
    </rPh>
    <rPh sb="6" eb="7">
      <t>ド</t>
    </rPh>
    <rPh sb="7" eb="9">
      <t>イカ</t>
    </rPh>
    <phoneticPr fontId="27"/>
  </si>
  <si>
    <t>自家輸送</t>
    <rPh sb="0" eb="2">
      <t>ジカ</t>
    </rPh>
    <rPh sb="2" eb="4">
      <t>ユソウ</t>
    </rPh>
    <phoneticPr fontId="1"/>
  </si>
  <si>
    <t>事務用品</t>
    <rPh sb="0" eb="2">
      <t>ジム</t>
    </rPh>
    <rPh sb="2" eb="4">
      <t>ヨウヒン</t>
    </rPh>
    <phoneticPr fontId="1"/>
  </si>
  <si>
    <t>分類不明</t>
    <rPh sb="0" eb="2">
      <t>ブンルイ</t>
    </rPh>
    <rPh sb="2" eb="4">
      <t>フメイ</t>
    </rPh>
    <phoneticPr fontId="1"/>
  </si>
  <si>
    <t>稼働前投資による波及効果上位１６部門</t>
    <rPh sb="0" eb="2">
      <t>カドウ</t>
    </rPh>
    <rPh sb="2" eb="3">
      <t>マエ</t>
    </rPh>
    <rPh sb="3" eb="5">
      <t>トウシ</t>
    </rPh>
    <rPh sb="8" eb="10">
      <t>ハキュウ</t>
    </rPh>
    <rPh sb="10" eb="12">
      <t>コウカ</t>
    </rPh>
    <rPh sb="12" eb="14">
      <t>ジョウイ</t>
    </rPh>
    <rPh sb="16" eb="18">
      <t>ブモン</t>
    </rPh>
    <phoneticPr fontId="27"/>
  </si>
  <si>
    <t>・稼働前投資による波及効果上位１６部門を表示し、グラフでも表示しています。</t>
    <rPh sb="20" eb="22">
      <t>ヒョウジ</t>
    </rPh>
    <rPh sb="29" eb="31">
      <t>ヒョウジ</t>
    </rPh>
    <phoneticPr fontId="27"/>
  </si>
  <si>
    <t>稼働後生産による波及効果上位１６部門</t>
    <rPh sb="0" eb="2">
      <t>カドウ</t>
    </rPh>
    <rPh sb="2" eb="3">
      <t>ゴ</t>
    </rPh>
    <rPh sb="3" eb="5">
      <t>セイサン</t>
    </rPh>
    <rPh sb="8" eb="10">
      <t>ハキュウ</t>
    </rPh>
    <rPh sb="10" eb="12">
      <t>コウカ</t>
    </rPh>
    <rPh sb="12" eb="14">
      <t>ジョウイ</t>
    </rPh>
    <rPh sb="16" eb="18">
      <t>ブモン</t>
    </rPh>
    <phoneticPr fontId="27"/>
  </si>
  <si>
    <t>・稼働後生産による波及効果上位１６部門を表示し、グラフでも表示しています。</t>
    <rPh sb="3" eb="4">
      <t>ゴ</t>
    </rPh>
    <rPh sb="4" eb="6">
      <t>セイサン</t>
    </rPh>
    <rPh sb="20" eb="22">
      <t>ヒョウジ</t>
    </rPh>
    <rPh sb="29" eb="31">
      <t>ヒョウジ</t>
    </rPh>
    <phoneticPr fontId="27"/>
  </si>
  <si>
    <t>建築費
÷床面積</t>
    <rPh sb="0" eb="3">
      <t>ケンチクヒ</t>
    </rPh>
    <rPh sb="5" eb="8">
      <t>ユカメンセキ</t>
    </rPh>
    <phoneticPr fontId="66"/>
  </si>
  <si>
    <t>はじめに</t>
    <phoneticPr fontId="27"/>
  </si>
  <si>
    <t>操作説明</t>
    <rPh sb="0" eb="2">
      <t>ソウサ</t>
    </rPh>
    <rPh sb="2" eb="4">
      <t>セツメイ</t>
    </rPh>
    <phoneticPr fontId="27"/>
  </si>
  <si>
    <t>　当分析ツールは、シート上段にあるリンクボタンをクリックし、必要なシートを表示して操作してください。</t>
    <rPh sb="1" eb="2">
      <t>トウ</t>
    </rPh>
    <rPh sb="2" eb="4">
      <t>ブンセキ</t>
    </rPh>
    <rPh sb="12" eb="14">
      <t>ジョウダン</t>
    </rPh>
    <rPh sb="30" eb="32">
      <t>ヒツヨウ</t>
    </rPh>
    <rPh sb="37" eb="39">
      <t>ヒョウジ</t>
    </rPh>
    <rPh sb="41" eb="43">
      <t>ソウサ</t>
    </rPh>
    <phoneticPr fontId="20"/>
  </si>
  <si>
    <t>入力</t>
    <rPh sb="0" eb="2">
      <t>ニュウリョク</t>
    </rPh>
    <phoneticPr fontId="66"/>
  </si>
  <si>
    <t>報告書</t>
    <rPh sb="0" eb="3">
      <t>ホウコクショ</t>
    </rPh>
    <phoneticPr fontId="66"/>
  </si>
  <si>
    <t>経済波及効果の計算の流れをフローチャート形式で表示しています。</t>
    <rPh sb="0" eb="2">
      <t>ケイザイ</t>
    </rPh>
    <rPh sb="2" eb="4">
      <t>ハキュウ</t>
    </rPh>
    <rPh sb="4" eb="6">
      <t>コウカ</t>
    </rPh>
    <rPh sb="7" eb="9">
      <t>ケイサン</t>
    </rPh>
    <rPh sb="10" eb="11">
      <t>ナガ</t>
    </rPh>
    <rPh sb="20" eb="22">
      <t>ケイシキ</t>
    </rPh>
    <rPh sb="23" eb="25">
      <t>ヒョウジ</t>
    </rPh>
    <phoneticPr fontId="20"/>
  </si>
  <si>
    <t>A4サイズで印刷することができます。</t>
    <rPh sb="6" eb="8">
      <t>インサツ</t>
    </rPh>
    <phoneticPr fontId="20"/>
  </si>
  <si>
    <t>造成波及</t>
    <rPh sb="0" eb="2">
      <t>ゾウセイ</t>
    </rPh>
    <rPh sb="2" eb="4">
      <t>ハキュウ</t>
    </rPh>
    <phoneticPr fontId="66"/>
  </si>
  <si>
    <t>土地造成に関する波及効果の計算過程を詳細に見ることができます。</t>
    <rPh sb="0" eb="2">
      <t>トチ</t>
    </rPh>
    <rPh sb="2" eb="4">
      <t>ゾウセイ</t>
    </rPh>
    <rPh sb="5" eb="6">
      <t>カン</t>
    </rPh>
    <rPh sb="8" eb="10">
      <t>ハキュウ</t>
    </rPh>
    <rPh sb="10" eb="12">
      <t>コウカ</t>
    </rPh>
    <rPh sb="13" eb="15">
      <t>ケイサン</t>
    </rPh>
    <rPh sb="15" eb="17">
      <t>カテイ</t>
    </rPh>
    <rPh sb="18" eb="20">
      <t>ショウサイ</t>
    </rPh>
    <rPh sb="21" eb="22">
      <t>ミ</t>
    </rPh>
    <phoneticPr fontId="20"/>
  </si>
  <si>
    <t>フローチャートと併用してみると分かりやすいです。</t>
    <rPh sb="8" eb="10">
      <t>ヘイヨウ</t>
    </rPh>
    <rPh sb="15" eb="16">
      <t>ワ</t>
    </rPh>
    <phoneticPr fontId="20"/>
  </si>
  <si>
    <t>建築波及</t>
    <rPh sb="0" eb="2">
      <t>ケンチク</t>
    </rPh>
    <rPh sb="2" eb="4">
      <t>ハキュウ</t>
    </rPh>
    <phoneticPr fontId="66"/>
  </si>
  <si>
    <t>工場建築に関する波及効果の計算過程を詳細に見ることができます。</t>
    <rPh sb="0" eb="2">
      <t>コウバ</t>
    </rPh>
    <rPh sb="2" eb="4">
      <t>ケンチク</t>
    </rPh>
    <rPh sb="5" eb="6">
      <t>カン</t>
    </rPh>
    <rPh sb="8" eb="10">
      <t>ハキュウ</t>
    </rPh>
    <rPh sb="10" eb="12">
      <t>コウカ</t>
    </rPh>
    <rPh sb="13" eb="15">
      <t>ケイサン</t>
    </rPh>
    <rPh sb="15" eb="17">
      <t>カテイ</t>
    </rPh>
    <rPh sb="18" eb="20">
      <t>ショウサイ</t>
    </rPh>
    <rPh sb="21" eb="22">
      <t>ミ</t>
    </rPh>
    <phoneticPr fontId="20"/>
  </si>
  <si>
    <t>設備波及</t>
    <rPh sb="0" eb="2">
      <t>セツビ</t>
    </rPh>
    <rPh sb="2" eb="4">
      <t>ハキュウ</t>
    </rPh>
    <phoneticPr fontId="66"/>
  </si>
  <si>
    <t>設備投資に関する波及効果の計算過程を詳細に見ることができます。</t>
    <rPh sb="0" eb="2">
      <t>セツビ</t>
    </rPh>
    <rPh sb="2" eb="4">
      <t>トウシ</t>
    </rPh>
    <rPh sb="5" eb="6">
      <t>カン</t>
    </rPh>
    <rPh sb="8" eb="10">
      <t>ハキュウ</t>
    </rPh>
    <rPh sb="10" eb="12">
      <t>コウカ</t>
    </rPh>
    <rPh sb="13" eb="15">
      <t>ケイサン</t>
    </rPh>
    <rPh sb="15" eb="17">
      <t>カテイ</t>
    </rPh>
    <rPh sb="18" eb="20">
      <t>ショウサイ</t>
    </rPh>
    <rPh sb="21" eb="22">
      <t>ミ</t>
    </rPh>
    <phoneticPr fontId="20"/>
  </si>
  <si>
    <t>生産波及</t>
    <rPh sb="0" eb="2">
      <t>セイサン</t>
    </rPh>
    <rPh sb="2" eb="4">
      <t>ハキュウ</t>
    </rPh>
    <phoneticPr fontId="66"/>
  </si>
  <si>
    <t>生産額に関する波及効果の計算過程を詳細に見ることができます。</t>
    <rPh sb="0" eb="3">
      <t>セイサンガク</t>
    </rPh>
    <rPh sb="4" eb="5">
      <t>カン</t>
    </rPh>
    <rPh sb="7" eb="9">
      <t>ハキュウ</t>
    </rPh>
    <rPh sb="9" eb="11">
      <t>コウカ</t>
    </rPh>
    <rPh sb="12" eb="14">
      <t>ケイサン</t>
    </rPh>
    <rPh sb="14" eb="16">
      <t>カテイ</t>
    </rPh>
    <rPh sb="17" eb="19">
      <t>ショウサイ</t>
    </rPh>
    <rPh sb="20" eb="21">
      <t>ミ</t>
    </rPh>
    <phoneticPr fontId="20"/>
  </si>
  <si>
    <t>DATA</t>
    <phoneticPr fontId="66"/>
  </si>
  <si>
    <t>報告書で波及効果の大きい順に並べ替えたりする予備的なシートです。</t>
    <rPh sb="0" eb="3">
      <t>ホウコクショ</t>
    </rPh>
    <rPh sb="4" eb="6">
      <t>ハキュウ</t>
    </rPh>
    <rPh sb="6" eb="8">
      <t>コウカ</t>
    </rPh>
    <rPh sb="9" eb="10">
      <t>オオ</t>
    </rPh>
    <rPh sb="12" eb="13">
      <t>ジュン</t>
    </rPh>
    <rPh sb="14" eb="15">
      <t>ナラ</t>
    </rPh>
    <rPh sb="16" eb="17">
      <t>カ</t>
    </rPh>
    <rPh sb="22" eb="25">
      <t>ヨビテキ</t>
    </rPh>
    <phoneticPr fontId="20"/>
  </si>
  <si>
    <t>係数</t>
    <rPh sb="0" eb="2">
      <t>ケイスウ</t>
    </rPh>
    <phoneticPr fontId="66"/>
  </si>
  <si>
    <t>埼玉県の波及効果を計算するに際しての基礎的なデータが保存されています。</t>
    <rPh sb="0" eb="2">
      <t>サイタマ</t>
    </rPh>
    <rPh sb="2" eb="3">
      <t>ケン</t>
    </rPh>
    <rPh sb="4" eb="6">
      <t>ハキュウ</t>
    </rPh>
    <rPh sb="6" eb="8">
      <t>コウカ</t>
    </rPh>
    <rPh sb="9" eb="11">
      <t>ケイサン</t>
    </rPh>
    <rPh sb="14" eb="15">
      <t>サイ</t>
    </rPh>
    <rPh sb="18" eb="21">
      <t>キソテキ</t>
    </rPh>
    <rPh sb="26" eb="28">
      <t>ホゾン</t>
    </rPh>
    <phoneticPr fontId="20"/>
  </si>
  <si>
    <t>毎年変更する係数が保存されています。</t>
    <rPh sb="0" eb="2">
      <t>マイトシ</t>
    </rPh>
    <rPh sb="2" eb="4">
      <t>ヘンコウ</t>
    </rPh>
    <rPh sb="6" eb="8">
      <t>ケイスウ</t>
    </rPh>
    <rPh sb="9" eb="11">
      <t>ホゾン</t>
    </rPh>
    <phoneticPr fontId="66"/>
  </si>
  <si>
    <t>固定資本マトリックスのデータが保存されています。</t>
    <rPh sb="0" eb="2">
      <t>コテイ</t>
    </rPh>
    <rPh sb="2" eb="4">
      <t>シホン</t>
    </rPh>
    <rPh sb="15" eb="17">
      <t>ホゾン</t>
    </rPh>
    <phoneticPr fontId="66"/>
  </si>
  <si>
    <t>留意事項</t>
    <rPh sb="0" eb="2">
      <t>リュウイ</t>
    </rPh>
    <rPh sb="2" eb="4">
      <t>ジコウ</t>
    </rPh>
    <phoneticPr fontId="20"/>
  </si>
  <si>
    <t>・１事業所当たり生産額と１事業所当たり従業者数、有給役員・雇用数は、上記統計データから求めました。</t>
    <rPh sb="2" eb="5">
      <t>ジギョウショ</t>
    </rPh>
    <rPh sb="5" eb="6">
      <t>ア</t>
    </rPh>
    <rPh sb="8" eb="11">
      <t>セイサンガク</t>
    </rPh>
    <rPh sb="13" eb="16">
      <t>ジギョウショ</t>
    </rPh>
    <rPh sb="16" eb="17">
      <t>ア</t>
    </rPh>
    <rPh sb="19" eb="20">
      <t>ジュウ</t>
    </rPh>
    <rPh sb="20" eb="23">
      <t>ギョウシャスウ</t>
    </rPh>
    <rPh sb="24" eb="26">
      <t>ユウキュウ</t>
    </rPh>
    <rPh sb="26" eb="28">
      <t>ヤクイン</t>
    </rPh>
    <rPh sb="29" eb="31">
      <t>コヨウ</t>
    </rPh>
    <rPh sb="31" eb="32">
      <t>スウ</t>
    </rPh>
    <rPh sb="34" eb="36">
      <t>ジョウキ</t>
    </rPh>
    <rPh sb="36" eb="38">
      <t>トウケイ</t>
    </rPh>
    <rPh sb="43" eb="44">
      <t>モト</t>
    </rPh>
    <phoneticPr fontId="27"/>
  </si>
  <si>
    <t>・投資額が２倍になれば、原材料（中間投入額）も人件費も２倍になり、波及効果も２倍の結果となります。</t>
    <rPh sb="1" eb="3">
      <t>トウシ</t>
    </rPh>
    <rPh sb="3" eb="4">
      <t>ガク</t>
    </rPh>
    <rPh sb="6" eb="7">
      <t>バイ</t>
    </rPh>
    <rPh sb="12" eb="15">
      <t>ゲンザイリョウ</t>
    </rPh>
    <rPh sb="16" eb="18">
      <t>チュウカン</t>
    </rPh>
    <rPh sb="18" eb="20">
      <t>トウニュウ</t>
    </rPh>
    <rPh sb="20" eb="21">
      <t>ガク</t>
    </rPh>
    <rPh sb="23" eb="26">
      <t>ジンケンヒ</t>
    </rPh>
    <rPh sb="28" eb="29">
      <t>バイ</t>
    </rPh>
    <rPh sb="33" eb="35">
      <t>ハキュウ</t>
    </rPh>
    <rPh sb="35" eb="37">
      <t>コウカ</t>
    </rPh>
    <rPh sb="39" eb="40">
      <t>バイ</t>
    </rPh>
    <rPh sb="41" eb="43">
      <t>ケッカ</t>
    </rPh>
    <phoneticPr fontId="20"/>
  </si>
  <si>
    <t>・現実には、生産の誘発を在庫によって賄った場合、波及の中断が起りますが、当分析では、この様な波及の中断は想定していません。</t>
    <rPh sb="1" eb="3">
      <t>ゲンジツ</t>
    </rPh>
    <rPh sb="6" eb="8">
      <t>セイサン</t>
    </rPh>
    <rPh sb="9" eb="11">
      <t>ユウハツ</t>
    </rPh>
    <rPh sb="12" eb="14">
      <t>ザイコ</t>
    </rPh>
    <rPh sb="18" eb="19">
      <t>マカナ</t>
    </rPh>
    <rPh sb="21" eb="23">
      <t>バアイ</t>
    </rPh>
    <rPh sb="24" eb="26">
      <t>ハキュウ</t>
    </rPh>
    <rPh sb="27" eb="29">
      <t>チュウダン</t>
    </rPh>
    <rPh sb="30" eb="31">
      <t>オコ</t>
    </rPh>
    <rPh sb="36" eb="37">
      <t>トウ</t>
    </rPh>
    <rPh sb="37" eb="39">
      <t>ブンセキ</t>
    </rPh>
    <rPh sb="44" eb="45">
      <t>ヨウ</t>
    </rPh>
    <rPh sb="46" eb="48">
      <t>ハキュウ</t>
    </rPh>
    <rPh sb="49" eb="51">
      <t>チュウダン</t>
    </rPh>
    <rPh sb="52" eb="54">
      <t>ソウテイ</t>
    </rPh>
    <phoneticPr fontId="20"/>
  </si>
  <si>
    <t>・雇用者誘発人数、労働誘発人数は、計算上導き出された人数で、実際は残業や生産設備の増強等で調整されるため、必ずしも雇用増に繋がるわけではありません。</t>
    <rPh sb="1" eb="4">
      <t>コヨウシャ</t>
    </rPh>
    <rPh sb="4" eb="6">
      <t>ユウハツ</t>
    </rPh>
    <rPh sb="6" eb="8">
      <t>ニンズウ</t>
    </rPh>
    <rPh sb="9" eb="11">
      <t>ロウドウ</t>
    </rPh>
    <rPh sb="11" eb="13">
      <t>ユウハツ</t>
    </rPh>
    <rPh sb="13" eb="15">
      <t>ニンズ</t>
    </rPh>
    <rPh sb="17" eb="20">
      <t>ケイサンジョウ</t>
    </rPh>
    <rPh sb="20" eb="21">
      <t>ミチビ</t>
    </rPh>
    <rPh sb="22" eb="23">
      <t>ダ</t>
    </rPh>
    <rPh sb="26" eb="28">
      <t>ニンズウ</t>
    </rPh>
    <rPh sb="30" eb="32">
      <t>ジッサイ</t>
    </rPh>
    <rPh sb="33" eb="35">
      <t>ザンギョウ</t>
    </rPh>
    <rPh sb="36" eb="38">
      <t>セイサン</t>
    </rPh>
    <rPh sb="38" eb="40">
      <t>セツビ</t>
    </rPh>
    <rPh sb="41" eb="43">
      <t>ゾウキョウ</t>
    </rPh>
    <rPh sb="43" eb="44">
      <t>トウ</t>
    </rPh>
    <rPh sb="45" eb="47">
      <t>チョウセイ</t>
    </rPh>
    <rPh sb="53" eb="54">
      <t>カナラ</t>
    </rPh>
    <rPh sb="57" eb="59">
      <t>コヨウ</t>
    </rPh>
    <rPh sb="59" eb="60">
      <t>ゾウ</t>
    </rPh>
    <rPh sb="61" eb="62">
      <t>ツナ</t>
    </rPh>
    <phoneticPr fontId="20"/>
  </si>
  <si>
    <t>・工場稼働前（土地造成費、工場建築費、設備投資額）の波及効果は、一時的なものであり、継続的に雇用が誘発される訳ではありません。</t>
    <rPh sb="3" eb="5">
      <t>カドウ</t>
    </rPh>
    <rPh sb="5" eb="6">
      <t>マエ</t>
    </rPh>
    <rPh sb="7" eb="9">
      <t>トチ</t>
    </rPh>
    <rPh sb="9" eb="11">
      <t>ゾウセイ</t>
    </rPh>
    <rPh sb="11" eb="12">
      <t>ヒ</t>
    </rPh>
    <rPh sb="13" eb="15">
      <t>コウバ</t>
    </rPh>
    <rPh sb="15" eb="18">
      <t>ケンチクヒ</t>
    </rPh>
    <rPh sb="19" eb="21">
      <t>セツビ</t>
    </rPh>
    <rPh sb="21" eb="23">
      <t>トウシ</t>
    </rPh>
    <rPh sb="23" eb="24">
      <t>ガク</t>
    </rPh>
    <rPh sb="26" eb="28">
      <t>ハキュウ</t>
    </rPh>
    <rPh sb="28" eb="30">
      <t>コウカ</t>
    </rPh>
    <rPh sb="32" eb="35">
      <t>イチジテキ</t>
    </rPh>
    <rPh sb="42" eb="44">
      <t>ケイゾク</t>
    </rPh>
    <rPh sb="44" eb="45">
      <t>テキ</t>
    </rPh>
    <rPh sb="46" eb="48">
      <t>コヨウ</t>
    </rPh>
    <rPh sb="49" eb="51">
      <t>ユウハツ</t>
    </rPh>
    <rPh sb="54" eb="55">
      <t>ワケ</t>
    </rPh>
    <phoneticPr fontId="20"/>
  </si>
  <si>
    <t>・工場稼働後（生産額）の波及効果は、生産が続けられる限り、継続的に雇用も誘発されます。</t>
    <rPh sb="18" eb="20">
      <t>セイサン</t>
    </rPh>
    <rPh sb="21" eb="22">
      <t>ツヅ</t>
    </rPh>
    <rPh sb="26" eb="27">
      <t>カギ</t>
    </rPh>
    <phoneticPr fontId="20"/>
  </si>
  <si>
    <t>・経済波及効果が達成されるまでの時間は、不明です。</t>
    <rPh sb="1" eb="3">
      <t>ケイザイ</t>
    </rPh>
    <rPh sb="3" eb="5">
      <t>ハキュウ</t>
    </rPh>
    <rPh sb="5" eb="7">
      <t>コウカ</t>
    </rPh>
    <rPh sb="8" eb="10">
      <t>タッセイ</t>
    </rPh>
    <rPh sb="16" eb="18">
      <t>ジカン</t>
    </rPh>
    <rPh sb="20" eb="22">
      <t>フメイ</t>
    </rPh>
    <phoneticPr fontId="20"/>
  </si>
  <si>
    <t>・第１次間接効果は、直接効果によって調達された原材料による波及効果です。</t>
    <rPh sb="1" eb="2">
      <t>ダイ</t>
    </rPh>
    <rPh sb="3" eb="4">
      <t>ジ</t>
    </rPh>
    <rPh sb="4" eb="6">
      <t>カンセツ</t>
    </rPh>
    <rPh sb="6" eb="8">
      <t>コウカ</t>
    </rPh>
    <rPh sb="10" eb="12">
      <t>チョクセツ</t>
    </rPh>
    <rPh sb="12" eb="14">
      <t>コウカ</t>
    </rPh>
    <rPh sb="18" eb="20">
      <t>チョウタツ</t>
    </rPh>
    <rPh sb="23" eb="26">
      <t>ゲンザイリョウ</t>
    </rPh>
    <rPh sb="29" eb="31">
      <t>ハキュウ</t>
    </rPh>
    <rPh sb="31" eb="33">
      <t>コウカ</t>
    </rPh>
    <phoneticPr fontId="20"/>
  </si>
  <si>
    <t>・第２次間接効果は、投資額及び第１次間接効果によってもたらされた営業余剰、雇用者所得から県外在住者の所得を除き、貯蓄分を除いた額を消費増加額として求めた波及効果です。</t>
    <rPh sb="1" eb="2">
      <t>ダイ</t>
    </rPh>
    <rPh sb="3" eb="4">
      <t>ジ</t>
    </rPh>
    <rPh sb="4" eb="6">
      <t>カンセツ</t>
    </rPh>
    <rPh sb="6" eb="8">
      <t>コウカ</t>
    </rPh>
    <rPh sb="10" eb="12">
      <t>トウシ</t>
    </rPh>
    <rPh sb="12" eb="13">
      <t>ガク</t>
    </rPh>
    <rPh sb="13" eb="14">
      <t>オヨ</t>
    </rPh>
    <rPh sb="15" eb="16">
      <t>ダイ</t>
    </rPh>
    <rPh sb="17" eb="18">
      <t>ジ</t>
    </rPh>
    <rPh sb="18" eb="20">
      <t>カンセツ</t>
    </rPh>
    <rPh sb="20" eb="22">
      <t>コウカ</t>
    </rPh>
    <rPh sb="32" eb="34">
      <t>エイギョウ</t>
    </rPh>
    <rPh sb="34" eb="36">
      <t>ヨジョウ</t>
    </rPh>
    <rPh sb="37" eb="40">
      <t>コヨウシャ</t>
    </rPh>
    <rPh sb="40" eb="42">
      <t>ショトク</t>
    </rPh>
    <rPh sb="44" eb="46">
      <t>ケンガイ</t>
    </rPh>
    <rPh sb="46" eb="49">
      <t>ザイジュウシャ</t>
    </rPh>
    <rPh sb="50" eb="52">
      <t>ショトク</t>
    </rPh>
    <rPh sb="53" eb="54">
      <t>ノゾ</t>
    </rPh>
    <rPh sb="56" eb="58">
      <t>チョチク</t>
    </rPh>
    <rPh sb="58" eb="59">
      <t>ブン</t>
    </rPh>
    <rPh sb="60" eb="61">
      <t>ノゾ</t>
    </rPh>
    <rPh sb="63" eb="64">
      <t>ガク</t>
    </rPh>
    <rPh sb="65" eb="67">
      <t>ショウヒ</t>
    </rPh>
    <rPh sb="67" eb="69">
      <t>ゾウカ</t>
    </rPh>
    <rPh sb="69" eb="70">
      <t>ガク</t>
    </rPh>
    <rPh sb="73" eb="74">
      <t>モト</t>
    </rPh>
    <rPh sb="76" eb="78">
      <t>ハキュウ</t>
    </rPh>
    <rPh sb="78" eb="80">
      <t>コウカ</t>
    </rPh>
    <phoneticPr fontId="20"/>
  </si>
  <si>
    <t>・報告書では、住宅賃貸料（帰属家賃）、自家輸送、事務用品、分類不明は、波及効果の大きい順に並び替える対象から外し、その他に含めています。</t>
    <rPh sb="1" eb="4">
      <t>ホウコクショ</t>
    </rPh>
    <rPh sb="7" eb="9">
      <t>ジュウタク</t>
    </rPh>
    <rPh sb="9" eb="12">
      <t>チンタイリョウ</t>
    </rPh>
    <rPh sb="13" eb="15">
      <t>キゾク</t>
    </rPh>
    <rPh sb="15" eb="17">
      <t>ヤチン</t>
    </rPh>
    <rPh sb="19" eb="21">
      <t>ジカ</t>
    </rPh>
    <rPh sb="21" eb="23">
      <t>ユソウ</t>
    </rPh>
    <rPh sb="24" eb="26">
      <t>ジム</t>
    </rPh>
    <rPh sb="26" eb="28">
      <t>ヨウヒン</t>
    </rPh>
    <rPh sb="29" eb="31">
      <t>ブンルイ</t>
    </rPh>
    <rPh sb="31" eb="33">
      <t>フメイ</t>
    </rPh>
    <rPh sb="35" eb="37">
      <t>ハキュウ</t>
    </rPh>
    <rPh sb="37" eb="39">
      <t>コウカ</t>
    </rPh>
    <rPh sb="40" eb="41">
      <t>オオ</t>
    </rPh>
    <rPh sb="43" eb="44">
      <t>ジュン</t>
    </rPh>
    <rPh sb="45" eb="46">
      <t>ナラ</t>
    </rPh>
    <rPh sb="47" eb="48">
      <t>カ</t>
    </rPh>
    <rPh sb="50" eb="52">
      <t>タイショウ</t>
    </rPh>
    <rPh sb="54" eb="55">
      <t>ハズ</t>
    </rPh>
    <rPh sb="59" eb="60">
      <t>ホカ</t>
    </rPh>
    <rPh sb="61" eb="62">
      <t>フク</t>
    </rPh>
    <phoneticPr fontId="66"/>
  </si>
  <si>
    <t>積算根拠</t>
    <rPh sb="0" eb="2">
      <t>セキサン</t>
    </rPh>
    <rPh sb="2" eb="4">
      <t>コンキョ</t>
    </rPh>
    <phoneticPr fontId="20"/>
  </si>
  <si>
    <t>お願い</t>
    <rPh sb="1" eb="2">
      <t>ネガ</t>
    </rPh>
    <phoneticPr fontId="20"/>
  </si>
  <si>
    <t>・不明な点については、お気軽にお問い合わせください。計算結果のチェックもいたします（繁忙期には多少お時間をいただく場合があります）。</t>
    <rPh sb="1" eb="3">
      <t>フメイ</t>
    </rPh>
    <rPh sb="4" eb="5">
      <t>テン</t>
    </rPh>
    <rPh sb="12" eb="14">
      <t>キガル</t>
    </rPh>
    <rPh sb="16" eb="17">
      <t>ト</t>
    </rPh>
    <rPh sb="18" eb="19">
      <t>ア</t>
    </rPh>
    <rPh sb="26" eb="28">
      <t>ケイサン</t>
    </rPh>
    <rPh sb="28" eb="30">
      <t>ケッカ</t>
    </rPh>
    <rPh sb="42" eb="44">
      <t>ハンボウ</t>
    </rPh>
    <rPh sb="44" eb="45">
      <t>キ</t>
    </rPh>
    <rPh sb="47" eb="49">
      <t>タショウ</t>
    </rPh>
    <rPh sb="50" eb="52">
      <t>ジカン</t>
    </rPh>
    <rPh sb="57" eb="59">
      <t>バアイ</t>
    </rPh>
    <phoneticPr fontId="20"/>
  </si>
  <si>
    <t>　また、この分析ツールを用いた結果をマスコミ、論文、インターネット等に公表または行政等で活用された場合は、お手数ですが、下記まで御連絡いただければ幸いです。</t>
    <rPh sb="6" eb="8">
      <t>ブンセキ</t>
    </rPh>
    <rPh sb="12" eb="13">
      <t>モチ</t>
    </rPh>
    <rPh sb="15" eb="17">
      <t>ケッカ</t>
    </rPh>
    <rPh sb="23" eb="25">
      <t>ロンブン</t>
    </rPh>
    <rPh sb="33" eb="34">
      <t>トウ</t>
    </rPh>
    <rPh sb="35" eb="37">
      <t>コウヒョウ</t>
    </rPh>
    <rPh sb="40" eb="43">
      <t>ギョウセイトウ</t>
    </rPh>
    <rPh sb="44" eb="46">
      <t>カツヨウ</t>
    </rPh>
    <rPh sb="49" eb="51">
      <t>バアイ</t>
    </rPh>
    <rPh sb="54" eb="56">
      <t>テスウ</t>
    </rPh>
    <rPh sb="60" eb="62">
      <t>カキ</t>
    </rPh>
    <rPh sb="64" eb="65">
      <t>ゴ</t>
    </rPh>
    <rPh sb="65" eb="67">
      <t>レンラク</t>
    </rPh>
    <rPh sb="73" eb="74">
      <t>サイワ</t>
    </rPh>
    <phoneticPr fontId="20"/>
  </si>
  <si>
    <t>お問い合わせ</t>
    <rPh sb="1" eb="2">
      <t>ト</t>
    </rPh>
    <rPh sb="3" eb="4">
      <t>ア</t>
    </rPh>
    <phoneticPr fontId="20"/>
  </si>
  <si>
    <t>当分析ツールに関するお問い合わせは、下記のところにお願いします。</t>
    <rPh sb="0" eb="1">
      <t>トウ</t>
    </rPh>
    <rPh sb="1" eb="3">
      <t>ブンセキ</t>
    </rPh>
    <rPh sb="7" eb="8">
      <t>カン</t>
    </rPh>
    <rPh sb="11" eb="12">
      <t>ト</t>
    </rPh>
    <rPh sb="13" eb="14">
      <t>ア</t>
    </rPh>
    <rPh sb="18" eb="20">
      <t>カキ</t>
    </rPh>
    <rPh sb="26" eb="27">
      <t>ネガ</t>
    </rPh>
    <phoneticPr fontId="20"/>
  </si>
  <si>
    <t>埼玉県総務部統計課経済分析担当</t>
    <rPh sb="0" eb="3">
      <t>サイタマケン</t>
    </rPh>
    <rPh sb="3" eb="5">
      <t>ソウム</t>
    </rPh>
    <rPh sb="5" eb="6">
      <t>ブ</t>
    </rPh>
    <rPh sb="6" eb="8">
      <t>トウケイ</t>
    </rPh>
    <rPh sb="8" eb="9">
      <t>カ</t>
    </rPh>
    <rPh sb="9" eb="11">
      <t>ケイザイ</t>
    </rPh>
    <rPh sb="11" eb="13">
      <t>ブンセキ</t>
    </rPh>
    <rPh sb="13" eb="15">
      <t>タントウ</t>
    </rPh>
    <phoneticPr fontId="20"/>
  </si>
  <si>
    <t>a2300-15@pref.saitama.lg.jp</t>
    <phoneticPr fontId="20"/>
  </si>
  <si>
    <t>☎</t>
    <phoneticPr fontId="20"/>
  </si>
  <si>
    <t>048-830-2327</t>
    <phoneticPr fontId="20"/>
  </si>
  <si>
    <t>埼玉県産業連関表に関する資料は、こちらのURLよりダウンロードできます。</t>
    <rPh sb="0" eb="3">
      <t>サイタマケン</t>
    </rPh>
    <rPh sb="3" eb="5">
      <t>サンギョウ</t>
    </rPh>
    <rPh sb="5" eb="7">
      <t>レンカン</t>
    </rPh>
    <rPh sb="7" eb="8">
      <t>ヒョウ</t>
    </rPh>
    <rPh sb="9" eb="10">
      <t>カン</t>
    </rPh>
    <rPh sb="12" eb="14">
      <t>シリョウ</t>
    </rPh>
    <phoneticPr fontId="20"/>
  </si>
  <si>
    <t>http://www.pref.saitama.lg.jp/a0206/a152/</t>
    <phoneticPr fontId="20"/>
  </si>
  <si>
    <t>企業立地に係る経済波及効果シミュレーションツール　操作説明</t>
    <rPh sb="0" eb="2">
      <t>キギョウ</t>
    </rPh>
    <rPh sb="2" eb="4">
      <t>リッチ</t>
    </rPh>
    <rPh sb="5" eb="6">
      <t>カカワ</t>
    </rPh>
    <rPh sb="7" eb="9">
      <t>ケイザイ</t>
    </rPh>
    <rPh sb="9" eb="11">
      <t>ハキュウ</t>
    </rPh>
    <rPh sb="11" eb="13">
      <t>コウカ</t>
    </rPh>
    <rPh sb="25" eb="27">
      <t>ソウサ</t>
    </rPh>
    <rPh sb="27" eb="29">
      <t>セツメイ</t>
    </rPh>
    <phoneticPr fontId="20"/>
  </si>
  <si>
    <t>業種</t>
    <rPh sb="0" eb="2">
      <t>ギョウシュ</t>
    </rPh>
    <phoneticPr fontId="27"/>
  </si>
  <si>
    <t>面積</t>
    <rPh sb="0" eb="2">
      <t>メンセキ</t>
    </rPh>
    <phoneticPr fontId="27"/>
  </si>
  <si>
    <t>運輸</t>
    <rPh sb="0" eb="2">
      <t>ウンユ</t>
    </rPh>
    <phoneticPr fontId="27"/>
  </si>
  <si>
    <t>運輸以外</t>
    <rPh sb="0" eb="2">
      <t>ウンユ</t>
    </rPh>
    <rPh sb="2" eb="4">
      <t>イガイ</t>
    </rPh>
    <phoneticPr fontId="27"/>
  </si>
  <si>
    <t>敷地面積の大中小</t>
    <rPh sb="0" eb="2">
      <t>シキチ</t>
    </rPh>
    <rPh sb="2" eb="4">
      <t>メンセキ</t>
    </rPh>
    <rPh sb="5" eb="8">
      <t>ダイチュウショウ</t>
    </rPh>
    <phoneticPr fontId="27"/>
  </si>
  <si>
    <t>大中小判定</t>
    <rPh sb="0" eb="3">
      <t>ダイチュウショウ</t>
    </rPh>
    <rPh sb="3" eb="5">
      <t>ハンテイ</t>
    </rPh>
    <phoneticPr fontId="27"/>
  </si>
  <si>
    <t>ダブルデフレーション調整項</t>
    <rPh sb="10" eb="12">
      <t>チョウセイ</t>
    </rPh>
    <rPh sb="12" eb="13">
      <t>コウ</t>
    </rPh>
    <phoneticPr fontId="27"/>
  </si>
  <si>
    <t>農林漁業</t>
    <rPh sb="0" eb="2">
      <t>ノウリン</t>
    </rPh>
    <rPh sb="2" eb="4">
      <t>ギョギョウ</t>
    </rPh>
    <phoneticPr fontId="51"/>
  </si>
  <si>
    <t>設備投資額</t>
    <rPh sb="0" eb="2">
      <t>セツビ</t>
    </rPh>
    <rPh sb="2" eb="4">
      <t>トウシ</t>
    </rPh>
    <rPh sb="4" eb="5">
      <t>ガク</t>
    </rPh>
    <phoneticPr fontId="20"/>
  </si>
  <si>
    <t>造成費
直接効果</t>
    <rPh sb="0" eb="2">
      <t>ゾウセイ</t>
    </rPh>
    <rPh sb="2" eb="3">
      <t>ヒ</t>
    </rPh>
    <rPh sb="4" eb="6">
      <t>チョクセツ</t>
    </rPh>
    <rPh sb="6" eb="8">
      <t>コウカ</t>
    </rPh>
    <phoneticPr fontId="20"/>
  </si>
  <si>
    <t>建築費
直接効果</t>
    <rPh sb="0" eb="3">
      <t>ケンチクヒ</t>
    </rPh>
    <rPh sb="4" eb="6">
      <t>チョクセツ</t>
    </rPh>
    <rPh sb="6" eb="8">
      <t>コウカ</t>
    </rPh>
    <phoneticPr fontId="20"/>
  </si>
  <si>
    <t>県内産
直接効果</t>
    <rPh sb="0" eb="2">
      <t>ケンナイ</t>
    </rPh>
    <rPh sb="2" eb="3">
      <t>サン</t>
    </rPh>
    <rPh sb="4" eb="6">
      <t>チョクセツ</t>
    </rPh>
    <rPh sb="6" eb="8">
      <t>コウカ</t>
    </rPh>
    <phoneticPr fontId="20"/>
  </si>
  <si>
    <t>flow</t>
    <phoneticPr fontId="66"/>
  </si>
  <si>
    <t>稼働前投資波及</t>
    <rPh sb="0" eb="2">
      <t>カドウ</t>
    </rPh>
    <rPh sb="2" eb="3">
      <t>マエ</t>
    </rPh>
    <rPh sb="3" eb="5">
      <t>トウシ</t>
    </rPh>
    <rPh sb="5" eb="7">
      <t>ハキュウ</t>
    </rPh>
    <phoneticPr fontId="20"/>
  </si>
  <si>
    <t>稼働後生産波及</t>
    <rPh sb="0" eb="2">
      <t>カドウ</t>
    </rPh>
    <rPh sb="2" eb="3">
      <t>ゴ</t>
    </rPh>
    <rPh sb="3" eb="5">
      <t>セイサン</t>
    </rPh>
    <rPh sb="5" eb="7">
      <t>ハキュウ</t>
    </rPh>
    <phoneticPr fontId="27"/>
  </si>
  <si>
    <t>計　　</t>
    <phoneticPr fontId="27"/>
  </si>
  <si>
    <t>計</t>
    <rPh sb="0" eb="1">
      <t>ケイ</t>
    </rPh>
    <phoneticPr fontId="27"/>
  </si>
  <si>
    <t>稼働前投資による波及効果上位１６部門</t>
    <rPh sb="0" eb="2">
      <t>カドウ</t>
    </rPh>
    <rPh sb="2" eb="3">
      <t>マエ</t>
    </rPh>
    <rPh sb="3" eb="5">
      <t>トウシ</t>
    </rPh>
    <rPh sb="8" eb="10">
      <t>ハキュウ</t>
    </rPh>
    <rPh sb="10" eb="12">
      <t>コウカ</t>
    </rPh>
    <rPh sb="12" eb="14">
      <t>ジョウイ</t>
    </rPh>
    <rPh sb="16" eb="18">
      <t>ブモン</t>
    </rPh>
    <phoneticPr fontId="20"/>
  </si>
  <si>
    <t>稼働後生産における波及効果上位１６部門</t>
    <rPh sb="0" eb="2">
      <t>カドウ</t>
    </rPh>
    <rPh sb="2" eb="3">
      <t>ゴ</t>
    </rPh>
    <rPh sb="3" eb="5">
      <t>セイサン</t>
    </rPh>
    <rPh sb="9" eb="11">
      <t>ハキュウ</t>
    </rPh>
    <rPh sb="11" eb="13">
      <t>コウカ</t>
    </rPh>
    <rPh sb="13" eb="15">
      <t>ジョウイ</t>
    </rPh>
    <rPh sb="17" eb="19">
      <t>ブモン</t>
    </rPh>
    <phoneticPr fontId="20"/>
  </si>
  <si>
    <t>物価調整（直接効果）</t>
    <rPh sb="0" eb="2">
      <t>ブッカ</t>
    </rPh>
    <rPh sb="2" eb="4">
      <t>チョウセイ</t>
    </rPh>
    <rPh sb="5" eb="7">
      <t>チョクセツ</t>
    </rPh>
    <rPh sb="7" eb="9">
      <t>コウカ</t>
    </rPh>
    <phoneticPr fontId="20"/>
  </si>
  <si>
    <t>直接効果・第１次間接効果</t>
    <rPh sb="0" eb="2">
      <t>チョクセツ</t>
    </rPh>
    <rPh sb="2" eb="4">
      <t>コウカ</t>
    </rPh>
    <rPh sb="5" eb="6">
      <t>ダイ</t>
    </rPh>
    <rPh sb="7" eb="8">
      <t>ジ</t>
    </rPh>
    <rPh sb="8" eb="10">
      <t>カンセツ</t>
    </rPh>
    <rPh sb="10" eb="12">
      <t>コウカ</t>
    </rPh>
    <phoneticPr fontId="20"/>
  </si>
  <si>
    <t>　　　　設備投資額（県内産）</t>
    <rPh sb="4" eb="6">
      <t>セツビ</t>
    </rPh>
    <rPh sb="6" eb="8">
      <t>トウシ</t>
    </rPh>
    <rPh sb="8" eb="9">
      <t>ガク</t>
    </rPh>
    <rPh sb="10" eb="12">
      <t>ケンナイ</t>
    </rPh>
    <rPh sb="12" eb="13">
      <t>サン</t>
    </rPh>
    <phoneticPr fontId="20"/>
  </si>
  <si>
    <t>　　　　　＋ 第１次間接効果</t>
    <rPh sb="7" eb="8">
      <t>ダイ</t>
    </rPh>
    <rPh sb="9" eb="10">
      <t>ジ</t>
    </rPh>
    <rPh sb="10" eb="12">
      <t>カンセツ</t>
    </rPh>
    <rPh sb="12" eb="14">
      <t>コウカ</t>
    </rPh>
    <phoneticPr fontId="20"/>
  </si>
  <si>
    <t>　　　　　＋第１次間接効果</t>
    <rPh sb="6" eb="7">
      <t>ダイ</t>
    </rPh>
    <rPh sb="8" eb="9">
      <t>ジ</t>
    </rPh>
    <rPh sb="9" eb="11">
      <t>カンセツ</t>
    </rPh>
    <rPh sb="11" eb="13">
      <t>コウカ</t>
    </rPh>
    <phoneticPr fontId="20"/>
  </si>
  <si>
    <t>　　　　　　＋第１次間接効果</t>
    <rPh sb="7" eb="8">
      <t>ダイ</t>
    </rPh>
    <rPh sb="9" eb="10">
      <t>ジ</t>
    </rPh>
    <rPh sb="10" eb="12">
      <t>カンセツ</t>
    </rPh>
    <rPh sb="12" eb="14">
      <t>コウカ</t>
    </rPh>
    <phoneticPr fontId="20"/>
  </si>
  <si>
    <t>　　　　 ＋第１次間接効果</t>
    <rPh sb="6" eb="7">
      <t>ダイ</t>
    </rPh>
    <rPh sb="8" eb="9">
      <t>ジ</t>
    </rPh>
    <rPh sb="9" eb="11">
      <t>カンセツ</t>
    </rPh>
    <rPh sb="11" eb="13">
      <t>コウカ</t>
    </rPh>
    <phoneticPr fontId="20"/>
  </si>
  <si>
    <t>　　　　　＋第２次間接効果</t>
    <rPh sb="6" eb="7">
      <t>ダイ</t>
    </rPh>
    <rPh sb="8" eb="9">
      <t>ジ</t>
    </rPh>
    <rPh sb="9" eb="11">
      <t>カンセツ</t>
    </rPh>
    <rPh sb="11" eb="13">
      <t>コウカ</t>
    </rPh>
    <phoneticPr fontId="20"/>
  </si>
  <si>
    <t>　　　　　　＋第２次間接効果</t>
    <rPh sb="7" eb="8">
      <t>ダイ</t>
    </rPh>
    <rPh sb="9" eb="10">
      <t>ジ</t>
    </rPh>
    <rPh sb="10" eb="12">
      <t>カンセツ</t>
    </rPh>
    <rPh sb="12" eb="14">
      <t>コウカ</t>
    </rPh>
    <phoneticPr fontId="20"/>
  </si>
  <si>
    <t>　　　　 ＋第２次間接効果</t>
    <rPh sb="6" eb="7">
      <t>ダイ</t>
    </rPh>
    <rPh sb="8" eb="9">
      <t>ジ</t>
    </rPh>
    <rPh sb="9" eb="11">
      <t>カンセツ</t>
    </rPh>
    <rPh sb="11" eb="13">
      <t>コウカ</t>
    </rPh>
    <phoneticPr fontId="20"/>
  </si>
  <si>
    <t>　　　　　　総合効果÷土地造成費</t>
    <rPh sb="6" eb="8">
      <t>ソウゴウ</t>
    </rPh>
    <rPh sb="8" eb="10">
      <t>コウカ</t>
    </rPh>
    <rPh sb="11" eb="13">
      <t>トチ</t>
    </rPh>
    <rPh sb="13" eb="15">
      <t>ゾウセイ</t>
    </rPh>
    <rPh sb="15" eb="16">
      <t>ヒ</t>
    </rPh>
    <phoneticPr fontId="20"/>
  </si>
  <si>
    <t>　　　　　総合効果÷生産額</t>
    <rPh sb="5" eb="7">
      <t>ソウゴウ</t>
    </rPh>
    <rPh sb="7" eb="9">
      <t>コウカ</t>
    </rPh>
    <rPh sb="10" eb="13">
      <t>セイサンガク</t>
    </rPh>
    <phoneticPr fontId="20"/>
  </si>
  <si>
    <t>生産誘発倍率</t>
    <rPh sb="0" eb="2">
      <t>セイサン</t>
    </rPh>
    <rPh sb="2" eb="4">
      <t>ユウハツ</t>
    </rPh>
    <rPh sb="4" eb="6">
      <t>バイリツ</t>
    </rPh>
    <phoneticPr fontId="20"/>
  </si>
  <si>
    <t>）</t>
    <phoneticPr fontId="20"/>
  </si>
  <si>
    <t>留意事項をお読みください。</t>
    <rPh sb="0" eb="2">
      <t>リュウイ</t>
    </rPh>
    <rPh sb="2" eb="4">
      <t>ジコウ</t>
    </rPh>
    <rPh sb="6" eb="7">
      <t>ヨ</t>
    </rPh>
    <phoneticPr fontId="20"/>
  </si>
  <si>
    <t>・公務については、固定資本マトリックスから公共事業の部門を取り除いて、計算しています。</t>
    <rPh sb="1" eb="3">
      <t>コウム</t>
    </rPh>
    <rPh sb="9" eb="11">
      <t>コテイ</t>
    </rPh>
    <rPh sb="11" eb="13">
      <t>シホン</t>
    </rPh>
    <rPh sb="21" eb="23">
      <t>コウキョウ</t>
    </rPh>
    <rPh sb="23" eb="25">
      <t>ジギョウ</t>
    </rPh>
    <rPh sb="26" eb="28">
      <t>ブモン</t>
    </rPh>
    <rPh sb="29" eb="30">
      <t>ト</t>
    </rPh>
    <rPh sb="31" eb="32">
      <t>ノゾ</t>
    </rPh>
    <rPh sb="35" eb="37">
      <t>ケイサン</t>
    </rPh>
    <phoneticPr fontId="27"/>
  </si>
  <si>
    <t>○○工場立地による経済波及効果</t>
    <rPh sb="2" eb="4">
      <t>コウジョウ</t>
    </rPh>
    <rPh sb="4" eb="6">
      <t>リッチ</t>
    </rPh>
    <phoneticPr fontId="27"/>
  </si>
  <si>
    <t>※</t>
    <phoneticPr fontId="27"/>
  </si>
  <si>
    <t>当分析ツールの作成に当たっては、埼玉大学経済学部 李潔教授から有益な助言をいただきました。</t>
    <rPh sb="0" eb="1">
      <t>トウ</t>
    </rPh>
    <rPh sb="1" eb="3">
      <t>ブンセキ</t>
    </rPh>
    <rPh sb="7" eb="9">
      <t>サクセイ</t>
    </rPh>
    <rPh sb="10" eb="11">
      <t>ア</t>
    </rPh>
    <rPh sb="16" eb="18">
      <t>サイタマ</t>
    </rPh>
    <rPh sb="18" eb="20">
      <t>ダイガク</t>
    </rPh>
    <rPh sb="20" eb="22">
      <t>ケイザイ</t>
    </rPh>
    <rPh sb="22" eb="24">
      <t>ガクブ</t>
    </rPh>
    <rPh sb="25" eb="26">
      <t>リ</t>
    </rPh>
    <rPh sb="26" eb="27">
      <t>ケツ</t>
    </rPh>
    <rPh sb="27" eb="29">
      <t>キョウジュ</t>
    </rPh>
    <rPh sb="31" eb="33">
      <t>ユウエキ</t>
    </rPh>
    <rPh sb="34" eb="36">
      <t>ジョゲン</t>
    </rPh>
    <phoneticPr fontId="27"/>
  </si>
  <si>
    <t>〒330-9301　埼玉県さいたま市浦和区高砂３丁目１５番１号</t>
    <phoneticPr fontId="20"/>
  </si>
  <si>
    <t>農林漁業</t>
    <rPh sb="0" eb="2">
      <t>ノウリン</t>
    </rPh>
    <rPh sb="2" eb="4">
      <t>ギョギョウ</t>
    </rPh>
    <phoneticPr fontId="3"/>
  </si>
  <si>
    <t>鉱業</t>
    <rPh sb="0" eb="2">
      <t>コウギョウ</t>
    </rPh>
    <phoneticPr fontId="6"/>
  </si>
  <si>
    <t>製造業</t>
    <rPh sb="0" eb="3">
      <t>セイゾウギョウ</t>
    </rPh>
    <phoneticPr fontId="6"/>
  </si>
  <si>
    <t>情報通信</t>
    <rPh sb="0" eb="2">
      <t>ジョウホウ</t>
    </rPh>
    <rPh sb="2" eb="4">
      <t>ツウシン</t>
    </rPh>
    <phoneticPr fontId="6"/>
  </si>
  <si>
    <t>自家輸送</t>
    <rPh sb="0" eb="2">
      <t>ジカ</t>
    </rPh>
    <rPh sb="2" eb="4">
      <t>ユソウ</t>
    </rPh>
    <phoneticPr fontId="3"/>
  </si>
  <si>
    <t>事務用品</t>
    <rPh sb="0" eb="2">
      <t>ジム</t>
    </rPh>
    <rPh sb="2" eb="4">
      <t>ヨウヒン</t>
    </rPh>
    <phoneticPr fontId="6"/>
  </si>
  <si>
    <t>分類不明</t>
    <rPh sb="0" eb="2">
      <t>ブンルイ</t>
    </rPh>
    <rPh sb="2" eb="4">
      <t>フメイ</t>
    </rPh>
    <phoneticPr fontId="6"/>
  </si>
  <si>
    <t>電気・ガス・水道</t>
    <rPh sb="1" eb="2">
      <t>キ</t>
    </rPh>
    <rPh sb="6" eb="8">
      <t>スイドウ</t>
    </rPh>
    <phoneticPr fontId="67"/>
  </si>
  <si>
    <t>電気・ガス・水道</t>
    <rPh sb="1" eb="2">
      <t>キ</t>
    </rPh>
    <rPh sb="6" eb="8">
      <t>スイドウ</t>
    </rPh>
    <phoneticPr fontId="10"/>
  </si>
  <si>
    <t>埼玉県</t>
    <rPh sb="0" eb="3">
      <t>サイタマケン</t>
    </rPh>
    <phoneticPr fontId="3"/>
  </si>
  <si>
    <t>県民所得係数</t>
    <rPh sb="0" eb="2">
      <t>ケンミン</t>
    </rPh>
    <rPh sb="2" eb="4">
      <t>ショトク</t>
    </rPh>
    <rPh sb="4" eb="6">
      <t>ケイスウ</t>
    </rPh>
    <phoneticPr fontId="3"/>
  </si>
  <si>
    <t>消費転換係数</t>
    <rPh sb="0" eb="2">
      <t>ショウヒ</t>
    </rPh>
    <rPh sb="2" eb="4">
      <t>テンカン</t>
    </rPh>
    <rPh sb="4" eb="6">
      <t>ケイスウ</t>
    </rPh>
    <phoneticPr fontId="3"/>
  </si>
  <si>
    <t>　建設部門分析用係数</t>
    <rPh sb="1" eb="3">
      <t>ケンセツ</t>
    </rPh>
    <rPh sb="3" eb="5">
      <t>ブモン</t>
    </rPh>
    <rPh sb="5" eb="8">
      <t>ブンセキヨウ</t>
    </rPh>
    <rPh sb="8" eb="10">
      <t>ケイスウ</t>
    </rPh>
    <phoneticPr fontId="66"/>
  </si>
  <si>
    <t>　固定資本マトリックス（建設部門を除く）</t>
    <rPh sb="1" eb="3">
      <t>コテイ</t>
    </rPh>
    <rPh sb="3" eb="5">
      <t>シホン</t>
    </rPh>
    <rPh sb="12" eb="14">
      <t>ケンセツ</t>
    </rPh>
    <rPh sb="14" eb="16">
      <t>ブモン</t>
    </rPh>
    <rPh sb="17" eb="18">
      <t>ノゾ</t>
    </rPh>
    <phoneticPr fontId="66"/>
  </si>
  <si>
    <t>埼玉県</t>
    <rPh sb="0" eb="3">
      <t>サイタマケン</t>
    </rPh>
    <phoneticPr fontId="66"/>
  </si>
  <si>
    <t>土 地 造 成</t>
  </si>
  <si>
    <t>非住宅建築</t>
  </si>
  <si>
    <t>デフレータ</t>
    <phoneticPr fontId="66"/>
  </si>
  <si>
    <t>中間投入率</t>
    <rPh sb="0" eb="2">
      <t>チュウカン</t>
    </rPh>
    <rPh sb="2" eb="4">
      <t>トウニュウ</t>
    </rPh>
    <rPh sb="4" eb="5">
      <t>リツ</t>
    </rPh>
    <phoneticPr fontId="66"/>
  </si>
  <si>
    <t>円／㎡</t>
    <rPh sb="0" eb="1">
      <t>エン</t>
    </rPh>
    <phoneticPr fontId="66"/>
  </si>
  <si>
    <t>物価調整等で、毎年、二重線で囲まれた係数(シミュレーション)を更新します。</t>
    <rPh sb="0" eb="2">
      <t>ブッカ</t>
    </rPh>
    <rPh sb="2" eb="4">
      <t>チョウセイ</t>
    </rPh>
    <rPh sb="4" eb="5">
      <t>トウ</t>
    </rPh>
    <rPh sb="7" eb="9">
      <t>マイトシ</t>
    </rPh>
    <rPh sb="10" eb="13">
      <t>ニジュウセン</t>
    </rPh>
    <rPh sb="14" eb="15">
      <t>カコ</t>
    </rPh>
    <rPh sb="18" eb="20">
      <t>ケイスウ</t>
    </rPh>
    <rPh sb="31" eb="33">
      <t>コウシン</t>
    </rPh>
    <phoneticPr fontId="20"/>
  </si>
  <si>
    <t>農林漁業</t>
    <rPh sb="0" eb="2">
      <t>ノウリン</t>
    </rPh>
    <rPh sb="2" eb="4">
      <t>ギョギョウ</t>
    </rPh>
    <phoneticPr fontId="6"/>
  </si>
  <si>
    <t>家計外消費支出（行）</t>
    <rPh sb="0" eb="2">
      <t>カケイ</t>
    </rPh>
    <rPh sb="2" eb="3">
      <t>ガイ</t>
    </rPh>
    <rPh sb="3" eb="5">
      <t>ショウヒ</t>
    </rPh>
    <rPh sb="5" eb="7">
      <t>シシュツ</t>
    </rPh>
    <rPh sb="8" eb="9">
      <t>ギョウ</t>
    </rPh>
    <phoneticPr fontId="13"/>
  </si>
  <si>
    <t>雇用者所得</t>
    <rPh sb="0" eb="3">
      <t>コヨウシャ</t>
    </rPh>
    <rPh sb="3" eb="5">
      <t>ショトク</t>
    </rPh>
    <phoneticPr fontId="13"/>
  </si>
  <si>
    <t>営業余剰</t>
    <rPh sb="0" eb="2">
      <t>エイギョウ</t>
    </rPh>
    <rPh sb="2" eb="4">
      <t>ヨジョウ</t>
    </rPh>
    <phoneticPr fontId="13"/>
  </si>
  <si>
    <t>資本減耗引当</t>
    <rPh sb="0" eb="2">
      <t>シホン</t>
    </rPh>
    <rPh sb="2" eb="4">
      <t>ゲンモウ</t>
    </rPh>
    <rPh sb="4" eb="6">
      <t>ヒキアテ</t>
    </rPh>
    <phoneticPr fontId="13"/>
  </si>
  <si>
    <t>間接税（除関税・輸入品商品税）</t>
    <rPh sb="0" eb="3">
      <t>カンセツゼイ</t>
    </rPh>
    <rPh sb="4" eb="5">
      <t>ノゾ</t>
    </rPh>
    <rPh sb="5" eb="7">
      <t>カンゼイ</t>
    </rPh>
    <rPh sb="8" eb="10">
      <t>ユニュウ</t>
    </rPh>
    <rPh sb="10" eb="11">
      <t>ヒン</t>
    </rPh>
    <rPh sb="11" eb="13">
      <t>ショウヒン</t>
    </rPh>
    <rPh sb="13" eb="14">
      <t>ゼイ</t>
    </rPh>
    <phoneticPr fontId="13"/>
  </si>
  <si>
    <t>（控除）経常補助金</t>
    <rPh sb="1" eb="3">
      <t>コウジョ</t>
    </rPh>
    <rPh sb="4" eb="6">
      <t>ケイジョウ</t>
    </rPh>
    <rPh sb="6" eb="9">
      <t>ホジョキン</t>
    </rPh>
    <phoneticPr fontId="13"/>
  </si>
  <si>
    <t>ダブルデフレーション調整項</t>
    <rPh sb="10" eb="12">
      <t>チョウセイ</t>
    </rPh>
    <rPh sb="12" eb="13">
      <t>コウ</t>
    </rPh>
    <phoneticPr fontId="3"/>
  </si>
  <si>
    <t>粗付加価値部門計</t>
    <rPh sb="0" eb="1">
      <t>ソ</t>
    </rPh>
    <rPh sb="1" eb="3">
      <t>フカ</t>
    </rPh>
    <rPh sb="3" eb="5">
      <t>カチ</t>
    </rPh>
    <rPh sb="5" eb="7">
      <t>ブモン</t>
    </rPh>
    <rPh sb="7" eb="8">
      <t>ケイ</t>
    </rPh>
    <phoneticPr fontId="13"/>
  </si>
  <si>
    <t>国内生産額</t>
    <rPh sb="0" eb="1">
      <t>クニ</t>
    </rPh>
    <rPh sb="2" eb="5">
      <t>セイサンガク</t>
    </rPh>
    <phoneticPr fontId="13"/>
  </si>
  <si>
    <t>雇用誘発人数
(うち直接効果)</t>
    <rPh sb="0" eb="2">
      <t>コヨウ</t>
    </rPh>
    <rPh sb="2" eb="4">
      <t>ユウハツ</t>
    </rPh>
    <rPh sb="4" eb="6">
      <t>ニンズウ</t>
    </rPh>
    <rPh sb="10" eb="12">
      <t>チョクセツ</t>
    </rPh>
    <rPh sb="12" eb="14">
      <t>コウカ</t>
    </rPh>
    <phoneticPr fontId="20"/>
  </si>
  <si>
    <t>●埼玉県産業連関表（2020年表）　20部門</t>
    <rPh sb="1" eb="4">
      <t>サイタマケン</t>
    </rPh>
    <rPh sb="4" eb="6">
      <t>サンギョウ</t>
    </rPh>
    <rPh sb="6" eb="8">
      <t>レンカン</t>
    </rPh>
    <rPh sb="8" eb="9">
      <t>ヒョウ</t>
    </rPh>
    <rPh sb="14" eb="15">
      <t>ネン</t>
    </rPh>
    <rPh sb="15" eb="16">
      <t>ヒョウ</t>
    </rPh>
    <rPh sb="20" eb="22">
      <t>ブモン</t>
    </rPh>
    <phoneticPr fontId="20"/>
  </si>
  <si>
    <r>
      <t>国税庁の</t>
    </r>
    <r>
      <rPr>
        <sz val="10"/>
        <color rgb="FFFF0000"/>
        <rFont val="游ゴシック Medium"/>
        <family val="3"/>
        <charset val="128"/>
      </rPr>
      <t>「宅地造成費の金額表」</t>
    </r>
    <r>
      <rPr>
        <sz val="10"/>
        <color theme="1"/>
        <rFont val="游ゴシック Medium"/>
        <family val="3"/>
        <charset val="128"/>
      </rPr>
      <t>から、以下の積算根拠で推計しています。</t>
    </r>
    <rPh sb="0" eb="3">
      <t>コクゼイチョウ</t>
    </rPh>
    <rPh sb="5" eb="7">
      <t>タクチ</t>
    </rPh>
    <rPh sb="7" eb="9">
      <t>ゾウセイ</t>
    </rPh>
    <rPh sb="9" eb="10">
      <t>ヒ</t>
    </rPh>
    <rPh sb="11" eb="13">
      <t>キンガク</t>
    </rPh>
    <rPh sb="13" eb="14">
      <t>ヒョウ</t>
    </rPh>
    <rPh sb="18" eb="20">
      <t>イカ</t>
    </rPh>
    <rPh sb="21" eb="23">
      <t>セキサン</t>
    </rPh>
    <rPh sb="23" eb="25">
      <t>コンキョ</t>
    </rPh>
    <rPh sb="26" eb="28">
      <t>スイケイ</t>
    </rPh>
    <phoneticPr fontId="27"/>
  </si>
  <si>
    <r>
      <t>国土交通省の</t>
    </r>
    <r>
      <rPr>
        <sz val="10"/>
        <color rgb="FFFF0000"/>
        <rFont val="游ゴシック Medium"/>
        <family val="3"/>
        <charset val="128"/>
      </rPr>
      <t>「建築着工統計調査」</t>
    </r>
    <r>
      <rPr>
        <sz val="10"/>
        <color theme="1"/>
        <rFont val="游ゴシック Medium"/>
        <family val="3"/>
        <charset val="128"/>
      </rPr>
      <t>の第23表</t>
    </r>
    <r>
      <rPr>
        <sz val="10"/>
        <color rgb="FFFF0000"/>
        <rFont val="游ゴシック Medium"/>
        <family val="3"/>
        <charset val="128"/>
      </rPr>
      <t>「着工建築物：用途別（大分類）、構造別、敷地利用率別（新築工事）」</t>
    </r>
    <r>
      <rPr>
        <sz val="10"/>
        <color theme="1"/>
        <rFont val="游ゴシック Medium"/>
        <family val="3"/>
        <charset val="128"/>
      </rPr>
      <t>から、以下の積算根拠で推計しています。</t>
    </r>
    <rPh sb="0" eb="2">
      <t>コクド</t>
    </rPh>
    <rPh sb="2" eb="5">
      <t>コウツウショウ</t>
    </rPh>
    <rPh sb="7" eb="9">
      <t>ケンチク</t>
    </rPh>
    <rPh sb="9" eb="11">
      <t>チャッコウ</t>
    </rPh>
    <rPh sb="11" eb="13">
      <t>トウケイ</t>
    </rPh>
    <rPh sb="13" eb="15">
      <t>チョウサ</t>
    </rPh>
    <rPh sb="17" eb="18">
      <t>ダイ</t>
    </rPh>
    <rPh sb="20" eb="21">
      <t>ヒョウ</t>
    </rPh>
    <rPh sb="57" eb="59">
      <t>イカ</t>
    </rPh>
    <rPh sb="60" eb="62">
      <t>セキサン</t>
    </rPh>
    <rPh sb="62" eb="64">
      <t>コンキョ</t>
    </rPh>
    <rPh sb="65" eb="67">
      <t>スイケイ</t>
    </rPh>
    <phoneticPr fontId="27"/>
  </si>
  <si>
    <r>
      <t>国土交通省の</t>
    </r>
    <r>
      <rPr>
        <sz val="10"/>
        <color rgb="FFFF0000"/>
        <rFont val="游ゴシック Medium"/>
        <family val="3"/>
        <charset val="128"/>
      </rPr>
      <t>「建築着工統計調査」</t>
    </r>
    <r>
      <rPr>
        <sz val="10"/>
        <color theme="1"/>
        <rFont val="游ゴシック Medium"/>
        <family val="3"/>
        <charset val="128"/>
      </rPr>
      <t>の第1表</t>
    </r>
    <r>
      <rPr>
        <sz val="10"/>
        <color rgb="FFFF0000"/>
        <rFont val="游ゴシック Medium"/>
        <family val="3"/>
        <charset val="128"/>
      </rPr>
      <t>「着工建築物:用途別、建築主別（建築物の数、床面積の合計、工事費予定額）」</t>
    </r>
    <r>
      <rPr>
        <sz val="10"/>
        <color theme="1"/>
        <rFont val="游ゴシック Medium"/>
        <family val="3"/>
        <charset val="128"/>
      </rPr>
      <t>から、㎡当たり工事費予定額を産業ごとに求め、延床面積に乗じて、建築費としました。</t>
    </r>
    <rPh sb="0" eb="2">
      <t>コクド</t>
    </rPh>
    <rPh sb="2" eb="5">
      <t>コウツウショウ</t>
    </rPh>
    <rPh sb="7" eb="9">
      <t>ケンチク</t>
    </rPh>
    <rPh sb="9" eb="11">
      <t>チャッコウ</t>
    </rPh>
    <rPh sb="11" eb="13">
      <t>トウケイ</t>
    </rPh>
    <rPh sb="13" eb="15">
      <t>チョウサ</t>
    </rPh>
    <rPh sb="17" eb="18">
      <t>ダイ</t>
    </rPh>
    <rPh sb="19" eb="20">
      <t>ヒョウ</t>
    </rPh>
    <rPh sb="61" eb="62">
      <t>ア</t>
    </rPh>
    <rPh sb="64" eb="67">
      <t>コウジヒ</t>
    </rPh>
    <rPh sb="67" eb="69">
      <t>ヨテイ</t>
    </rPh>
    <rPh sb="69" eb="70">
      <t>ガク</t>
    </rPh>
    <rPh sb="71" eb="73">
      <t>サンギョウ</t>
    </rPh>
    <rPh sb="76" eb="77">
      <t>モト</t>
    </rPh>
    <rPh sb="79" eb="80">
      <t>ノ</t>
    </rPh>
    <rPh sb="80" eb="83">
      <t>ユカメンセキ</t>
    </rPh>
    <rPh sb="84" eb="85">
      <t>ジョウ</t>
    </rPh>
    <rPh sb="88" eb="91">
      <t>ケンチクヒ</t>
    </rPh>
    <phoneticPr fontId="27"/>
  </si>
  <si>
    <r>
      <t>総務省の産業連関表の</t>
    </r>
    <r>
      <rPr>
        <sz val="10"/>
        <color rgb="FFFF0000"/>
        <rFont val="游ゴシック Medium"/>
        <family val="3"/>
        <charset val="128"/>
      </rPr>
      <t>「固定資本マトリックス」</t>
    </r>
    <r>
      <rPr>
        <sz val="10"/>
        <color theme="1"/>
        <rFont val="游ゴシック Medium"/>
        <family val="3"/>
        <charset val="128"/>
      </rPr>
      <t>から建築費に対する設備投資額の比を求め、建築費に比を掛けることによって、設備投資額を計算しました。</t>
    </r>
    <rPh sb="0" eb="3">
      <t>ソウムショウ</t>
    </rPh>
    <rPh sb="4" eb="6">
      <t>サンギョウ</t>
    </rPh>
    <rPh sb="6" eb="8">
      <t>レンカン</t>
    </rPh>
    <rPh sb="8" eb="9">
      <t>ヒョウ</t>
    </rPh>
    <rPh sb="11" eb="13">
      <t>コテイ</t>
    </rPh>
    <rPh sb="13" eb="15">
      <t>シホン</t>
    </rPh>
    <rPh sb="24" eb="27">
      <t>ケンチクヒ</t>
    </rPh>
    <rPh sb="28" eb="29">
      <t>タイ</t>
    </rPh>
    <rPh sb="31" eb="33">
      <t>セツビ</t>
    </rPh>
    <rPh sb="33" eb="35">
      <t>トウシ</t>
    </rPh>
    <rPh sb="35" eb="36">
      <t>ガク</t>
    </rPh>
    <rPh sb="37" eb="38">
      <t>ヒ</t>
    </rPh>
    <rPh sb="39" eb="40">
      <t>モト</t>
    </rPh>
    <rPh sb="42" eb="45">
      <t>ケンチクヒ</t>
    </rPh>
    <rPh sb="46" eb="47">
      <t>ヒ</t>
    </rPh>
    <rPh sb="48" eb="49">
      <t>カ</t>
    </rPh>
    <rPh sb="58" eb="60">
      <t>セツビ</t>
    </rPh>
    <rPh sb="60" eb="62">
      <t>トウシ</t>
    </rPh>
    <rPh sb="62" eb="63">
      <t>ガク</t>
    </rPh>
    <rPh sb="64" eb="66">
      <t>ケイサン</t>
    </rPh>
    <phoneticPr fontId="27"/>
  </si>
  <si>
    <r>
      <t>・ただし、</t>
    </r>
    <r>
      <rPr>
        <sz val="10"/>
        <color rgb="FFFF0000"/>
        <rFont val="游ゴシック Medium"/>
        <family val="3"/>
        <charset val="128"/>
      </rPr>
      <t>「固定資本マトリックス」</t>
    </r>
    <r>
      <rPr>
        <sz val="10"/>
        <color theme="1"/>
        <rFont val="游ゴシック Medium"/>
        <family val="3"/>
        <charset val="128"/>
      </rPr>
      <t>は、１年間の新規、既存の企業の固定資産がまとめてあるため、新規事業所の設備投資額とはなっていません。</t>
    </r>
    <rPh sb="6" eb="8">
      <t>コテイ</t>
    </rPh>
    <rPh sb="8" eb="10">
      <t>シホン</t>
    </rPh>
    <rPh sb="20" eb="22">
      <t>ネンカン</t>
    </rPh>
    <rPh sb="23" eb="25">
      <t>シンキ</t>
    </rPh>
    <rPh sb="26" eb="28">
      <t>キゾン</t>
    </rPh>
    <rPh sb="29" eb="31">
      <t>キギョウ</t>
    </rPh>
    <rPh sb="32" eb="34">
      <t>コテイ</t>
    </rPh>
    <rPh sb="34" eb="36">
      <t>シサン</t>
    </rPh>
    <rPh sb="46" eb="48">
      <t>シンキ</t>
    </rPh>
    <rPh sb="48" eb="51">
      <t>ジギョウショ</t>
    </rPh>
    <rPh sb="52" eb="54">
      <t>セツビ</t>
    </rPh>
    <rPh sb="54" eb="56">
      <t>トウシ</t>
    </rPh>
    <rPh sb="56" eb="57">
      <t>ガク</t>
    </rPh>
    <phoneticPr fontId="27"/>
  </si>
  <si>
    <r>
      <t>・そこで、</t>
    </r>
    <r>
      <rPr>
        <sz val="10"/>
        <color rgb="FFFF0000"/>
        <rFont val="游ゴシック Medium"/>
        <family val="3"/>
        <charset val="128"/>
      </rPr>
      <t>「固定資本マトリックス」</t>
    </r>
    <r>
      <rPr>
        <sz val="10"/>
        <color theme="1"/>
        <rFont val="游ゴシック Medium"/>
        <family val="3"/>
        <charset val="128"/>
      </rPr>
      <t>の個々の額に、</t>
    </r>
    <r>
      <rPr>
        <sz val="10"/>
        <color rgb="FFFF0000"/>
        <rFont val="游ゴシック Medium"/>
        <family val="3"/>
        <charset val="128"/>
      </rPr>
      <t>「有形減価償却資産の耐用年数表」</t>
    </r>
    <r>
      <rPr>
        <sz val="10"/>
        <color theme="1"/>
        <rFont val="游ゴシック Medium"/>
        <family val="3"/>
        <charset val="128"/>
      </rPr>
      <t>の耐用年数を掛けることによって、建築費と設備投資額の比が、新規分に近づけるよう修正をほどこしています。一部、部門においては、補正係数を掛けて、建築費に対する設備投資額の比を修正しています。</t>
    </r>
    <rPh sb="6" eb="8">
      <t>コテイ</t>
    </rPh>
    <rPh sb="8" eb="10">
      <t>シホン</t>
    </rPh>
    <rPh sb="18" eb="20">
      <t>ココ</t>
    </rPh>
    <rPh sb="21" eb="22">
      <t>ガク</t>
    </rPh>
    <rPh sb="25" eb="27">
      <t>ユウケイ</t>
    </rPh>
    <rPh sb="27" eb="29">
      <t>ゲンカ</t>
    </rPh>
    <rPh sb="29" eb="31">
      <t>ショウキャク</t>
    </rPh>
    <rPh sb="31" eb="33">
      <t>シサン</t>
    </rPh>
    <rPh sb="34" eb="36">
      <t>タイヨウ</t>
    </rPh>
    <rPh sb="36" eb="38">
      <t>ネンスウ</t>
    </rPh>
    <rPh sb="38" eb="39">
      <t>ヒョウ</t>
    </rPh>
    <rPh sb="41" eb="43">
      <t>タイヨウ</t>
    </rPh>
    <rPh sb="43" eb="45">
      <t>ネンスウ</t>
    </rPh>
    <rPh sb="46" eb="47">
      <t>カ</t>
    </rPh>
    <rPh sb="56" eb="59">
      <t>ケンチクヒ</t>
    </rPh>
    <rPh sb="60" eb="62">
      <t>セツビ</t>
    </rPh>
    <rPh sb="62" eb="64">
      <t>トウシ</t>
    </rPh>
    <rPh sb="64" eb="65">
      <t>ガク</t>
    </rPh>
    <rPh sb="66" eb="67">
      <t>ヒ</t>
    </rPh>
    <rPh sb="69" eb="72">
      <t>シンキブン</t>
    </rPh>
    <rPh sb="73" eb="74">
      <t>チカ</t>
    </rPh>
    <rPh sb="79" eb="81">
      <t>シュウセイ</t>
    </rPh>
    <rPh sb="91" eb="93">
      <t>イチブ</t>
    </rPh>
    <rPh sb="94" eb="96">
      <t>ブモン</t>
    </rPh>
    <rPh sb="102" eb="104">
      <t>ホセイ</t>
    </rPh>
    <rPh sb="104" eb="106">
      <t>ケイスウ</t>
    </rPh>
    <rPh sb="107" eb="108">
      <t>カ</t>
    </rPh>
    <rPh sb="111" eb="114">
      <t>ケンチクヒ</t>
    </rPh>
    <rPh sb="115" eb="116">
      <t>タイ</t>
    </rPh>
    <rPh sb="118" eb="120">
      <t>セツビ</t>
    </rPh>
    <rPh sb="120" eb="122">
      <t>トウシ</t>
    </rPh>
    <rPh sb="122" eb="123">
      <t>ガク</t>
    </rPh>
    <rPh sb="124" eb="125">
      <t>ヒ</t>
    </rPh>
    <rPh sb="126" eb="128">
      <t>シュウセイ</t>
    </rPh>
    <phoneticPr fontId="27"/>
  </si>
  <si>
    <r>
      <t>・生産額、従業者数、有給役員・雇用数は、</t>
    </r>
    <r>
      <rPr>
        <sz val="10"/>
        <color rgb="FFFF0000"/>
        <rFont val="游ゴシック Medium"/>
        <family val="3"/>
        <charset val="128"/>
      </rPr>
      <t>「令和2年埼玉県産業連関表」</t>
    </r>
    <r>
      <rPr>
        <sz val="10"/>
        <color theme="1"/>
        <rFont val="游ゴシック Medium"/>
        <family val="3"/>
        <charset val="128"/>
      </rPr>
      <t>から求めました。ただし、住宅賃貸料（帰属家賃）、自家輸送、事務用品、分類不明は、従業者数が０人のため、別部門としました。</t>
    </r>
    <rPh sb="1" eb="4">
      <t>セイサンガク</t>
    </rPh>
    <rPh sb="5" eb="6">
      <t>ジュウ</t>
    </rPh>
    <rPh sb="6" eb="9">
      <t>ギョウシャスウ</t>
    </rPh>
    <rPh sb="10" eb="12">
      <t>ユウキュウ</t>
    </rPh>
    <rPh sb="12" eb="14">
      <t>ヤクイン</t>
    </rPh>
    <rPh sb="15" eb="17">
      <t>コヨウ</t>
    </rPh>
    <rPh sb="17" eb="18">
      <t>スウ</t>
    </rPh>
    <rPh sb="21" eb="23">
      <t>レイワ</t>
    </rPh>
    <rPh sb="24" eb="25">
      <t>ネン</t>
    </rPh>
    <rPh sb="25" eb="28">
      <t>サイタマケン</t>
    </rPh>
    <rPh sb="28" eb="30">
      <t>サンギョウ</t>
    </rPh>
    <rPh sb="30" eb="32">
      <t>レンカン</t>
    </rPh>
    <rPh sb="32" eb="33">
      <t>ヒョウ</t>
    </rPh>
    <rPh sb="36" eb="37">
      <t>モト</t>
    </rPh>
    <rPh sb="46" eb="48">
      <t>ジュウタク</t>
    </rPh>
    <rPh sb="48" eb="51">
      <t>チンタイリョウ</t>
    </rPh>
    <rPh sb="52" eb="54">
      <t>キゾク</t>
    </rPh>
    <rPh sb="54" eb="56">
      <t>ヤチン</t>
    </rPh>
    <rPh sb="58" eb="60">
      <t>ジカ</t>
    </rPh>
    <rPh sb="60" eb="62">
      <t>ユソウ</t>
    </rPh>
    <rPh sb="63" eb="65">
      <t>ジム</t>
    </rPh>
    <rPh sb="65" eb="67">
      <t>ヨウヒン</t>
    </rPh>
    <rPh sb="68" eb="70">
      <t>ブンルイ</t>
    </rPh>
    <rPh sb="70" eb="72">
      <t>フメイ</t>
    </rPh>
    <rPh sb="74" eb="75">
      <t>ジュウ</t>
    </rPh>
    <rPh sb="75" eb="78">
      <t>ギョウシャスウ</t>
    </rPh>
    <rPh sb="80" eb="81">
      <t>ニン</t>
    </rPh>
    <rPh sb="85" eb="86">
      <t>ベツ</t>
    </rPh>
    <rPh sb="86" eb="88">
      <t>ブモン</t>
    </rPh>
    <phoneticPr fontId="27"/>
  </si>
  <si>
    <t>・分析ツールで使用している逆行列係数表は、2020年埼玉県産業連関表から求めています。</t>
  </si>
  <si>
    <t>工場建築</t>
    <rPh sb="0" eb="2">
      <t>コウジョウ</t>
    </rPh>
    <rPh sb="2" eb="4">
      <t>ケンチク</t>
    </rPh>
    <phoneticPr fontId="20"/>
  </si>
  <si>
    <t>生　産</t>
    <rPh sb="0" eb="1">
      <t>ナマ</t>
    </rPh>
    <rPh sb="2" eb="3">
      <t>サン</t>
    </rPh>
    <phoneticPr fontId="20"/>
  </si>
  <si>
    <t>土地造成</t>
    <rPh sb="0" eb="2">
      <t>トチ</t>
    </rPh>
    <rPh sb="2" eb="4">
      <t>ゾウセイ</t>
    </rPh>
    <phoneticPr fontId="22"/>
  </si>
  <si>
    <t>工場建築</t>
    <rPh sb="0" eb="2">
      <t>コウジョウ</t>
    </rPh>
    <rPh sb="2" eb="4">
      <t>ケンチク</t>
    </rPh>
    <phoneticPr fontId="22"/>
  </si>
  <si>
    <t>設備投資</t>
    <rPh sb="0" eb="2">
      <t>セツビ</t>
    </rPh>
    <rPh sb="2" eb="4">
      <t>トウシ</t>
    </rPh>
    <phoneticPr fontId="22"/>
  </si>
  <si>
    <t>生産</t>
    <rPh sb="0" eb="2">
      <t>セイサン</t>
    </rPh>
    <phoneticPr fontId="22"/>
  </si>
  <si>
    <t xml:space="preserve"> × 中間投入率  　× 粗付加価値率</t>
    <rPh sb="3" eb="5">
      <t>チュウカン</t>
    </rPh>
    <rPh sb="5" eb="7">
      <t>トウニュウ</t>
    </rPh>
    <rPh sb="7" eb="8">
      <t>リツ</t>
    </rPh>
    <rPh sb="13" eb="14">
      <t>ソ</t>
    </rPh>
    <rPh sb="14" eb="16">
      <t>フカ</t>
    </rPh>
    <rPh sb="16" eb="18">
      <t>カチ</t>
    </rPh>
    <rPh sb="18" eb="19">
      <t>リツ</t>
    </rPh>
    <phoneticPr fontId="22"/>
  </si>
  <si>
    <t xml:space="preserve"> × 固定資本マトリックス</t>
    <rPh sb="3" eb="5">
      <t>コテイ</t>
    </rPh>
    <rPh sb="5" eb="7">
      <t>シホン</t>
    </rPh>
    <phoneticPr fontId="22"/>
  </si>
  <si>
    <t>設備投資の部門別内訳</t>
    <rPh sb="0" eb="2">
      <t>セツビ</t>
    </rPh>
    <rPh sb="2" eb="4">
      <t>トウシ</t>
    </rPh>
    <rPh sb="5" eb="7">
      <t>ブモン</t>
    </rPh>
    <rPh sb="7" eb="8">
      <t>ベツ</t>
    </rPh>
    <rPh sb="8" eb="10">
      <t>ウチワケ</t>
    </rPh>
    <phoneticPr fontId="20"/>
  </si>
  <si>
    <t>中間投入額（原材料）</t>
    <rPh sb="0" eb="2">
      <t>チュウカン</t>
    </rPh>
    <rPh sb="2" eb="4">
      <t>トウニュウ</t>
    </rPh>
    <rPh sb="4" eb="5">
      <t>ガク</t>
    </rPh>
    <rPh sb="6" eb="9">
      <t>ゲンザイリョウ</t>
    </rPh>
    <phoneticPr fontId="20"/>
  </si>
  <si>
    <t>　粗付加価値額</t>
    <rPh sb="1" eb="2">
      <t>ソ</t>
    </rPh>
    <rPh sb="2" eb="4">
      <t>フカ</t>
    </rPh>
    <rPh sb="4" eb="6">
      <t>カチ</t>
    </rPh>
    <rPh sb="6" eb="7">
      <t>ガク</t>
    </rPh>
    <phoneticPr fontId="20"/>
  </si>
  <si>
    <t>雇用者所得</t>
    <rPh sb="0" eb="3">
      <t>コヨウシャ</t>
    </rPh>
    <rPh sb="3" eb="5">
      <t>ショトク</t>
    </rPh>
    <phoneticPr fontId="20"/>
  </si>
  <si>
    <t>営業余剰</t>
    <rPh sb="0" eb="2">
      <t>エイギョウ</t>
    </rPh>
    <rPh sb="2" eb="4">
      <t>ヨジョウ</t>
    </rPh>
    <phoneticPr fontId="20"/>
  </si>
  <si>
    <t xml:space="preserve"> × 県内自給率</t>
    <rPh sb="5" eb="8">
      <t>ジキュウリツ</t>
    </rPh>
    <phoneticPr fontId="22"/>
  </si>
  <si>
    <t xml:space="preserve"> × 県内自給率（100%）</t>
    <rPh sb="5" eb="8">
      <t>ジキュウリツ</t>
    </rPh>
    <phoneticPr fontId="22"/>
  </si>
  <si>
    <t>県内産（直接効果）</t>
    <rPh sb="0" eb="2">
      <t>ケンナイ</t>
    </rPh>
    <rPh sb="2" eb="3">
      <t>サン</t>
    </rPh>
    <rPh sb="4" eb="6">
      <t>チョクセツ</t>
    </rPh>
    <rPh sb="6" eb="8">
      <t>コウカ</t>
    </rPh>
    <phoneticPr fontId="20"/>
  </si>
  <si>
    <t>県外産</t>
    <rPh sb="2" eb="3">
      <t>サン</t>
    </rPh>
    <phoneticPr fontId="20"/>
  </si>
  <si>
    <t>県内産</t>
    <rPh sb="0" eb="2">
      <t>ケンナイ</t>
    </rPh>
    <rPh sb="2" eb="3">
      <t>サン</t>
    </rPh>
    <phoneticPr fontId="20"/>
  </si>
  <si>
    <t xml:space="preserve">  ÷ ﾃﾞﾌﾚｰﾀ</t>
    <phoneticPr fontId="20"/>
  </si>
  <si>
    <t xml:space="preserve"> ÷ ﾃﾞﾌﾚｰﾀ</t>
    <phoneticPr fontId="20"/>
  </si>
  <si>
    <t>　　　　　÷ ﾃﾞﾌﾚｰﾀ</t>
    <phoneticPr fontId="20"/>
  </si>
  <si>
    <t>物価調整</t>
    <rPh sb="0" eb="2">
      <t>ブッカ</t>
    </rPh>
    <rPh sb="2" eb="4">
      <t>チョウセイ</t>
    </rPh>
    <phoneticPr fontId="20"/>
  </si>
  <si>
    <t xml:space="preserve"> × 逆行列係数</t>
    <rPh sb="3" eb="6">
      <t>ギャクギョウレツ</t>
    </rPh>
    <rPh sb="6" eb="8">
      <t>ケイスウ</t>
    </rPh>
    <phoneticPr fontId="22"/>
  </si>
  <si>
    <t>－ 直接効果</t>
    <phoneticPr fontId="20"/>
  </si>
  <si>
    <t xml:space="preserve"> × 所得率</t>
    <rPh sb="3" eb="5">
      <t>ショトク</t>
    </rPh>
    <rPh sb="5" eb="6">
      <t>リツ</t>
    </rPh>
    <phoneticPr fontId="22"/>
  </si>
  <si>
    <t>　　　  　× ﾃﾞﾌﾚｰﾀ</t>
    <phoneticPr fontId="20"/>
  </si>
  <si>
    <t>× ﾃﾞﾌﾚｰﾀ</t>
    <phoneticPr fontId="20"/>
  </si>
  <si>
    <t>∩</t>
    <phoneticPr fontId="20"/>
  </si>
  <si>
    <t xml:space="preserve"> × 県民所得係数</t>
    <rPh sb="5" eb="7">
      <t>ショトク</t>
    </rPh>
    <rPh sb="7" eb="9">
      <t>ケイスウ</t>
    </rPh>
    <phoneticPr fontId="20"/>
  </si>
  <si>
    <t>所得増加額（県内在住者）</t>
    <rPh sb="0" eb="2">
      <t>ショトク</t>
    </rPh>
    <rPh sb="2" eb="4">
      <t>ゾウカ</t>
    </rPh>
    <rPh sb="4" eb="5">
      <t>ガク</t>
    </rPh>
    <rPh sb="8" eb="11">
      <t>ザイジュウシャ</t>
    </rPh>
    <phoneticPr fontId="20"/>
  </si>
  <si>
    <t xml:space="preserve"> × 消費転換係数</t>
    <rPh sb="3" eb="5">
      <t>ショウヒ</t>
    </rPh>
    <rPh sb="5" eb="7">
      <t>テンカン</t>
    </rPh>
    <rPh sb="7" eb="9">
      <t>ケイスウ</t>
    </rPh>
    <phoneticPr fontId="22"/>
  </si>
  <si>
    <t>消費増加額（県内産）</t>
    <rPh sb="0" eb="2">
      <t>ショウヒ</t>
    </rPh>
    <rPh sb="2" eb="4">
      <t>ゾウカ</t>
    </rPh>
    <rPh sb="4" eb="5">
      <t>ガク</t>
    </rPh>
    <rPh sb="8" eb="9">
      <t>サン</t>
    </rPh>
    <phoneticPr fontId="20"/>
  </si>
  <si>
    <t>　　　    　× ﾃﾞﾌﾚｰﾀ</t>
    <phoneticPr fontId="20"/>
  </si>
  <si>
    <t>　　　  　　× ﾃﾞﾌﾚｰﾀ</t>
    <phoneticPr fontId="20"/>
  </si>
  <si>
    <t>　　　 　　 × ﾃﾞﾌﾚｰﾀ</t>
    <phoneticPr fontId="20"/>
  </si>
  <si>
    <t>　　　　　土地造成費</t>
    <rPh sb="5" eb="7">
      <t>トチ</t>
    </rPh>
    <rPh sb="7" eb="9">
      <t>ゾウセイ</t>
    </rPh>
    <rPh sb="9" eb="10">
      <t>ヒ</t>
    </rPh>
    <phoneticPr fontId="20"/>
  </si>
  <si>
    <t>　　　　　工場建築費</t>
    <rPh sb="5" eb="7">
      <t>コウジョウ</t>
    </rPh>
    <rPh sb="7" eb="10">
      <t>ケンチクヒ</t>
    </rPh>
    <phoneticPr fontId="20"/>
  </si>
  <si>
    <t>　　　　　生産額</t>
    <rPh sb="5" eb="8">
      <t>セイサンガク</t>
    </rPh>
    <phoneticPr fontId="20"/>
  </si>
  <si>
    <t>　　　　  ＋ 第２次間接効果</t>
    <rPh sb="8" eb="9">
      <t>ダイ</t>
    </rPh>
    <rPh sb="10" eb="11">
      <t>ジ</t>
    </rPh>
    <rPh sb="11" eb="13">
      <t>カンセツ</t>
    </rPh>
    <rPh sb="13" eb="15">
      <t>コウカ</t>
    </rPh>
    <phoneticPr fontId="20"/>
  </si>
  <si>
    <t>　　　　　　総合効果÷建築費</t>
    <rPh sb="6" eb="8">
      <t>ソウゴウ</t>
    </rPh>
    <rPh sb="8" eb="10">
      <t>コウカ</t>
    </rPh>
    <rPh sb="12" eb="13">
      <t>チク</t>
    </rPh>
    <rPh sb="13" eb="14">
      <t>ヒ</t>
    </rPh>
    <phoneticPr fontId="20"/>
  </si>
  <si>
    <t>　　　　　　総合効果÷設備投資額（県内産）</t>
    <rPh sb="6" eb="8">
      <t>ソウゴウ</t>
    </rPh>
    <rPh sb="8" eb="10">
      <t>コウカ</t>
    </rPh>
    <rPh sb="11" eb="13">
      <t>セツビ</t>
    </rPh>
    <rPh sb="13" eb="15">
      <t>トウシ</t>
    </rPh>
    <rPh sb="15" eb="16">
      <t>ガク</t>
    </rPh>
    <rPh sb="17" eb="18">
      <t>ケン</t>
    </rPh>
    <rPh sb="18" eb="19">
      <t>ナイ</t>
    </rPh>
    <rPh sb="19" eb="20">
      <t>サン</t>
    </rPh>
    <phoneticPr fontId="20"/>
  </si>
  <si>
    <t>　雇用誘発人数</t>
    <rPh sb="1" eb="3">
      <t>コヨウ</t>
    </rPh>
    <rPh sb="3" eb="5">
      <t>ユウハツ</t>
    </rPh>
    <rPh sb="5" eb="7">
      <t>ニンズウ</t>
    </rPh>
    <phoneticPr fontId="20"/>
  </si>
  <si>
    <t>　労働誘発人数</t>
    <rPh sb="1" eb="3">
      <t>ロウドウ</t>
    </rPh>
    <rPh sb="3" eb="5">
      <t>ユウハツ</t>
    </rPh>
    <rPh sb="5" eb="7">
      <t>ニンズウ</t>
    </rPh>
    <phoneticPr fontId="20"/>
  </si>
  <si>
    <t>誘発倍率</t>
    <rPh sb="0" eb="2">
      <t>ユウハツ</t>
    </rPh>
    <rPh sb="2" eb="4">
      <t>バイリツ</t>
    </rPh>
    <phoneticPr fontId="20"/>
  </si>
  <si>
    <t>（うち直接効果</t>
    <rPh sb="3" eb="5">
      <t>チョクセツ</t>
    </rPh>
    <rPh sb="5" eb="7">
      <t>コウカ</t>
    </rPh>
    <phoneticPr fontId="20"/>
  </si>
  <si>
    <t>）</t>
    <phoneticPr fontId="66"/>
  </si>
  <si>
    <t>　対直接効果</t>
    <rPh sb="1" eb="2">
      <t>タイ</t>
    </rPh>
    <rPh sb="2" eb="4">
      <t>チョクセツ</t>
    </rPh>
    <rPh sb="4" eb="6">
      <t>コウカ</t>
    </rPh>
    <phoneticPr fontId="20"/>
  </si>
  <si>
    <t>2020年価格に変換</t>
    <rPh sb="4" eb="5">
      <t>ネン</t>
    </rPh>
    <rPh sb="5" eb="7">
      <t>カカク</t>
    </rPh>
    <rPh sb="8" eb="10">
      <t>ヘンカン</t>
    </rPh>
    <phoneticPr fontId="20"/>
  </si>
  <si>
    <t>2020年</t>
    <rPh sb="4" eb="5">
      <t>ネン</t>
    </rPh>
    <phoneticPr fontId="20"/>
  </si>
  <si>
    <t>建設</t>
  </si>
  <si>
    <t>商業</t>
  </si>
  <si>
    <t>金融・保険</t>
  </si>
  <si>
    <t>不動産</t>
  </si>
  <si>
    <t>運輸・郵便</t>
    <rPh sb="3" eb="5">
      <t>ユウビン</t>
    </rPh>
    <phoneticPr fontId="10"/>
  </si>
  <si>
    <t>公務</t>
  </si>
  <si>
    <t>内生部門計</t>
  </si>
  <si>
    <t>鉱業</t>
  </si>
  <si>
    <t>住宅賃貸料（帰属家賃）</t>
    <rPh sb="0" eb="2">
      <t>ジュウタク</t>
    </rPh>
    <rPh sb="2" eb="5">
      <t>チンタイリョウ</t>
    </rPh>
    <rPh sb="6" eb="8">
      <t>キゾク</t>
    </rPh>
    <rPh sb="8" eb="10">
      <t>ヤチン</t>
    </rPh>
    <phoneticPr fontId="51"/>
  </si>
  <si>
    <t>・分析部門分類は、２０部門で行っています。</t>
    <rPh sb="1" eb="3">
      <t>ブンセキ</t>
    </rPh>
    <rPh sb="3" eb="5">
      <t>ブモン</t>
    </rPh>
    <rPh sb="5" eb="7">
      <t>ブンルイ</t>
    </rPh>
    <rPh sb="11" eb="13">
      <t>ブモン</t>
    </rPh>
    <rPh sb="14" eb="15">
      <t>オコナ</t>
    </rPh>
    <phoneticPr fontId="59"/>
  </si>
  <si>
    <t>・整地費　800円/㎡　　・伐採抜根費　1100円/㎡　　・地盤改良費　2100円/㎡</t>
  </si>
  <si>
    <t>・土盛費　8000円/㎥　　・土止費　82800円/㎥</t>
  </si>
  <si>
    <t>・傾斜地の宅地造成費　3度超～5度以下　22900円/㎡　5度超～10度以下　27300円/㎡　10度超～15度以下　42500円/㎡</t>
  </si>
  <si>
    <t>・そこで、敷地利用率が20%未満（運輸は90%未満）の工事１件当たり敷地面積を第１の基準とし、敷地利用率が20%以上（運輸は90%以上）の工事１件当たり敷地面積を第２の基準としました。（用途別に推計）</t>
  </si>
  <si>
    <t>　　　　　　　　　　　15度超～20度以下　59900円/㎡　20度超～25度以下　66500円/㎡　25度超～30度以下　72600円/㎡</t>
  </si>
  <si>
    <t>・用途別に敷地利用率（延床面積/敷地面積）を計算したところ、敷地利用率が20%未満と20%以上では、工事１件当たりの敷地面積に大きな隔たりがありました。（ただし、商業、金融・保険、不動産、情報通信は、開きがなかった。）</t>
    <rPh sb="1" eb="3">
      <t>ヨウト</t>
    </rPh>
    <rPh sb="3" eb="4">
      <t>ベツ</t>
    </rPh>
    <rPh sb="4" eb="5">
      <t>サンベツ</t>
    </rPh>
    <rPh sb="5" eb="7">
      <t>シキチ</t>
    </rPh>
    <rPh sb="7" eb="10">
      <t>リヨウリツ</t>
    </rPh>
    <rPh sb="11" eb="12">
      <t>ノ</t>
    </rPh>
    <rPh sb="12" eb="15">
      <t>ユカメンセキ</t>
    </rPh>
    <rPh sb="16" eb="18">
      <t>シキチ</t>
    </rPh>
    <rPh sb="18" eb="20">
      <t>メンセキ</t>
    </rPh>
    <rPh sb="22" eb="24">
      <t>ケイサン</t>
    </rPh>
    <rPh sb="30" eb="32">
      <t>シキチ</t>
    </rPh>
    <rPh sb="32" eb="35">
      <t>リヨウリツ</t>
    </rPh>
    <rPh sb="39" eb="41">
      <t>ミマン</t>
    </rPh>
    <rPh sb="45" eb="47">
      <t>イジョウ</t>
    </rPh>
    <rPh sb="50" eb="52">
      <t>コウジ</t>
    </rPh>
    <rPh sb="53" eb="54">
      <t>ケン</t>
    </rPh>
    <rPh sb="54" eb="55">
      <t>ア</t>
    </rPh>
    <rPh sb="58" eb="60">
      <t>シキチ</t>
    </rPh>
    <rPh sb="60" eb="62">
      <t>メンセキ</t>
    </rPh>
    <rPh sb="63" eb="64">
      <t>オオ</t>
    </rPh>
    <rPh sb="66" eb="67">
      <t>ヘダ</t>
    </rPh>
    <rPh sb="81" eb="83">
      <t>ショウギョウ</t>
    </rPh>
    <rPh sb="84" eb="86">
      <t>キンユウ</t>
    </rPh>
    <rPh sb="87" eb="89">
      <t>ホケン</t>
    </rPh>
    <rPh sb="90" eb="93">
      <t>フドウサン</t>
    </rPh>
    <rPh sb="94" eb="98">
      <t>ジョウホウツウシン</t>
    </rPh>
    <rPh sb="100" eb="101">
      <t>ヒラ</t>
    </rPh>
    <phoneticPr fontId="29"/>
  </si>
  <si>
    <r>
      <t>・事業所数は、</t>
    </r>
    <r>
      <rPr>
        <sz val="11"/>
        <color rgb="FFFF0000"/>
        <rFont val="ＭＳ Ｐゴシック"/>
        <family val="3"/>
        <charset val="128"/>
        <scheme val="minor"/>
      </rPr>
      <t>「令和3年経済センサス-活動調査」、「2020年農林業センサス」</t>
    </r>
    <r>
      <rPr>
        <sz val="11"/>
        <color theme="1"/>
        <rFont val="ＭＳ Ｐゴシック"/>
        <family val="2"/>
        <charset val="128"/>
        <scheme val="minor"/>
      </rPr>
      <t>から求めました。</t>
    </r>
    <rPh sb="1" eb="4">
      <t>ジギョウショ</t>
    </rPh>
    <rPh sb="4" eb="5">
      <t>スウ</t>
    </rPh>
    <rPh sb="8" eb="10">
      <t>レイワ</t>
    </rPh>
    <rPh sb="11" eb="12">
      <t>ネン</t>
    </rPh>
    <rPh sb="12" eb="14">
      <t>ケイザイ</t>
    </rPh>
    <rPh sb="19" eb="21">
      <t>カツドウ</t>
    </rPh>
    <rPh sb="21" eb="23">
      <t>チョウサ</t>
    </rPh>
    <rPh sb="30" eb="31">
      <t>ネン</t>
    </rPh>
    <rPh sb="31" eb="34">
      <t>ノウリンギョウ</t>
    </rPh>
    <rPh sb="41" eb="42">
      <t>モト</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</si>
</sst>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76" formatCode="&quot;【H&quot;00&quot;】&quot;"/>
    <numFmt numFmtId="177" formatCode="#,##0.000000;[Red]\-#,##0.000000"/>
    <numFmt numFmtId="178" formatCode="&quot;【H&quot;0&quot;】&quot;"/>
    <numFmt numFmtId="179" formatCode="0.000000_ "/>
    <numFmt numFmtId="180" formatCode="00"/>
    <numFmt numFmtId="181" formatCode="#,##0.0;[Red]\-#,##0.0"/>
    <numFmt numFmtId="182" formatCode="0.0%"/>
    <numFmt numFmtId="183" formatCode="#,##0.0000;[Red]\-#,##0.0000"/>
    <numFmt numFmtId="184" formatCode="#,##0&quot;円/㎡&quot;"/>
    <numFmt numFmtId="185" formatCode="#,##0&quot;円/㎥&quot;"/>
    <numFmt numFmtId="186" formatCode="#,##0&quot;千円&quot;"/>
    <numFmt numFmtId="187" formatCode="#,##0&quot;㎡&quot;"/>
    <numFmt numFmtId="188" formatCode="[$-411]ggge&quot;年&quot;m&quot;月&quot;d&quot;日&quot;;@"/>
    <numFmt numFmtId="189" formatCode="\(0.0\)"/>
    <numFmt numFmtId="190" formatCode="0.000000_);[Red]\(0.000000\)"/>
    <numFmt numFmtId="191" formatCode="&quot;【R&quot;0&quot;】&quot;"/>
    <numFmt numFmtId="192" formatCode="000"/>
    <numFmt numFmtId="193" formatCode="0000&quot;年&quot;"/>
    <numFmt numFmtId="194" formatCode="#,##0.00000;[Red]\-#,##0.00000"/>
    <numFmt numFmtId="195" formatCode="0&quot;㎡&quot;"/>
    <numFmt numFmtId="196" formatCode="#,##0_ "/>
    <numFmt numFmtId="197" formatCode="#,##0.000_ "/>
    <numFmt numFmtId="198" formatCode="0.0&quot;人&quot;"/>
    <numFmt numFmtId="199" formatCode="0.00000"/>
    <numFmt numFmtId="200" formatCode="0.000000"/>
  </numFmts>
  <fonts count="84">
    <font>
      <sz val="11"/>
      <color theme="1"/>
      <name val="ＭＳ Ｐゴシック"/>
      <family val="2"/>
      <charset val="128"/>
      <scheme val="minor"/>
    </font>
    <font>
      <sz val="11"/>
      <color theme="1"/>
      <name val="ＭＳ Ｐゴシック"/>
      <family val="2"/>
      <charset val="128"/>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1"/>
      <color theme="1"/>
      <name val="Arial Unicode MS"/>
      <family val="2"/>
      <charset val="128"/>
    </font>
    <font>
      <sz val="6"/>
      <name val="Arial Unicode MS"/>
      <family val="2"/>
      <charset val="128"/>
    </font>
    <font>
      <sz val="11"/>
      <color indexed="8"/>
      <name val="ＭＳ Ｐゴシック"/>
      <family val="3"/>
      <charset val="128"/>
    </font>
    <font>
      <sz val="6"/>
      <name val="ＭＳ Ｐゴシック"/>
      <family val="3"/>
      <charset val="128"/>
    </font>
    <font>
      <sz val="11"/>
      <name val="ＭＳ Ｐゴシック"/>
      <family val="3"/>
      <charset val="128"/>
    </font>
    <font>
      <sz val="11"/>
      <color theme="1"/>
      <name val="Arial Unicode MS"/>
      <family val="3"/>
      <charset val="128"/>
    </font>
    <font>
      <sz val="11"/>
      <color theme="1"/>
      <name val="ＭＳ Ｐゴシック"/>
      <family val="3"/>
      <charset val="128"/>
      <scheme val="minor"/>
    </font>
    <font>
      <sz val="9"/>
      <name val="ＭＳ 明朝"/>
      <family val="1"/>
      <charset val="128"/>
    </font>
    <font>
      <sz val="6"/>
      <name val="ＭＳ Ｐゴシック"/>
      <family val="2"/>
      <charset val="128"/>
      <scheme val="minor"/>
    </font>
    <font>
      <sz val="10"/>
      <name val="ＭＳ Ｐゴシック"/>
      <family val="3"/>
      <charset val="128"/>
    </font>
    <font>
      <sz val="11"/>
      <name val="ＭＳ ゴシック"/>
      <family val="3"/>
      <charset val="128"/>
    </font>
    <font>
      <sz val="11"/>
      <color theme="1"/>
      <name val="ＭＳ Ｐゴシック"/>
      <family val="2"/>
      <scheme val="minor"/>
    </font>
    <font>
      <u/>
      <sz val="11"/>
      <color indexed="12"/>
      <name val="ＭＳ Ｐゴシック"/>
      <family val="3"/>
      <charset val="128"/>
    </font>
    <font>
      <sz val="10"/>
      <color theme="1"/>
      <name val="ＭＳ 明朝"/>
      <family val="1"/>
      <charset val="128"/>
    </font>
    <font>
      <sz val="10"/>
      <color theme="0"/>
      <name val="ＭＳ 明朝"/>
      <family val="1"/>
      <charset val="128"/>
    </font>
    <font>
      <b/>
      <sz val="10"/>
      <color theme="0"/>
      <name val="ＭＳ 明朝"/>
      <family val="1"/>
      <charset val="128"/>
    </font>
    <font>
      <sz val="10"/>
      <color rgb="FF9C6500"/>
      <name val="ＭＳ 明朝"/>
      <family val="1"/>
      <charset val="128"/>
    </font>
    <font>
      <sz val="10"/>
      <color rgb="FFFA7D00"/>
      <name val="ＭＳ 明朝"/>
      <family val="1"/>
      <charset val="128"/>
    </font>
    <font>
      <sz val="10"/>
      <color rgb="FF9C0006"/>
      <name val="ＭＳ 明朝"/>
      <family val="1"/>
      <charset val="128"/>
    </font>
    <font>
      <b/>
      <sz val="10"/>
      <color rgb="FFFA7D00"/>
      <name val="ＭＳ 明朝"/>
      <family val="1"/>
      <charset val="128"/>
    </font>
    <font>
      <sz val="10"/>
      <color rgb="FFFF0000"/>
      <name val="ＭＳ 明朝"/>
      <family val="1"/>
      <charset val="128"/>
    </font>
    <font>
      <sz val="11"/>
      <color theme="1"/>
      <name val="HG丸ｺﾞｼｯｸM-PRO"/>
      <family val="3"/>
      <charset val="128"/>
    </font>
    <font>
      <b/>
      <sz val="15"/>
      <color theme="3"/>
      <name val="ＭＳ 明朝"/>
      <family val="1"/>
      <charset val="128"/>
    </font>
    <font>
      <b/>
      <sz val="13"/>
      <color theme="3"/>
      <name val="ＭＳ 明朝"/>
      <family val="1"/>
      <charset val="128"/>
    </font>
    <font>
      <b/>
      <sz val="11"/>
      <color theme="3"/>
      <name val="ＭＳ 明朝"/>
      <family val="1"/>
      <charset val="128"/>
    </font>
    <font>
      <b/>
      <sz val="10"/>
      <color theme="1"/>
      <name val="ＭＳ 明朝"/>
      <family val="1"/>
      <charset val="128"/>
    </font>
    <font>
      <b/>
      <sz val="10"/>
      <color rgb="FF3F3F3F"/>
      <name val="ＭＳ 明朝"/>
      <family val="1"/>
      <charset val="128"/>
    </font>
    <font>
      <i/>
      <sz val="10"/>
      <color rgb="FF7F7F7F"/>
      <name val="ＭＳ 明朝"/>
      <family val="1"/>
      <charset val="128"/>
    </font>
    <font>
      <sz val="10"/>
      <color rgb="FF3F3F76"/>
      <name val="ＭＳ 明朝"/>
      <family val="1"/>
      <charset val="128"/>
    </font>
    <font>
      <sz val="10"/>
      <name val="ＭＳ 明朝"/>
      <family val="1"/>
      <charset val="128"/>
    </font>
    <font>
      <sz val="14"/>
      <name val="ＭＳ 明朝"/>
      <family val="1"/>
      <charset val="128"/>
    </font>
    <font>
      <sz val="10"/>
      <color rgb="FF006100"/>
      <name val="ＭＳ 明朝"/>
      <family val="1"/>
      <charset val="128"/>
    </font>
    <font>
      <sz val="6"/>
      <name val="ＭＳ 明朝"/>
      <family val="1"/>
      <charset val="128"/>
    </font>
    <font>
      <b/>
      <sz val="11"/>
      <color theme="1"/>
      <name val="ＭＳ Ｐゴシック"/>
      <family val="3"/>
      <charset val="128"/>
      <scheme val="minor"/>
    </font>
    <font>
      <sz val="11"/>
      <color theme="1"/>
      <name val="ＭＳ Ｐゴシック"/>
      <family val="3"/>
      <charset val="128"/>
      <scheme val="major"/>
    </font>
    <font>
      <sz val="9"/>
      <color rgb="FF000000"/>
      <name val="MS UI Gothic"/>
      <family val="3"/>
      <charset val="128"/>
    </font>
    <font>
      <vertAlign val="superscript"/>
      <sz val="11"/>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0"/>
      <color theme="1"/>
      <name val="ＭＳ Ｐゴシック"/>
      <family val="3"/>
      <charset val="128"/>
      <scheme val="minor"/>
    </font>
    <font>
      <sz val="11"/>
      <color theme="2" tint="-9.9978637043366805E-2"/>
      <name val="ＭＳ Ｐゴシック"/>
      <family val="2"/>
      <charset val="128"/>
      <scheme val="minor"/>
    </font>
    <font>
      <sz val="11"/>
      <color theme="2" tint="-9.9978637043366805E-2"/>
      <name val="ＭＳ Ｐゴシック"/>
      <family val="3"/>
      <charset val="128"/>
      <scheme val="minor"/>
    </font>
    <font>
      <sz val="11"/>
      <name val="ＭＳ Ｐゴシック"/>
      <family val="2"/>
      <charset val="128"/>
      <scheme val="minor"/>
    </font>
    <font>
      <sz val="11"/>
      <color theme="0"/>
      <name val="ＭＳ Ｐゴシック"/>
      <family val="3"/>
      <charset val="128"/>
      <scheme val="minor"/>
    </font>
    <font>
      <sz val="9"/>
      <color theme="1"/>
      <name val="ＭＳ Ｐゴシック"/>
      <family val="2"/>
      <charset val="128"/>
      <scheme val="minor"/>
    </font>
    <font>
      <b/>
      <sz val="9"/>
      <color theme="1"/>
      <name val="ＭＳ Ｐゴシック"/>
      <family val="3"/>
      <charset val="128"/>
      <scheme val="minor"/>
    </font>
    <font>
      <sz val="9"/>
      <color theme="0"/>
      <name val="HG丸ｺﾞｼｯｸM-PRO"/>
      <family val="3"/>
      <charset val="128"/>
    </font>
    <font>
      <sz val="6"/>
      <name val="ＭＳ Ｐゴシック"/>
      <family val="2"/>
      <charset val="128"/>
    </font>
    <font>
      <sz val="8"/>
      <color rgb="FFFF0000"/>
      <name val="ＭＳ Ｐ明朝"/>
      <family val="1"/>
      <charset val="128"/>
    </font>
    <font>
      <u/>
      <sz val="9.9"/>
      <color theme="10"/>
      <name val="Arial Unicode MS"/>
      <family val="3"/>
      <charset val="128"/>
    </font>
    <font>
      <sz val="10"/>
      <color theme="1"/>
      <name val="游ゴシック Medium"/>
      <family val="3"/>
      <charset val="128"/>
    </font>
    <font>
      <sz val="10"/>
      <color theme="0"/>
      <name val="游ゴシック Medium"/>
      <family val="3"/>
      <charset val="128"/>
    </font>
    <font>
      <sz val="10"/>
      <color indexed="8"/>
      <name val="游ゴシック Medium"/>
      <family val="3"/>
      <charset val="128"/>
    </font>
    <font>
      <sz val="10"/>
      <color rgb="FFFF0000"/>
      <name val="游ゴシック Medium"/>
      <family val="3"/>
      <charset val="128"/>
    </font>
    <font>
      <b/>
      <i/>
      <sz val="10"/>
      <color theme="1"/>
      <name val="游ゴシック Medium"/>
      <family val="3"/>
      <charset val="128"/>
    </font>
    <font>
      <sz val="10"/>
      <name val="游ゴシック Medium"/>
      <family val="3"/>
      <charset val="128"/>
    </font>
    <font>
      <b/>
      <sz val="10"/>
      <color theme="1"/>
      <name val="游ゴシック Medium"/>
      <family val="3"/>
      <charset val="128"/>
    </font>
    <font>
      <b/>
      <sz val="10"/>
      <color rgb="FF800000"/>
      <name val="游ゴシック Medium"/>
      <family val="3"/>
      <charset val="128"/>
    </font>
    <font>
      <u/>
      <sz val="10"/>
      <color theme="10"/>
      <name val="游ゴシック Medium"/>
      <family val="3"/>
      <charset val="128"/>
    </font>
    <font>
      <sz val="15"/>
      <color theme="1"/>
      <name val="游ゴシック Medium"/>
      <family val="3"/>
      <charset val="128"/>
    </font>
    <font>
      <sz val="8"/>
      <color theme="1"/>
      <name val="游ゴシック Medium"/>
      <family val="3"/>
      <charset val="128"/>
    </font>
    <font>
      <b/>
      <sz val="12"/>
      <color theme="1"/>
      <name val="游ゴシック Medium"/>
      <family val="3"/>
      <charset val="128"/>
    </font>
    <font>
      <sz val="12"/>
      <color theme="1"/>
      <name val="游ゴシック Medium"/>
      <family val="3"/>
      <charset val="128"/>
    </font>
    <font>
      <sz val="11"/>
      <color theme="1"/>
      <name val="游ゴシック Medium"/>
      <family val="3"/>
      <charset val="128"/>
    </font>
    <font>
      <sz val="11"/>
      <color rgb="FFFF0000"/>
      <name val="ＭＳ Ｐゴシック"/>
      <family val="3"/>
      <charset val="128"/>
      <scheme val="minor"/>
    </font>
  </fonts>
  <fills count="5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FFCC66"/>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2" tint="-0.89999084444715716"/>
        <bgColor indexed="64"/>
      </patternFill>
    </fill>
    <fill>
      <patternFill patternType="solid">
        <fgColor theme="2" tint="-0.749992370372631"/>
        <bgColor indexed="64"/>
      </patternFill>
    </fill>
    <fill>
      <patternFill patternType="solid">
        <fgColor rgb="FFFFFF99"/>
        <bgColor rgb="FFFFFF99"/>
      </patternFill>
    </fill>
    <fill>
      <patternFill patternType="solid">
        <fgColor rgb="FF3A00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tint="-0.499984740745262"/>
        <bgColor indexed="64"/>
      </patternFill>
    </fill>
    <fill>
      <patternFill patternType="solid">
        <fgColor rgb="FFFFFF00"/>
        <bgColor indexed="64"/>
      </patternFill>
    </fill>
    <fill>
      <patternFill patternType="solid">
        <fgColor rgb="FFFFCCFF"/>
        <bgColor indexed="64"/>
      </patternFill>
    </fill>
    <fill>
      <patternFill patternType="solid">
        <fgColor theme="8" tint="0.79998168889431442"/>
        <bgColor indexed="64"/>
      </patternFill>
    </fill>
    <fill>
      <patternFill patternType="solid">
        <fgColor theme="9" tint="-0.249977111117893"/>
        <bgColor indexed="64"/>
      </patternFill>
    </fill>
  </fills>
  <borders count="2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style="thin">
        <color theme="0"/>
      </left>
      <right style="thin">
        <color theme="0"/>
      </right>
      <top/>
      <bottom/>
      <diagonal/>
    </border>
    <border>
      <left/>
      <right/>
      <top style="thin">
        <color indexed="64"/>
      </top>
      <bottom style="thin">
        <color indexed="64"/>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indexed="64"/>
      </left>
      <right style="thin">
        <color indexed="64"/>
      </right>
      <top style="thin">
        <color indexed="64"/>
      </top>
      <bottom style="hair">
        <color auto="1"/>
      </bottom>
      <diagonal/>
    </border>
    <border>
      <left/>
      <right style="thin">
        <color theme="0"/>
      </right>
      <top style="thin">
        <color theme="0"/>
      </top>
      <bottom/>
      <diagonal/>
    </border>
    <border>
      <left/>
      <right/>
      <top style="thin">
        <color theme="0"/>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style="thin">
        <color theme="0"/>
      </right>
      <top/>
      <bottom/>
      <diagonal/>
    </border>
    <border>
      <left/>
      <right style="thin">
        <color indexed="64"/>
      </right>
      <top/>
      <bottom/>
      <diagonal/>
    </border>
    <border>
      <left/>
      <right/>
      <top style="thin">
        <color theme="0"/>
      </top>
      <bottom/>
      <diagonal/>
    </border>
    <border>
      <left/>
      <right/>
      <top/>
      <bottom style="thin">
        <color theme="5" tint="0.59996337778862885"/>
      </bottom>
      <diagonal/>
    </border>
    <border>
      <left/>
      <right/>
      <top/>
      <bottom style="thin">
        <color theme="2" tint="-0.24994659260841701"/>
      </bottom>
      <diagonal/>
    </border>
    <border>
      <left style="thin">
        <color theme="2" tint="-0.89996032593768116"/>
      </left>
      <right style="thin">
        <color theme="2" tint="-0.89996032593768116"/>
      </right>
      <top style="thin">
        <color theme="2" tint="-0.89996032593768116"/>
      </top>
      <bottom style="thin">
        <color theme="2" tint="-0.89996032593768116"/>
      </bottom>
      <diagonal/>
    </border>
    <border>
      <left style="thin">
        <color theme="3" tint="0.59996337778862885"/>
      </left>
      <right/>
      <top/>
      <bottom/>
      <diagonal/>
    </border>
    <border>
      <left/>
      <right style="thin">
        <color theme="3" tint="0.59996337778862885"/>
      </right>
      <top/>
      <bottom/>
      <diagonal/>
    </border>
    <border>
      <left style="thin">
        <color theme="5" tint="0.39994506668294322"/>
      </left>
      <right/>
      <top style="thin">
        <color theme="5" tint="0.39994506668294322"/>
      </top>
      <bottom/>
      <diagonal/>
    </border>
    <border>
      <left/>
      <right/>
      <top style="thin">
        <color theme="5" tint="0.39994506668294322"/>
      </top>
      <bottom/>
      <diagonal/>
    </border>
    <border>
      <left/>
      <right style="thin">
        <color theme="5" tint="0.39994506668294322"/>
      </right>
      <top style="thin">
        <color theme="5" tint="0.39994506668294322"/>
      </top>
      <bottom/>
      <diagonal/>
    </border>
    <border>
      <left style="thin">
        <color theme="5" tint="0.39994506668294322"/>
      </left>
      <right/>
      <top/>
      <bottom/>
      <diagonal/>
    </border>
    <border>
      <left/>
      <right style="thin">
        <color theme="5" tint="0.39994506668294322"/>
      </right>
      <top/>
      <bottom/>
      <diagonal/>
    </border>
    <border>
      <left style="thin">
        <color theme="5" tint="0.39994506668294322"/>
      </left>
      <right/>
      <top/>
      <bottom style="thin">
        <color theme="5" tint="0.39994506668294322"/>
      </bottom>
      <diagonal/>
    </border>
    <border>
      <left/>
      <right/>
      <top/>
      <bottom style="thin">
        <color theme="5" tint="0.39994506668294322"/>
      </bottom>
      <diagonal/>
    </border>
    <border>
      <left/>
      <right style="thin">
        <color theme="5" tint="0.39994506668294322"/>
      </right>
      <top/>
      <bottom style="thin">
        <color theme="5" tint="0.39994506668294322"/>
      </bottom>
      <diagonal/>
    </border>
    <border>
      <left style="thin">
        <color theme="7" tint="0.39994506668294322"/>
      </left>
      <right/>
      <top style="thin">
        <color theme="7" tint="0.39994506668294322"/>
      </top>
      <bottom/>
      <diagonal/>
    </border>
    <border>
      <left/>
      <right/>
      <top style="thin">
        <color theme="7" tint="0.39994506668294322"/>
      </top>
      <bottom/>
      <diagonal/>
    </border>
    <border>
      <left/>
      <right style="thin">
        <color theme="7" tint="0.39994506668294322"/>
      </right>
      <top style="thin">
        <color theme="7" tint="0.39994506668294322"/>
      </top>
      <bottom/>
      <diagonal/>
    </border>
    <border>
      <left style="thin">
        <color theme="7" tint="0.39994506668294322"/>
      </left>
      <right/>
      <top/>
      <bottom/>
      <diagonal/>
    </border>
    <border>
      <left/>
      <right style="thin">
        <color theme="7" tint="0.39994506668294322"/>
      </right>
      <top/>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6" tint="0.39994506668294322"/>
      </left>
      <right/>
      <top style="thin">
        <color theme="6" tint="0.39994506668294322"/>
      </top>
      <bottom/>
      <diagonal/>
    </border>
    <border>
      <left/>
      <right/>
      <top style="thin">
        <color theme="6" tint="0.39994506668294322"/>
      </top>
      <bottom/>
      <diagonal/>
    </border>
    <border>
      <left/>
      <right style="thin">
        <color theme="6" tint="0.39994506668294322"/>
      </right>
      <top style="thin">
        <color theme="6" tint="0.39994506668294322"/>
      </top>
      <bottom/>
      <diagonal/>
    </border>
    <border>
      <left style="thin">
        <color theme="6" tint="0.39994506668294322"/>
      </left>
      <right/>
      <top/>
      <bottom/>
      <diagonal/>
    </border>
    <border>
      <left/>
      <right style="thin">
        <color theme="6" tint="0.39994506668294322"/>
      </right>
      <top/>
      <bottom/>
      <diagonal/>
    </border>
    <border>
      <left style="thin">
        <color theme="6" tint="0.39994506668294322"/>
      </left>
      <right/>
      <top/>
      <bottom style="thin">
        <color theme="6" tint="0.39994506668294322"/>
      </bottom>
      <diagonal/>
    </border>
    <border>
      <left/>
      <right/>
      <top/>
      <bottom style="thin">
        <color theme="6" tint="0.39994506668294322"/>
      </bottom>
      <diagonal/>
    </border>
    <border>
      <left/>
      <right style="thin">
        <color theme="6" tint="0.39994506668294322"/>
      </right>
      <top/>
      <bottom style="thin">
        <color theme="6" tint="0.39994506668294322"/>
      </bottom>
      <diagonal/>
    </border>
    <border>
      <left style="double">
        <color theme="2" tint="-0.499984740745262"/>
      </left>
      <right style="thin">
        <color theme="2" tint="-0.89996032593768116"/>
      </right>
      <top style="double">
        <color theme="2" tint="-0.499984740745262"/>
      </top>
      <bottom style="thin">
        <color theme="2" tint="-0.89996032593768116"/>
      </bottom>
      <diagonal/>
    </border>
    <border>
      <left style="thin">
        <color theme="2" tint="-0.89996032593768116"/>
      </left>
      <right style="thin">
        <color theme="2" tint="-0.89996032593768116"/>
      </right>
      <top style="double">
        <color theme="2" tint="-0.499984740745262"/>
      </top>
      <bottom style="thin">
        <color theme="2" tint="-0.89996032593768116"/>
      </bottom>
      <diagonal/>
    </border>
    <border>
      <left style="thin">
        <color theme="2" tint="-0.89996032593768116"/>
      </left>
      <right style="double">
        <color theme="2" tint="-0.499984740745262"/>
      </right>
      <top style="double">
        <color theme="2" tint="-0.499984740745262"/>
      </top>
      <bottom style="thin">
        <color theme="2" tint="-0.89996032593768116"/>
      </bottom>
      <diagonal/>
    </border>
    <border>
      <left style="double">
        <color theme="2" tint="-0.499984740745262"/>
      </left>
      <right style="thin">
        <color theme="2" tint="-0.89996032593768116"/>
      </right>
      <top style="thin">
        <color theme="2" tint="-0.89996032593768116"/>
      </top>
      <bottom style="thin">
        <color theme="2" tint="-0.89996032593768116"/>
      </bottom>
      <diagonal/>
    </border>
    <border>
      <left style="thin">
        <color theme="2" tint="-0.89996032593768116"/>
      </left>
      <right style="double">
        <color theme="2" tint="-0.499984740745262"/>
      </right>
      <top style="thin">
        <color theme="2" tint="-0.89996032593768116"/>
      </top>
      <bottom style="thin">
        <color theme="2" tint="-0.89996032593768116"/>
      </bottom>
      <diagonal/>
    </border>
    <border>
      <left style="double">
        <color theme="2" tint="-0.499984740745262"/>
      </left>
      <right style="thin">
        <color theme="2" tint="-0.89996032593768116"/>
      </right>
      <top style="thin">
        <color theme="2" tint="-0.89996032593768116"/>
      </top>
      <bottom style="double">
        <color theme="2" tint="-0.499984740745262"/>
      </bottom>
      <diagonal/>
    </border>
    <border>
      <left style="thin">
        <color theme="2" tint="-0.89996032593768116"/>
      </left>
      <right style="thin">
        <color theme="2" tint="-0.89996032593768116"/>
      </right>
      <top style="thin">
        <color theme="2" tint="-0.89996032593768116"/>
      </top>
      <bottom style="double">
        <color theme="2" tint="-0.499984740745262"/>
      </bottom>
      <diagonal/>
    </border>
    <border>
      <left style="thin">
        <color theme="2" tint="-0.89996032593768116"/>
      </left>
      <right style="double">
        <color theme="2" tint="-0.499984740745262"/>
      </right>
      <top style="thin">
        <color theme="2" tint="-0.89996032593768116"/>
      </top>
      <bottom style="double">
        <color theme="2" tint="-0.4999847407452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auto="1"/>
      </bottom>
      <diagonal/>
    </border>
    <border>
      <left style="thin">
        <color indexed="64"/>
      </left>
      <right/>
      <top/>
      <bottom/>
      <diagonal/>
    </border>
    <border>
      <left/>
      <right style="thin">
        <color theme="0"/>
      </right>
      <top/>
      <bottom style="hair">
        <color auto="1"/>
      </bottom>
      <diagonal/>
    </border>
    <border>
      <left/>
      <right style="thin">
        <color theme="0"/>
      </right>
      <top style="thin">
        <color indexed="64"/>
      </top>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right style="thin">
        <color indexed="64"/>
      </right>
      <top/>
      <bottom style="hair">
        <color auto="1"/>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right/>
      <top/>
      <bottom style="medium">
        <color theme="1"/>
      </bottom>
      <diagonal/>
    </border>
    <border>
      <left/>
      <right style="medium">
        <color theme="1"/>
      </right>
      <top/>
      <bottom style="medium">
        <color theme="1"/>
      </bottom>
      <diagonal/>
    </border>
    <border>
      <left style="thin">
        <color theme="0"/>
      </left>
      <right/>
      <top/>
      <bottom style="thin">
        <color indexed="64"/>
      </bottom>
      <diagonal/>
    </border>
    <border>
      <left/>
      <right style="thin">
        <color theme="0"/>
      </right>
      <top/>
      <bottom style="thin">
        <color indexed="64"/>
      </bottom>
      <diagonal/>
    </border>
    <border>
      <left style="thin">
        <color indexed="64"/>
      </left>
      <right style="thin">
        <color indexed="64"/>
      </right>
      <top style="thin">
        <color theme="0"/>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theme="0"/>
      </top>
      <bottom style="thin">
        <color indexed="64"/>
      </bottom>
      <diagonal/>
    </border>
    <border>
      <left style="thin">
        <color indexed="64"/>
      </left>
      <right style="thin">
        <color theme="1"/>
      </right>
      <top/>
      <bottom style="hair">
        <color theme="1"/>
      </bottom>
      <diagonal/>
    </border>
    <border>
      <left style="thin">
        <color theme="1"/>
      </left>
      <right style="thin">
        <color indexed="64"/>
      </right>
      <top/>
      <bottom style="hair">
        <color theme="1"/>
      </bottom>
      <diagonal/>
    </border>
    <border>
      <left style="thin">
        <color indexed="64"/>
      </left>
      <right style="thin">
        <color theme="1"/>
      </right>
      <top style="hair">
        <color theme="1"/>
      </top>
      <bottom style="hair">
        <color theme="1"/>
      </bottom>
      <diagonal/>
    </border>
    <border>
      <left style="thin">
        <color theme="1"/>
      </left>
      <right style="thin">
        <color indexed="64"/>
      </right>
      <top style="hair">
        <color theme="1"/>
      </top>
      <bottom style="hair">
        <color theme="1"/>
      </bottom>
      <diagonal/>
    </border>
    <border>
      <left style="thin">
        <color indexed="64"/>
      </left>
      <right style="thin">
        <color theme="1"/>
      </right>
      <top style="hair">
        <color theme="1"/>
      </top>
      <bottom style="thin">
        <color indexed="64"/>
      </bottom>
      <diagonal/>
    </border>
    <border>
      <left style="thin">
        <color theme="1"/>
      </left>
      <right style="thin">
        <color indexed="64"/>
      </right>
      <top style="hair">
        <color theme="1"/>
      </top>
      <bottom style="thin">
        <color indexed="64"/>
      </bottom>
      <diagonal/>
    </border>
    <border>
      <left style="medium">
        <color indexed="64"/>
      </left>
      <right style="medium">
        <color indexed="64"/>
      </right>
      <top style="medium">
        <color indexed="64"/>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2" tint="-0.89996032593768116"/>
      </left>
      <right/>
      <top style="thin">
        <color theme="2" tint="-0.89996032593768116"/>
      </top>
      <bottom style="thin">
        <color theme="2" tint="-0.89996032593768116"/>
      </bottom>
      <diagonal/>
    </border>
    <border>
      <left/>
      <right style="double">
        <color theme="2" tint="-0.499984740745262"/>
      </right>
      <top style="thin">
        <color theme="2" tint="-0.89996032593768116"/>
      </top>
      <bottom style="thin">
        <color theme="2" tint="-0.89996032593768116"/>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rgb="FFFFC000"/>
      </left>
      <right/>
      <top/>
      <bottom/>
      <diagonal/>
    </border>
    <border>
      <left/>
      <right style="medium">
        <color rgb="FFFFC000"/>
      </right>
      <top/>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0" tint="-0.34998626667073579"/>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0" tint="-0.34998626667073579"/>
      </right>
      <top style="thin">
        <color theme="2" tint="-9.9948118533890809E-2"/>
      </top>
      <bottom style="thin">
        <color theme="2" tint="-9.9948118533890809E-2"/>
      </bottom>
      <diagonal/>
    </border>
    <border>
      <left style="thin">
        <color theme="0" tint="-0.34998626667073579"/>
      </left>
      <right style="thin">
        <color theme="2" tint="-9.9948118533890809E-2"/>
      </right>
      <top style="thin">
        <color theme="2" tint="-9.9948118533890809E-2"/>
      </top>
      <bottom style="thin">
        <color theme="0" tint="-0.34998626667073579"/>
      </bottom>
      <diagonal/>
    </border>
    <border>
      <left style="thin">
        <color theme="2" tint="-9.9948118533890809E-2"/>
      </left>
      <right style="thin">
        <color theme="2" tint="-9.9948118533890809E-2"/>
      </right>
      <top style="thin">
        <color theme="2" tint="-9.9948118533890809E-2"/>
      </top>
      <bottom style="thin">
        <color theme="0" tint="-0.34998626667073579"/>
      </bottom>
      <diagonal/>
    </border>
    <border>
      <left style="thin">
        <color theme="2" tint="-9.9948118533890809E-2"/>
      </left>
      <right style="thin">
        <color theme="0" tint="-0.34998626667073579"/>
      </right>
      <top style="thin">
        <color theme="2" tint="-9.9948118533890809E-2"/>
      </top>
      <bottom style="thin">
        <color theme="0" tint="-0.34998626667073579"/>
      </bottom>
      <diagonal/>
    </border>
    <border>
      <left/>
      <right/>
      <top style="double">
        <color theme="1"/>
      </top>
      <bottom/>
      <diagonal/>
    </border>
    <border>
      <left style="thin">
        <color rgb="FFFF9900"/>
      </left>
      <right style="thin">
        <color rgb="FFFF9900"/>
      </right>
      <top style="thin">
        <color rgb="FFFF9900"/>
      </top>
      <bottom style="hair">
        <color rgb="FFFF9900"/>
      </bottom>
      <diagonal/>
    </border>
    <border>
      <left style="thin">
        <color rgb="FFFF9900"/>
      </left>
      <right/>
      <top style="thin">
        <color rgb="FFFF9900"/>
      </top>
      <bottom style="hair">
        <color rgb="FFFF9900"/>
      </bottom>
      <diagonal/>
    </border>
    <border>
      <left style="thin">
        <color rgb="FFFF9900"/>
      </left>
      <right/>
      <top style="thin">
        <color rgb="FFFF9900"/>
      </top>
      <bottom style="thin">
        <color rgb="FFFF9900"/>
      </bottom>
      <diagonal/>
    </border>
    <border>
      <left/>
      <right/>
      <top style="thin">
        <color rgb="FFFF9900"/>
      </top>
      <bottom style="thin">
        <color rgb="FFFF9900"/>
      </bottom>
      <diagonal/>
    </border>
    <border>
      <left style="thin">
        <color rgb="FFFF9900"/>
      </left>
      <right style="thin">
        <color rgb="FFFF9900"/>
      </right>
      <top style="thin">
        <color rgb="FFFF9900"/>
      </top>
      <bottom style="thin">
        <color rgb="FFFF9900"/>
      </bottom>
      <diagonal/>
    </border>
    <border>
      <left style="thin">
        <color rgb="FFFF9900"/>
      </left>
      <right style="thin">
        <color rgb="FFFF9900"/>
      </right>
      <top style="hair">
        <color rgb="FFFF9900"/>
      </top>
      <bottom style="hair">
        <color rgb="FFFF9900"/>
      </bottom>
      <diagonal/>
    </border>
    <border>
      <left style="thin">
        <color rgb="FFFF9900"/>
      </left>
      <right/>
      <top style="hair">
        <color rgb="FFFF9900"/>
      </top>
      <bottom style="hair">
        <color rgb="FFFF9900"/>
      </bottom>
      <diagonal/>
    </border>
    <border>
      <left style="thin">
        <color rgb="FFFF9900"/>
      </left>
      <right style="thin">
        <color rgb="FFFF9900"/>
      </right>
      <top/>
      <bottom style="hair">
        <color rgb="FFFF9900"/>
      </bottom>
      <diagonal/>
    </border>
    <border>
      <left style="thin">
        <color rgb="FFFF9900"/>
      </left>
      <right style="thin">
        <color rgb="FFFF9900"/>
      </right>
      <top style="hair">
        <color rgb="FFFF9900"/>
      </top>
      <bottom style="thin">
        <color rgb="FFFF9900"/>
      </bottom>
      <diagonal/>
    </border>
    <border>
      <left style="thin">
        <color rgb="FFFF9900"/>
      </left>
      <right/>
      <top style="hair">
        <color rgb="FFFF9900"/>
      </top>
      <bottom style="thin">
        <color rgb="FFFF9900"/>
      </bottom>
      <diagonal/>
    </border>
    <border>
      <left style="thin">
        <color rgb="FFFF9900"/>
      </left>
      <right/>
      <top/>
      <bottom style="hair">
        <color rgb="FFFF9900"/>
      </bottom>
      <diagonal/>
    </border>
    <border>
      <left style="thin">
        <color indexed="64"/>
      </left>
      <right style="thin">
        <color rgb="FFFF9900"/>
      </right>
      <top style="hair">
        <color rgb="FFFF9900"/>
      </top>
      <bottom style="thin">
        <color rgb="FFFF9900"/>
      </bottom>
      <diagonal/>
    </border>
    <border>
      <left style="thin">
        <color rgb="FFFF9900"/>
      </left>
      <right style="thin">
        <color rgb="FFFF9900"/>
      </right>
      <top style="hair">
        <color rgb="FFFF9900"/>
      </top>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style="hair">
        <color rgb="FFFF0000"/>
      </bottom>
      <diagonal/>
    </border>
    <border>
      <left/>
      <right style="thin">
        <color rgb="FFFF0000"/>
      </right>
      <top style="thin">
        <color rgb="FFFF0000"/>
      </top>
      <bottom style="thin">
        <color rgb="FFFF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style="thin">
        <color rgb="FFFF0000"/>
      </left>
      <right style="thin">
        <color rgb="FFFF0000"/>
      </right>
      <top style="hair">
        <color rgb="FFFF0000"/>
      </top>
      <bottom style="hair">
        <color rgb="FFFF0000"/>
      </bottom>
      <diagonal/>
    </border>
    <border>
      <left style="thin">
        <color rgb="FFFF0000"/>
      </left>
      <right style="thin">
        <color rgb="FFFF0000"/>
      </right>
      <top style="thin">
        <color rgb="FFFF0000"/>
      </top>
      <bottom/>
      <diagonal/>
    </border>
    <border>
      <left style="thin">
        <color rgb="FFFF0000"/>
      </left>
      <right style="thin">
        <color rgb="FFFF0000"/>
      </right>
      <top/>
      <bottom style="hair">
        <color rgb="FFFF0000"/>
      </bottom>
      <diagonal/>
    </border>
    <border>
      <left style="thin">
        <color rgb="FFFF0000"/>
      </left>
      <right style="thin">
        <color rgb="FFFF0000"/>
      </right>
      <top/>
      <bottom style="thin">
        <color rgb="FFFF0000"/>
      </bottom>
      <diagonal/>
    </border>
    <border>
      <left/>
      <right style="thin">
        <color rgb="FFFF0000"/>
      </right>
      <top style="hair">
        <color rgb="FFFF0000"/>
      </top>
      <bottom style="hair">
        <color rgb="FFFF0000"/>
      </bottom>
      <diagonal/>
    </border>
    <border>
      <left/>
      <right/>
      <top/>
      <bottom style="hair">
        <color rgb="FFFF0000"/>
      </bottom>
      <diagonal/>
    </border>
    <border>
      <left style="thin">
        <color rgb="FFFF0000"/>
      </left>
      <right style="thin">
        <color rgb="FFFF0000"/>
      </right>
      <top style="hair">
        <color rgb="FFFF0000"/>
      </top>
      <bottom style="thin">
        <color rgb="FFFF0000"/>
      </bottom>
      <diagonal/>
    </border>
    <border>
      <left style="thin">
        <color rgb="FFFF0000"/>
      </left>
      <right style="thin">
        <color rgb="FFFF0000"/>
      </right>
      <top style="hair">
        <color rgb="FFFF0000"/>
      </top>
      <bottom/>
      <diagonal/>
    </border>
    <border>
      <left/>
      <right style="thin">
        <color rgb="FFFF0000"/>
      </right>
      <top style="hair">
        <color rgb="FFFF0000"/>
      </top>
      <bottom/>
      <diagonal/>
    </border>
    <border>
      <left/>
      <right style="thin">
        <color rgb="FFFF0000"/>
      </right>
      <top/>
      <bottom style="hair">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style="thin">
        <color indexed="64"/>
      </right>
      <top style="thin">
        <color indexed="64"/>
      </top>
      <bottom style="thin">
        <color theme="0"/>
      </bottom>
      <diagonal/>
    </border>
    <border>
      <left style="thin">
        <color theme="0"/>
      </left>
      <right style="thin">
        <color indexed="64"/>
      </right>
      <top style="thin">
        <color auto="1"/>
      </top>
      <bottom style="thin">
        <color theme="0"/>
      </bottom>
      <diagonal/>
    </border>
    <border>
      <left style="thin">
        <color theme="0"/>
      </left>
      <right style="thin">
        <color theme="0"/>
      </right>
      <top style="thin">
        <color auto="1"/>
      </top>
      <bottom style="thin">
        <color theme="0"/>
      </bottom>
      <diagonal/>
    </border>
    <border>
      <left style="medium">
        <color rgb="FF800000"/>
      </left>
      <right style="medium">
        <color rgb="FF800000"/>
      </right>
      <top style="medium">
        <color rgb="FF800000"/>
      </top>
      <bottom/>
      <diagonal/>
    </border>
    <border>
      <left style="medium">
        <color rgb="FF800000"/>
      </left>
      <right style="medium">
        <color rgb="FF800000"/>
      </right>
      <top/>
      <bottom style="medium">
        <color rgb="FF800000"/>
      </bottom>
      <diagonal/>
    </border>
    <border>
      <left style="thin">
        <color theme="0"/>
      </left>
      <right/>
      <top/>
      <bottom/>
      <diagonal/>
    </border>
    <border>
      <left style="thin">
        <color theme="1"/>
      </left>
      <right/>
      <top style="thin">
        <color theme="1"/>
      </top>
      <bottom/>
      <diagonal/>
    </border>
    <border>
      <left/>
      <right/>
      <top style="thin">
        <color theme="1"/>
      </top>
      <bottom/>
      <diagonal/>
    </border>
    <border>
      <left/>
      <right style="medium">
        <color theme="1"/>
      </right>
      <top style="thin">
        <color theme="1"/>
      </top>
      <bottom/>
      <diagonal/>
    </border>
    <border>
      <left style="thin">
        <color theme="1"/>
      </left>
      <right/>
      <top/>
      <bottom style="medium">
        <color theme="1"/>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top style="thin">
        <color theme="0"/>
      </top>
      <bottom style="medium">
        <color theme="6" tint="-0.499984740745262"/>
      </bottom>
      <diagonal/>
    </border>
    <border>
      <left/>
      <right/>
      <top style="thin">
        <color theme="0"/>
      </top>
      <bottom style="medium">
        <color theme="6" tint="-0.499984740745262"/>
      </bottom>
      <diagonal/>
    </border>
    <border>
      <left/>
      <right style="thin">
        <color theme="0"/>
      </right>
      <top style="thin">
        <color theme="0"/>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indexed="64"/>
      </left>
      <right/>
      <top style="medium">
        <color theme="6" tint="-0.499984740745262"/>
      </top>
      <bottom/>
      <diagonal/>
    </border>
    <border>
      <left/>
      <right style="medium">
        <color theme="6" tint="-0.499984740745262"/>
      </right>
      <top style="thin">
        <color indexed="64"/>
      </top>
      <bottom/>
      <diagonal/>
    </border>
    <border>
      <left style="thin">
        <color indexed="64"/>
      </left>
      <right/>
      <top/>
      <bottom style="medium">
        <color theme="6" tint="-0.499984740745262"/>
      </bottom>
      <diagonal/>
    </border>
    <border>
      <left/>
      <right/>
      <top/>
      <bottom style="medium">
        <color theme="5" tint="-0.499984740745262"/>
      </bottom>
      <diagonal/>
    </border>
    <border>
      <left style="medium">
        <color theme="5" tint="-0.499984740745262"/>
      </left>
      <right/>
      <top style="medium">
        <color theme="5" tint="-0.499984740745262"/>
      </top>
      <bottom/>
      <diagonal/>
    </border>
    <border>
      <left/>
      <right/>
      <top style="medium">
        <color theme="5" tint="-0.499984740745262"/>
      </top>
      <bottom/>
      <diagonal/>
    </border>
    <border>
      <left/>
      <right style="medium">
        <color theme="5" tint="-0.499984740745262"/>
      </right>
      <top style="medium">
        <color theme="5" tint="-0.499984740745262"/>
      </top>
      <bottom/>
      <diagonal/>
    </border>
    <border>
      <left style="medium">
        <color theme="5" tint="-0.499984740745262"/>
      </left>
      <right/>
      <top/>
      <bottom/>
      <diagonal/>
    </border>
    <border>
      <left/>
      <right style="medium">
        <color theme="5" tint="-0.499984740745262"/>
      </right>
      <top/>
      <bottom/>
      <diagonal/>
    </border>
    <border>
      <left style="medium">
        <color theme="5" tint="-0.499984740745262"/>
      </left>
      <right/>
      <top/>
      <bottom style="medium">
        <color theme="5" tint="-0.499984740745262"/>
      </bottom>
      <diagonal/>
    </border>
    <border>
      <left/>
      <right style="medium">
        <color theme="5" tint="-0.499984740745262"/>
      </right>
      <top/>
      <bottom style="medium">
        <color theme="5" tint="-0.499984740745262"/>
      </bottom>
      <diagonal/>
    </border>
    <border>
      <left style="medium">
        <color theme="7" tint="-0.499984740745262"/>
      </left>
      <right/>
      <top style="medium">
        <color theme="7" tint="-0.499984740745262"/>
      </top>
      <bottom/>
      <diagonal/>
    </border>
    <border>
      <left/>
      <right/>
      <top style="medium">
        <color theme="7" tint="-0.499984740745262"/>
      </top>
      <bottom/>
      <diagonal/>
    </border>
    <border>
      <left/>
      <right style="medium">
        <color theme="7" tint="-0.499984740745262"/>
      </right>
      <top style="medium">
        <color theme="7" tint="-0.499984740745262"/>
      </top>
      <bottom/>
      <diagonal/>
    </border>
    <border>
      <left style="medium">
        <color theme="7" tint="-0.499984740745262"/>
      </left>
      <right/>
      <top/>
      <bottom/>
      <diagonal/>
    </border>
    <border>
      <left/>
      <right style="medium">
        <color theme="7" tint="-0.499984740745262"/>
      </right>
      <top/>
      <bottom/>
      <diagonal/>
    </border>
    <border>
      <left style="medium">
        <color theme="7" tint="-0.499984740745262"/>
      </left>
      <right/>
      <top/>
      <bottom style="medium">
        <color theme="7" tint="-0.499984740745262"/>
      </bottom>
      <diagonal/>
    </border>
    <border>
      <left/>
      <right/>
      <top/>
      <bottom style="medium">
        <color theme="7" tint="-0.499984740745262"/>
      </bottom>
      <diagonal/>
    </border>
    <border>
      <left/>
      <right style="medium">
        <color theme="7" tint="-0.499984740745262"/>
      </right>
      <top/>
      <bottom style="medium">
        <color theme="7" tint="-0.499984740745262"/>
      </bottom>
      <diagonal/>
    </border>
    <border>
      <left style="medium">
        <color theme="8" tint="-0.499984740745262"/>
      </left>
      <right/>
      <top style="medium">
        <color theme="8" tint="-0.499984740745262"/>
      </top>
      <bottom/>
      <diagonal/>
    </border>
    <border>
      <left/>
      <right/>
      <top style="medium">
        <color theme="8" tint="-0.499984740745262"/>
      </top>
      <bottom/>
      <diagonal/>
    </border>
    <border>
      <left/>
      <right style="medium">
        <color theme="8" tint="-0.499984740745262"/>
      </right>
      <top style="medium">
        <color theme="8" tint="-0.499984740745262"/>
      </top>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9" tint="-0.499984740745262"/>
      </left>
      <right/>
      <top/>
      <bottom/>
      <diagonal/>
    </border>
    <border>
      <left/>
      <right style="medium">
        <color theme="9" tint="-0.499984740745262"/>
      </right>
      <top/>
      <bottom/>
      <diagonal/>
    </border>
    <border>
      <left style="medium">
        <color theme="1"/>
      </left>
      <right/>
      <top/>
      <bottom/>
      <diagonal/>
    </border>
    <border>
      <left/>
      <right style="medium">
        <color theme="1"/>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style="medium">
        <color theme="1"/>
      </left>
      <right/>
      <top/>
      <bottom style="medium">
        <color theme="1"/>
      </bottom>
      <diagonal/>
    </border>
  </borders>
  <cellStyleXfs count="138">
    <xf numFmtId="0" fontId="0"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1" applyNumberFormat="0" applyFill="0" applyAlignment="0" applyProtection="0">
      <alignment vertical="center"/>
    </xf>
    <xf numFmtId="0" fontId="5" fillId="0" borderId="2" applyNumberFormat="0" applyFill="0" applyAlignment="0" applyProtection="0">
      <alignment vertical="center"/>
    </xf>
    <xf numFmtId="0" fontId="6" fillId="0" borderId="3" applyNumberFormat="0" applyFill="0" applyAlignment="0" applyProtection="0">
      <alignment vertical="center"/>
    </xf>
    <xf numFmtId="0" fontId="6" fillId="0" borderId="0" applyNumberFormat="0" applyFill="0" applyBorder="0" applyAlignment="0" applyProtection="0">
      <alignment vertical="center"/>
    </xf>
    <xf numFmtId="0" fontId="7" fillId="2" borderId="0" applyNumberFormat="0" applyBorder="0" applyAlignment="0" applyProtection="0">
      <alignment vertical="center"/>
    </xf>
    <xf numFmtId="0" fontId="8" fillId="3" borderId="0" applyNumberFormat="0" applyBorder="0" applyAlignment="0" applyProtection="0">
      <alignment vertical="center"/>
    </xf>
    <xf numFmtId="0" fontId="9" fillId="4" borderId="0" applyNumberFormat="0" applyBorder="0" applyAlignment="0" applyProtection="0">
      <alignment vertical="center"/>
    </xf>
    <xf numFmtId="0" fontId="10" fillId="5" borderId="4" applyNumberFormat="0" applyAlignment="0" applyProtection="0">
      <alignment vertical="center"/>
    </xf>
    <xf numFmtId="0" fontId="11" fillId="6" borderId="5" applyNumberFormat="0" applyAlignment="0" applyProtection="0">
      <alignment vertical="center"/>
    </xf>
    <xf numFmtId="0" fontId="12" fillId="6" borderId="4" applyNumberFormat="0" applyAlignment="0" applyProtection="0">
      <alignment vertical="center"/>
    </xf>
    <xf numFmtId="0" fontId="13" fillId="0" borderId="6" applyNumberFormat="0" applyFill="0" applyAlignment="0" applyProtection="0">
      <alignment vertical="center"/>
    </xf>
    <xf numFmtId="0" fontId="14" fillId="7" borderId="7" applyNumberFormat="0" applyAlignment="0" applyProtection="0">
      <alignment vertical="center"/>
    </xf>
    <xf numFmtId="0" fontId="15" fillId="0" borderId="0" applyNumberFormat="0" applyFill="0" applyBorder="0" applyAlignment="0" applyProtection="0">
      <alignment vertical="center"/>
    </xf>
    <xf numFmtId="0" fontId="2" fillId="8" borderId="8" applyNumberFormat="0" applyFont="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2" fillId="26" borderId="0" applyNumberFormat="0" applyBorder="0" applyAlignment="0" applyProtection="0">
      <alignment vertical="center"/>
    </xf>
    <xf numFmtId="0" fontId="2" fillId="27" borderId="0" applyNumberFormat="0" applyBorder="0" applyAlignment="0" applyProtection="0">
      <alignment vertical="center"/>
    </xf>
    <xf numFmtId="0" fontId="18" fillId="28" borderId="0" applyNumberFormat="0" applyBorder="0" applyAlignment="0" applyProtection="0">
      <alignment vertical="center"/>
    </xf>
    <xf numFmtId="0" fontId="18" fillId="29" borderId="0" applyNumberFormat="0" applyBorder="0" applyAlignment="0" applyProtection="0">
      <alignment vertical="center"/>
    </xf>
    <xf numFmtId="0" fontId="2" fillId="30" borderId="0" applyNumberFormat="0" applyBorder="0" applyAlignment="0" applyProtection="0">
      <alignment vertical="center"/>
    </xf>
    <xf numFmtId="0" fontId="2" fillId="31" borderId="0" applyNumberFormat="0" applyBorder="0" applyAlignment="0" applyProtection="0">
      <alignment vertical="center"/>
    </xf>
    <xf numFmtId="0" fontId="18" fillId="32" borderId="0" applyNumberFormat="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0" fontId="23" fillId="0" borderId="0"/>
    <xf numFmtId="38" fontId="25" fillId="0" borderId="0" applyFont="0" applyFill="0" applyBorder="0" applyAlignment="0" applyProtection="0">
      <alignment vertical="center"/>
    </xf>
    <xf numFmtId="0" fontId="23" fillId="0" borderId="0"/>
    <xf numFmtId="0" fontId="23" fillId="0" borderId="0"/>
    <xf numFmtId="0" fontId="25" fillId="0" borderId="0">
      <alignment vertical="center"/>
    </xf>
    <xf numFmtId="0" fontId="30" fillId="0" borderId="0"/>
    <xf numFmtId="38" fontId="23" fillId="0" borderId="0" applyFont="0" applyFill="0" applyBorder="0" applyAlignment="0" applyProtection="0"/>
    <xf numFmtId="38" fontId="23" fillId="0" borderId="0" applyFont="0" applyFill="0" applyBorder="0" applyAlignment="0" applyProtection="0">
      <alignment vertical="center"/>
    </xf>
    <xf numFmtId="0" fontId="23" fillId="0" borderId="12">
      <alignment vertical="center"/>
    </xf>
    <xf numFmtId="0" fontId="25" fillId="0" borderId="0">
      <alignment vertical="center"/>
    </xf>
    <xf numFmtId="9" fontId="2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38" fontId="29" fillId="0" borderId="0" applyFont="0" applyFill="0" applyBorder="0" applyAlignment="0" applyProtection="0"/>
    <xf numFmtId="0" fontId="2" fillId="0" borderId="0">
      <alignment vertical="center"/>
    </xf>
    <xf numFmtId="0" fontId="29" fillId="0" borderId="0"/>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9" fontId="30" fillId="0" borderId="0" applyFont="0" applyFill="0" applyBorder="0" applyAlignment="0" applyProtection="0">
      <alignment vertical="center"/>
    </xf>
    <xf numFmtId="0" fontId="2" fillId="0" borderId="0">
      <alignment vertical="center"/>
    </xf>
    <xf numFmtId="38" fontId="30" fillId="0" borderId="0" applyFont="0" applyFill="0" applyBorder="0" applyAlignment="0" applyProtection="0">
      <alignment vertical="center"/>
    </xf>
    <xf numFmtId="0" fontId="28" fillId="0" borderId="0" applyFont="0" applyFill="0" applyBorder="0" applyAlignment="0" applyProtection="0"/>
    <xf numFmtId="38" fontId="23" fillId="0" borderId="0" applyFont="0" applyFill="0" applyBorder="0" applyAlignment="0" applyProtection="0"/>
    <xf numFmtId="0" fontId="19" fillId="0" borderId="0">
      <alignment vertical="center"/>
    </xf>
    <xf numFmtId="0" fontId="31" fillId="0" borderId="0" applyNumberFormat="0" applyFill="0" applyBorder="0" applyAlignment="0" applyProtection="0">
      <alignment vertical="top"/>
      <protection locked="0"/>
    </xf>
    <xf numFmtId="38" fontId="23" fillId="0" borderId="0" applyFont="0" applyFill="0" applyBorder="0" applyAlignment="0" applyProtection="0"/>
    <xf numFmtId="38" fontId="2" fillId="0" borderId="0" applyFont="0" applyFill="0" applyBorder="0" applyAlignment="0" applyProtection="0">
      <alignment vertical="center"/>
    </xf>
    <xf numFmtId="0" fontId="32" fillId="10" borderId="0" applyNumberFormat="0" applyBorder="0" applyAlignment="0" applyProtection="0">
      <alignment vertical="center"/>
    </xf>
    <xf numFmtId="0" fontId="32" fillId="14" borderId="0" applyNumberFormat="0" applyBorder="0" applyAlignment="0" applyProtection="0">
      <alignment vertical="center"/>
    </xf>
    <xf numFmtId="0" fontId="32" fillId="18" borderId="0" applyNumberFormat="0" applyBorder="0" applyAlignment="0" applyProtection="0">
      <alignment vertical="center"/>
    </xf>
    <xf numFmtId="0" fontId="32" fillId="22" borderId="0" applyNumberFormat="0" applyBorder="0" applyAlignment="0" applyProtection="0">
      <alignment vertical="center"/>
    </xf>
    <xf numFmtId="0" fontId="32" fillId="26" borderId="0" applyNumberFormat="0" applyBorder="0" applyAlignment="0" applyProtection="0">
      <alignment vertical="center"/>
    </xf>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32" fillId="15" borderId="0" applyNumberFormat="0" applyBorder="0" applyAlignment="0" applyProtection="0">
      <alignment vertical="center"/>
    </xf>
    <xf numFmtId="0" fontId="32" fillId="19" borderId="0" applyNumberFormat="0" applyBorder="0" applyAlignment="0" applyProtection="0">
      <alignment vertical="center"/>
    </xf>
    <xf numFmtId="0" fontId="32" fillId="23" borderId="0" applyNumberFormat="0" applyBorder="0" applyAlignment="0" applyProtection="0">
      <alignment vertical="center"/>
    </xf>
    <xf numFmtId="0" fontId="32" fillId="27" borderId="0" applyNumberFormat="0" applyBorder="0" applyAlignment="0" applyProtection="0">
      <alignment vertical="center"/>
    </xf>
    <xf numFmtId="0" fontId="32" fillId="31" borderId="0" applyNumberFormat="0" applyBorder="0" applyAlignment="0" applyProtection="0">
      <alignment vertical="center"/>
    </xf>
    <xf numFmtId="0" fontId="33" fillId="12" borderId="0" applyNumberFormat="0" applyBorder="0" applyAlignment="0" applyProtection="0">
      <alignment vertical="center"/>
    </xf>
    <xf numFmtId="0" fontId="33" fillId="16" borderId="0" applyNumberFormat="0" applyBorder="0" applyAlignment="0" applyProtection="0">
      <alignment vertical="center"/>
    </xf>
    <xf numFmtId="0" fontId="33" fillId="20" borderId="0" applyNumberFormat="0" applyBorder="0" applyAlignment="0" applyProtection="0">
      <alignment vertical="center"/>
    </xf>
    <xf numFmtId="0" fontId="33" fillId="24" borderId="0" applyNumberFormat="0" applyBorder="0" applyAlignment="0" applyProtection="0">
      <alignment vertical="center"/>
    </xf>
    <xf numFmtId="0" fontId="33" fillId="28" borderId="0" applyNumberFormat="0" applyBorder="0" applyAlignment="0" applyProtection="0">
      <alignment vertical="center"/>
    </xf>
    <xf numFmtId="0" fontId="33" fillId="32" borderId="0" applyNumberFormat="0" applyBorder="0" applyAlignment="0" applyProtection="0">
      <alignment vertical="center"/>
    </xf>
    <xf numFmtId="0" fontId="33" fillId="9" borderId="0" applyNumberFormat="0" applyBorder="0" applyAlignment="0" applyProtection="0">
      <alignment vertical="center"/>
    </xf>
    <xf numFmtId="0" fontId="33" fillId="13" borderId="0" applyNumberFormat="0" applyBorder="0" applyAlignment="0" applyProtection="0">
      <alignment vertical="center"/>
    </xf>
    <xf numFmtId="0" fontId="33" fillId="17" borderId="0" applyNumberFormat="0" applyBorder="0" applyAlignment="0" applyProtection="0">
      <alignment vertical="center"/>
    </xf>
    <xf numFmtId="0" fontId="33" fillId="21" borderId="0" applyNumberFormat="0" applyBorder="0" applyAlignment="0" applyProtection="0">
      <alignment vertical="center"/>
    </xf>
    <xf numFmtId="0" fontId="33" fillId="25" borderId="0" applyNumberFormat="0" applyBorder="0" applyAlignment="0" applyProtection="0">
      <alignment vertical="center"/>
    </xf>
    <xf numFmtId="0" fontId="33" fillId="29" borderId="0" applyNumberFormat="0" applyBorder="0" applyAlignment="0" applyProtection="0">
      <alignment vertical="center"/>
    </xf>
    <xf numFmtId="0" fontId="34" fillId="7" borderId="7" applyNumberFormat="0" applyAlignment="0" applyProtection="0">
      <alignment vertical="center"/>
    </xf>
    <xf numFmtId="0" fontId="35" fillId="4" borderId="0" applyNumberFormat="0" applyBorder="0" applyAlignment="0" applyProtection="0">
      <alignment vertical="center"/>
    </xf>
    <xf numFmtId="9" fontId="23" fillId="0" borderId="0" applyFont="0" applyFill="0" applyBorder="0" applyAlignment="0" applyProtection="0"/>
    <xf numFmtId="9" fontId="21" fillId="0" borderId="0" applyFont="0" applyFill="0" applyBorder="0" applyAlignment="0" applyProtection="0">
      <alignment vertical="center"/>
    </xf>
    <xf numFmtId="9" fontId="19" fillId="0" borderId="0" applyFont="0" applyFill="0" applyBorder="0" applyAlignment="0" applyProtection="0">
      <alignment vertical="center"/>
    </xf>
    <xf numFmtId="9" fontId="25" fillId="0" borderId="0" applyFont="0" applyFill="0" applyBorder="0" applyAlignment="0" applyProtection="0">
      <alignment vertical="center"/>
    </xf>
    <xf numFmtId="0" fontId="36" fillId="0" borderId="6" applyNumberFormat="0" applyFill="0" applyAlignment="0" applyProtection="0">
      <alignment vertical="center"/>
    </xf>
    <xf numFmtId="0" fontId="37" fillId="3" borderId="0" applyNumberFormat="0" applyBorder="0" applyAlignment="0" applyProtection="0">
      <alignment vertical="center"/>
    </xf>
    <xf numFmtId="0" fontId="38" fillId="6" borderId="4" applyNumberFormat="0" applyAlignment="0" applyProtection="0">
      <alignment vertical="center"/>
    </xf>
    <xf numFmtId="0" fontId="39" fillId="0" borderId="0" applyNumberFormat="0" applyFill="0" applyBorder="0" applyAlignment="0" applyProtection="0">
      <alignment vertical="center"/>
    </xf>
    <xf numFmtId="38" fontId="25" fillId="0" borderId="0" applyFont="0" applyFill="0" applyBorder="0" applyAlignment="0" applyProtection="0">
      <alignment vertical="center"/>
    </xf>
    <xf numFmtId="38" fontId="40" fillId="0" borderId="0" applyFont="0" applyFill="0" applyBorder="0" applyAlignment="0" applyProtection="0">
      <alignment vertical="center"/>
    </xf>
    <xf numFmtId="38" fontId="2" fillId="0" borderId="0" applyFont="0" applyFill="0" applyBorder="0" applyAlignment="0" applyProtection="0">
      <alignment vertical="center"/>
    </xf>
    <xf numFmtId="38" fontId="23" fillId="0" borderId="0" applyFont="0" applyFill="0" applyBorder="0" applyAlignment="0" applyProtection="0">
      <alignment vertical="center"/>
    </xf>
    <xf numFmtId="38" fontId="19" fillId="0" borderId="0" applyFont="0" applyFill="0" applyBorder="0" applyAlignment="0" applyProtection="0">
      <alignment vertical="center"/>
    </xf>
    <xf numFmtId="0" fontId="41" fillId="0" borderId="1" applyNumberFormat="0" applyFill="0" applyAlignment="0" applyProtection="0">
      <alignment vertical="center"/>
    </xf>
    <xf numFmtId="0" fontId="42" fillId="0" borderId="2" applyNumberFormat="0" applyFill="0" applyAlignment="0" applyProtection="0">
      <alignment vertical="center"/>
    </xf>
    <xf numFmtId="0" fontId="43" fillId="0" borderId="3" applyNumberFormat="0" applyFill="0" applyAlignment="0" applyProtection="0">
      <alignment vertical="center"/>
    </xf>
    <xf numFmtId="0" fontId="43" fillId="0" borderId="0" applyNumberFormat="0" applyFill="0" applyBorder="0" applyAlignment="0" applyProtection="0">
      <alignment vertical="center"/>
    </xf>
    <xf numFmtId="0" fontId="44" fillId="0" borderId="9" applyNumberFormat="0" applyFill="0" applyAlignment="0" applyProtection="0">
      <alignment vertical="center"/>
    </xf>
    <xf numFmtId="0" fontId="45" fillId="6" borderId="5" applyNumberFormat="0" applyAlignment="0" applyProtection="0">
      <alignment vertical="center"/>
    </xf>
    <xf numFmtId="0" fontId="46" fillId="0" borderId="0" applyNumberFormat="0" applyFill="0" applyBorder="0" applyAlignment="0" applyProtection="0">
      <alignment vertical="center"/>
    </xf>
    <xf numFmtId="0" fontId="47" fillId="5" borderId="4" applyNumberFormat="0" applyAlignment="0" applyProtection="0">
      <alignment vertical="center"/>
    </xf>
    <xf numFmtId="0" fontId="23" fillId="0" borderId="0">
      <alignment vertical="center"/>
    </xf>
    <xf numFmtId="0" fontId="23" fillId="0" borderId="12">
      <alignment vertical="center"/>
    </xf>
    <xf numFmtId="0" fontId="26" fillId="0" borderId="0"/>
    <xf numFmtId="0" fontId="23" fillId="0" borderId="0"/>
    <xf numFmtId="0" fontId="48" fillId="0" borderId="0"/>
    <xf numFmtId="0" fontId="23" fillId="0" borderId="0"/>
    <xf numFmtId="0" fontId="23" fillId="0" borderId="0">
      <alignment vertical="center"/>
    </xf>
    <xf numFmtId="0" fontId="24" fillId="0" borderId="0">
      <alignment vertical="center"/>
    </xf>
    <xf numFmtId="0" fontId="23" fillId="0" borderId="0"/>
    <xf numFmtId="0" fontId="2" fillId="0" borderId="0">
      <alignment vertical="center"/>
    </xf>
    <xf numFmtId="0" fontId="25" fillId="0" borderId="0">
      <alignment vertical="center"/>
    </xf>
    <xf numFmtId="0" fontId="48" fillId="0" borderId="0" applyProtection="0">
      <alignment horizontal="right"/>
    </xf>
    <xf numFmtId="0" fontId="19" fillId="0" borderId="0">
      <alignment vertical="center"/>
    </xf>
    <xf numFmtId="0" fontId="49" fillId="0" borderId="0"/>
    <xf numFmtId="0" fontId="50" fillId="2" borderId="0" applyNumberFormat="0" applyBorder="0" applyAlignment="0" applyProtection="0">
      <alignment vertical="center"/>
    </xf>
    <xf numFmtId="0" fontId="68" fillId="0" borderId="0" applyNumberFormat="0" applyFill="0" applyBorder="0" applyAlignment="0" applyProtection="0">
      <alignment vertical="top"/>
      <protection locked="0"/>
    </xf>
  </cellStyleXfs>
  <cellXfs count="717">
    <xf numFmtId="0" fontId="0" fillId="0" borderId="0" xfId="0">
      <alignment vertical="center"/>
    </xf>
    <xf numFmtId="0" fontId="0" fillId="0" borderId="14" xfId="0" applyBorder="1">
      <alignment vertical="center"/>
    </xf>
    <xf numFmtId="0" fontId="0" fillId="0" borderId="15" xfId="0" applyBorder="1">
      <alignment vertical="center"/>
    </xf>
    <xf numFmtId="0" fontId="0" fillId="0" borderId="17" xfId="0" applyBorder="1">
      <alignment vertical="center"/>
    </xf>
    <xf numFmtId="0" fontId="0" fillId="0" borderId="18" xfId="0" applyBorder="1">
      <alignment vertical="center"/>
    </xf>
    <xf numFmtId="0" fontId="0" fillId="0" borderId="16" xfId="0" applyBorder="1">
      <alignment vertical="center"/>
    </xf>
    <xf numFmtId="0" fontId="0" fillId="35" borderId="0" xfId="0" applyFill="1">
      <alignment vertical="center"/>
    </xf>
    <xf numFmtId="0" fontId="0" fillId="0" borderId="30" xfId="0" applyBorder="1">
      <alignment vertical="center"/>
    </xf>
    <xf numFmtId="0" fontId="0" fillId="39" borderId="0" xfId="0" applyFill="1">
      <alignment vertical="center"/>
    </xf>
    <xf numFmtId="0" fontId="52" fillId="39" borderId="0" xfId="0" applyFont="1" applyFill="1">
      <alignment vertical="center"/>
    </xf>
    <xf numFmtId="0" fontId="56" fillId="39" borderId="0" xfId="0" applyFont="1" applyFill="1">
      <alignment vertical="center"/>
    </xf>
    <xf numFmtId="0" fontId="57" fillId="39" borderId="0" xfId="0" applyFont="1" applyFill="1">
      <alignment vertical="center"/>
    </xf>
    <xf numFmtId="0" fontId="0" fillId="41" borderId="0" xfId="0" applyFill="1">
      <alignment vertical="center"/>
    </xf>
    <xf numFmtId="0" fontId="52" fillId="41" borderId="0" xfId="0" applyFont="1" applyFill="1">
      <alignment vertical="center"/>
    </xf>
    <xf numFmtId="0" fontId="52" fillId="41" borderId="0" xfId="0" applyFont="1" applyFill="1" applyAlignment="1">
      <alignment horizontal="center" vertical="center"/>
    </xf>
    <xf numFmtId="0" fontId="52" fillId="41" borderId="0" xfId="0" applyFont="1" applyFill="1" applyAlignment="1">
      <alignment horizontal="left" vertical="center"/>
    </xf>
    <xf numFmtId="0" fontId="56" fillId="41" borderId="0" xfId="0" applyFont="1" applyFill="1" applyAlignment="1">
      <alignment horizontal="left" vertical="center"/>
    </xf>
    <xf numFmtId="0" fontId="58" fillId="41" borderId="0" xfId="0" applyFont="1" applyFill="1">
      <alignment vertical="center"/>
    </xf>
    <xf numFmtId="38" fontId="0" fillId="34" borderId="0" xfId="1" applyFont="1" applyFill="1" applyBorder="1">
      <alignment vertical="center"/>
    </xf>
    <xf numFmtId="38" fontId="0" fillId="42" borderId="0" xfId="1" applyFont="1" applyFill="1" applyBorder="1">
      <alignment vertical="center"/>
    </xf>
    <xf numFmtId="0" fontId="0" fillId="44" borderId="0" xfId="0" applyFill="1">
      <alignment vertical="center"/>
    </xf>
    <xf numFmtId="0" fontId="52" fillId="44" borderId="0" xfId="0" applyFont="1" applyFill="1" applyAlignment="1">
      <alignment horizontal="center" vertical="center"/>
    </xf>
    <xf numFmtId="0" fontId="56" fillId="44" borderId="0" xfId="0" applyFont="1" applyFill="1" applyAlignment="1"/>
    <xf numFmtId="38" fontId="0" fillId="38" borderId="0" xfId="1" applyFont="1" applyFill="1" applyBorder="1">
      <alignment vertical="center"/>
    </xf>
    <xf numFmtId="181" fontId="0" fillId="42" borderId="37" xfId="1" applyNumberFormat="1" applyFont="1" applyFill="1" applyBorder="1">
      <alignment vertical="center"/>
    </xf>
    <xf numFmtId="181" fontId="0" fillId="42" borderId="0" xfId="1" applyNumberFormat="1" applyFont="1" applyFill="1" applyBorder="1">
      <alignment vertical="center"/>
    </xf>
    <xf numFmtId="38" fontId="0" fillId="33" borderId="0" xfId="0" applyNumberFormat="1" applyFill="1">
      <alignment vertical="center"/>
    </xf>
    <xf numFmtId="0" fontId="59" fillId="39" borderId="0" xfId="0" applyFont="1" applyFill="1">
      <alignment vertical="center"/>
    </xf>
    <xf numFmtId="38" fontId="59" fillId="39" borderId="0" xfId="1" applyFont="1" applyFill="1" applyBorder="1">
      <alignment vertical="center"/>
    </xf>
    <xf numFmtId="0" fontId="0" fillId="45" borderId="0" xfId="0" applyFill="1">
      <alignment vertical="center"/>
    </xf>
    <xf numFmtId="0" fontId="56" fillId="45" borderId="0" xfId="0" applyFont="1" applyFill="1" applyAlignment="1"/>
    <xf numFmtId="0" fontId="56" fillId="45" borderId="0" xfId="0" applyFont="1" applyFill="1">
      <alignment vertical="center"/>
    </xf>
    <xf numFmtId="181" fontId="0" fillId="34" borderId="38" xfId="1" applyNumberFormat="1" applyFont="1" applyFill="1" applyBorder="1">
      <alignment vertical="center"/>
    </xf>
    <xf numFmtId="0" fontId="52" fillId="45" borderId="0" xfId="0" applyFont="1" applyFill="1" applyAlignment="1">
      <alignment horizontal="center" vertical="center"/>
    </xf>
    <xf numFmtId="0" fontId="59" fillId="46" borderId="39" xfId="0" applyFont="1" applyFill="1" applyBorder="1">
      <alignment vertical="center"/>
    </xf>
    <xf numFmtId="0" fontId="60" fillId="46" borderId="39" xfId="0" applyFont="1" applyFill="1" applyBorder="1">
      <alignment vertical="center"/>
    </xf>
    <xf numFmtId="0" fontId="0" fillId="0" borderId="22" xfId="0" applyBorder="1">
      <alignment vertical="center"/>
    </xf>
    <xf numFmtId="0" fontId="52" fillId="44" borderId="0" xfId="0" applyFont="1" applyFill="1" applyAlignment="1"/>
    <xf numFmtId="0" fontId="0" fillId="43" borderId="0" xfId="0" applyFill="1">
      <alignment vertical="center"/>
    </xf>
    <xf numFmtId="0" fontId="52" fillId="43" borderId="0" xfId="0" applyFont="1" applyFill="1">
      <alignment vertical="center"/>
    </xf>
    <xf numFmtId="0" fontId="0" fillId="44" borderId="40" xfId="0" applyFill="1" applyBorder="1">
      <alignment vertical="center"/>
    </xf>
    <xf numFmtId="0" fontId="56" fillId="44" borderId="41" xfId="0" applyFont="1" applyFill="1" applyBorder="1" applyAlignment="1"/>
    <xf numFmtId="0" fontId="0" fillId="44" borderId="41" xfId="0" applyFill="1" applyBorder="1">
      <alignment vertical="center"/>
    </xf>
    <xf numFmtId="0" fontId="52" fillId="44" borderId="40" xfId="0" applyFont="1" applyFill="1" applyBorder="1" applyAlignment="1"/>
    <xf numFmtId="0" fontId="0" fillId="41" borderId="42" xfId="0" applyFill="1" applyBorder="1">
      <alignment vertical="center"/>
    </xf>
    <xf numFmtId="0" fontId="0" fillId="41" borderId="43" xfId="0" applyFill="1" applyBorder="1">
      <alignment vertical="center"/>
    </xf>
    <xf numFmtId="0" fontId="0" fillId="41" borderId="44" xfId="0" applyFill="1" applyBorder="1">
      <alignment vertical="center"/>
    </xf>
    <xf numFmtId="0" fontId="52" fillId="41" borderId="45" xfId="0" applyFont="1" applyFill="1" applyBorder="1" applyAlignment="1">
      <alignment horizontal="right" vertical="center"/>
    </xf>
    <xf numFmtId="0" fontId="0" fillId="41" borderId="46" xfId="0" applyFill="1" applyBorder="1">
      <alignment vertical="center"/>
    </xf>
    <xf numFmtId="0" fontId="0" fillId="41" borderId="45" xfId="0" applyFill="1" applyBorder="1">
      <alignment vertical="center"/>
    </xf>
    <xf numFmtId="0" fontId="56" fillId="41" borderId="46" xfId="0" applyFont="1" applyFill="1" applyBorder="1" applyAlignment="1"/>
    <xf numFmtId="0" fontId="52" fillId="41" borderId="46" xfId="0" applyFont="1" applyFill="1" applyBorder="1">
      <alignment vertical="center"/>
    </xf>
    <xf numFmtId="0" fontId="0" fillId="41" borderId="47" xfId="0" applyFill="1" applyBorder="1">
      <alignment vertical="center"/>
    </xf>
    <xf numFmtId="0" fontId="0" fillId="41" borderId="48" xfId="0" applyFill="1" applyBorder="1">
      <alignment vertical="center"/>
    </xf>
    <xf numFmtId="0" fontId="0" fillId="41" borderId="49" xfId="0" applyFill="1" applyBorder="1">
      <alignment vertical="center"/>
    </xf>
    <xf numFmtId="0" fontId="0" fillId="43" borderId="50" xfId="0" applyFill="1" applyBorder="1">
      <alignment vertical="center"/>
    </xf>
    <xf numFmtId="0" fontId="0" fillId="43" borderId="51" xfId="0" applyFill="1" applyBorder="1">
      <alignment vertical="center"/>
    </xf>
    <xf numFmtId="0" fontId="0" fillId="43" borderId="52" xfId="0" applyFill="1" applyBorder="1">
      <alignment vertical="center"/>
    </xf>
    <xf numFmtId="0" fontId="52" fillId="43" borderId="53" xfId="0" applyFont="1" applyFill="1" applyBorder="1" applyAlignment="1">
      <alignment horizontal="center" vertical="center"/>
    </xf>
    <xf numFmtId="0" fontId="0" fillId="43" borderId="54" xfId="0" applyFill="1" applyBorder="1">
      <alignment vertical="center"/>
    </xf>
    <xf numFmtId="0" fontId="0" fillId="43" borderId="53" xfId="0" applyFill="1" applyBorder="1">
      <alignment vertical="center"/>
    </xf>
    <xf numFmtId="0" fontId="52" fillId="45" borderId="55" xfId="0" applyFont="1" applyFill="1" applyBorder="1" applyAlignment="1"/>
    <xf numFmtId="0" fontId="52" fillId="45" borderId="56" xfId="0" applyFont="1" applyFill="1" applyBorder="1" applyAlignment="1"/>
    <xf numFmtId="0" fontId="0" fillId="45" borderId="56" xfId="0" applyFill="1" applyBorder="1">
      <alignment vertical="center"/>
    </xf>
    <xf numFmtId="0" fontId="0" fillId="45" borderId="57" xfId="0" applyFill="1" applyBorder="1">
      <alignment vertical="center"/>
    </xf>
    <xf numFmtId="0" fontId="0" fillId="45" borderId="58" xfId="0" applyFill="1" applyBorder="1">
      <alignment vertical="center"/>
    </xf>
    <xf numFmtId="0" fontId="56" fillId="45" borderId="59" xfId="0" applyFont="1" applyFill="1" applyBorder="1" applyAlignment="1"/>
    <xf numFmtId="0" fontId="0" fillId="45" borderId="59" xfId="0" applyFill="1" applyBorder="1">
      <alignment vertical="center"/>
    </xf>
    <xf numFmtId="0" fontId="56" fillId="45" borderId="59" xfId="0" applyFont="1" applyFill="1" applyBorder="1">
      <alignment vertical="center"/>
    </xf>
    <xf numFmtId="0" fontId="52" fillId="39" borderId="63" xfId="0" applyFont="1" applyFill="1" applyBorder="1" applyAlignment="1"/>
    <xf numFmtId="0" fontId="52" fillId="39" borderId="64" xfId="0" applyFont="1" applyFill="1" applyBorder="1" applyAlignment="1"/>
    <xf numFmtId="0" fontId="0" fillId="39" borderId="64" xfId="0" applyFill="1" applyBorder="1" applyAlignment="1"/>
    <xf numFmtId="0" fontId="0" fillId="39" borderId="64" xfId="0" applyFill="1" applyBorder="1">
      <alignment vertical="center"/>
    </xf>
    <xf numFmtId="0" fontId="0" fillId="39" borderId="65" xfId="0" applyFill="1" applyBorder="1">
      <alignment vertical="center"/>
    </xf>
    <xf numFmtId="0" fontId="0" fillId="39" borderId="66" xfId="0" applyFill="1" applyBorder="1">
      <alignment vertical="center"/>
    </xf>
    <xf numFmtId="0" fontId="56" fillId="39" borderId="67" xfId="0" applyFont="1" applyFill="1" applyBorder="1" applyAlignment="1"/>
    <xf numFmtId="0" fontId="0" fillId="39" borderId="67" xfId="0" applyFill="1" applyBorder="1">
      <alignment vertical="center"/>
    </xf>
    <xf numFmtId="0" fontId="25" fillId="39" borderId="67" xfId="0" applyFont="1" applyFill="1" applyBorder="1">
      <alignment vertical="center"/>
    </xf>
    <xf numFmtId="0" fontId="0" fillId="35" borderId="68" xfId="0" applyFill="1" applyBorder="1">
      <alignment vertical="center"/>
    </xf>
    <xf numFmtId="0" fontId="0" fillId="35" borderId="69" xfId="0" applyFill="1" applyBorder="1">
      <alignment vertical="center"/>
    </xf>
    <xf numFmtId="0" fontId="0" fillId="35" borderId="70" xfId="0" applyFill="1" applyBorder="1">
      <alignment vertical="center"/>
    </xf>
    <xf numFmtId="0" fontId="0" fillId="35" borderId="72" xfId="0" applyFill="1" applyBorder="1">
      <alignment vertical="center"/>
    </xf>
    <xf numFmtId="0" fontId="0" fillId="35" borderId="71" xfId="0" applyFill="1" applyBorder="1">
      <alignment vertical="center"/>
    </xf>
    <xf numFmtId="0" fontId="53" fillId="35" borderId="72" xfId="0" applyFont="1" applyFill="1" applyBorder="1">
      <alignment vertical="center"/>
    </xf>
    <xf numFmtId="0" fontId="0" fillId="35" borderId="73" xfId="0" applyFill="1" applyBorder="1">
      <alignment vertical="center"/>
    </xf>
    <xf numFmtId="0" fontId="0" fillId="35" borderId="74" xfId="0" applyFill="1" applyBorder="1">
      <alignment vertical="center"/>
    </xf>
    <xf numFmtId="0" fontId="0" fillId="35" borderId="75" xfId="0" applyFill="1" applyBorder="1">
      <alignment vertical="center"/>
    </xf>
    <xf numFmtId="0" fontId="59" fillId="46" borderId="76" xfId="0" applyFont="1" applyFill="1" applyBorder="1">
      <alignment vertical="center"/>
    </xf>
    <xf numFmtId="0" fontId="59" fillId="46" borderId="77" xfId="0" applyFont="1" applyFill="1" applyBorder="1">
      <alignment vertical="center"/>
    </xf>
    <xf numFmtId="0" fontId="59" fillId="46" borderId="78" xfId="0" applyFont="1" applyFill="1" applyBorder="1">
      <alignment vertical="center"/>
    </xf>
    <xf numFmtId="0" fontId="59" fillId="46" borderId="79" xfId="0" applyFont="1" applyFill="1" applyBorder="1">
      <alignment vertical="center"/>
    </xf>
    <xf numFmtId="0" fontId="59" fillId="46" borderId="80" xfId="0" applyFont="1" applyFill="1" applyBorder="1">
      <alignment vertical="center"/>
    </xf>
    <xf numFmtId="0" fontId="59" fillId="46" borderId="81" xfId="0" applyFont="1" applyFill="1" applyBorder="1">
      <alignment vertical="center"/>
    </xf>
    <xf numFmtId="0" fontId="59" fillId="46" borderId="82" xfId="0" applyFont="1" applyFill="1" applyBorder="1">
      <alignment vertical="center"/>
    </xf>
    <xf numFmtId="0" fontId="59" fillId="46" borderId="83" xfId="0" applyFont="1" applyFill="1" applyBorder="1">
      <alignment vertical="center"/>
    </xf>
    <xf numFmtId="0" fontId="52" fillId="35" borderId="71" xfId="0" applyFont="1" applyFill="1" applyBorder="1" applyAlignment="1">
      <alignment horizontal="center"/>
    </xf>
    <xf numFmtId="0" fontId="52" fillId="35" borderId="0" xfId="0" applyFont="1" applyFill="1" applyAlignment="1"/>
    <xf numFmtId="38" fontId="61" fillId="40" borderId="0" xfId="1" applyFont="1" applyFill="1" applyBorder="1" applyProtection="1">
      <alignment vertical="center"/>
      <protection locked="0"/>
    </xf>
    <xf numFmtId="38" fontId="0" fillId="0" borderId="0" xfId="1" applyFont="1" applyFill="1" applyBorder="1" applyProtection="1">
      <alignment vertical="center"/>
      <protection locked="0"/>
    </xf>
    <xf numFmtId="0" fontId="0" fillId="0" borderId="37" xfId="0" applyBorder="1" applyProtection="1">
      <alignment vertical="center"/>
      <protection locked="0"/>
    </xf>
    <xf numFmtId="181" fontId="0" fillId="0" borderId="0" xfId="1" applyNumberFormat="1" applyFont="1" applyFill="1" applyBorder="1" applyProtection="1">
      <alignment vertical="center"/>
      <protection locked="0"/>
    </xf>
    <xf numFmtId="0" fontId="18" fillId="0" borderId="14" xfId="0" applyFont="1" applyBorder="1" applyProtection="1">
      <alignment vertical="center"/>
      <protection locked="0"/>
    </xf>
    <xf numFmtId="0" fontId="18" fillId="0" borderId="17" xfId="0" applyFont="1" applyBorder="1" applyProtection="1">
      <alignment vertical="center"/>
      <protection locked="0"/>
    </xf>
    <xf numFmtId="0" fontId="0" fillId="0" borderId="21" xfId="0" applyBorder="1">
      <alignment vertical="center"/>
    </xf>
    <xf numFmtId="0" fontId="14" fillId="46" borderId="39" xfId="0" applyFont="1" applyFill="1" applyBorder="1">
      <alignment vertical="center"/>
    </xf>
    <xf numFmtId="186" fontId="62" fillId="46" borderId="80" xfId="0" applyNumberFormat="1" applyFont="1" applyFill="1" applyBorder="1">
      <alignment vertical="center"/>
    </xf>
    <xf numFmtId="0" fontId="0" fillId="48" borderId="123" xfId="0" applyFill="1" applyBorder="1" applyAlignment="1">
      <alignment vertical="center" wrapText="1"/>
    </xf>
    <xf numFmtId="0" fontId="0" fillId="48" borderId="126" xfId="0" applyFill="1" applyBorder="1">
      <alignment vertical="center"/>
    </xf>
    <xf numFmtId="0" fontId="0" fillId="48" borderId="128" xfId="0" applyFill="1" applyBorder="1">
      <alignment vertical="center"/>
    </xf>
    <xf numFmtId="0" fontId="40" fillId="45" borderId="0" xfId="0" applyFont="1" applyFill="1" applyAlignment="1">
      <alignment horizontal="center" vertical="center" textRotation="90"/>
    </xf>
    <xf numFmtId="0" fontId="18" fillId="47" borderId="58" xfId="0" applyFont="1" applyFill="1" applyBorder="1">
      <alignment vertical="center"/>
    </xf>
    <xf numFmtId="0" fontId="18" fillId="47" borderId="60" xfId="0" applyFont="1" applyFill="1" applyBorder="1">
      <alignment vertical="center"/>
    </xf>
    <xf numFmtId="0" fontId="0" fillId="39" borderId="131" xfId="0" applyFill="1" applyBorder="1">
      <alignment vertical="center"/>
    </xf>
    <xf numFmtId="0" fontId="0" fillId="39" borderId="132" xfId="0" applyFill="1" applyBorder="1">
      <alignment vertical="center"/>
    </xf>
    <xf numFmtId="0" fontId="0" fillId="39" borderId="133" xfId="0" applyFill="1" applyBorder="1">
      <alignment vertical="center"/>
    </xf>
    <xf numFmtId="0" fontId="0" fillId="39" borderId="134" xfId="0" applyFill="1" applyBorder="1">
      <alignment vertical="center"/>
    </xf>
    <xf numFmtId="0" fontId="0" fillId="39" borderId="135" xfId="0" applyFill="1" applyBorder="1">
      <alignment vertical="center"/>
    </xf>
    <xf numFmtId="0" fontId="0" fillId="39" borderId="136" xfId="0" applyFill="1" applyBorder="1">
      <alignment vertical="center"/>
    </xf>
    <xf numFmtId="0" fontId="69" fillId="0" borderId="0" xfId="0" applyFont="1" applyAlignment="1"/>
    <xf numFmtId="0" fontId="69" fillId="0" borderId="0" xfId="0" applyFont="1" applyAlignment="1">
      <alignment horizontal="right" vertical="center"/>
    </xf>
    <xf numFmtId="0" fontId="69" fillId="0" borderId="0" xfId="0" applyFont="1">
      <alignment vertical="center"/>
    </xf>
    <xf numFmtId="0" fontId="69" fillId="51" borderId="140" xfId="0" applyFont="1" applyFill="1" applyBorder="1" applyAlignment="1">
      <alignment horizontal="center" vertical="center"/>
    </xf>
    <xf numFmtId="0" fontId="69" fillId="51" borderId="141" xfId="0" applyFont="1" applyFill="1" applyBorder="1">
      <alignment vertical="center"/>
    </xf>
    <xf numFmtId="180" fontId="69" fillId="51" borderId="142" xfId="0" applyNumberFormat="1" applyFont="1" applyFill="1" applyBorder="1" applyAlignment="1">
      <alignment horizontal="center" vertical="top" shrinkToFit="1"/>
    </xf>
    <xf numFmtId="180" fontId="69" fillId="51" borderId="140" xfId="0" applyNumberFormat="1" applyFont="1" applyFill="1" applyBorder="1" applyAlignment="1">
      <alignment horizontal="center" vertical="top" shrinkToFit="1"/>
    </xf>
    <xf numFmtId="0" fontId="69" fillId="52" borderId="145" xfId="0" applyFont="1" applyFill="1" applyBorder="1" applyAlignment="1">
      <alignment horizontal="center" vertical="center"/>
    </xf>
    <xf numFmtId="0" fontId="69" fillId="52" borderId="148" xfId="0" applyFont="1" applyFill="1" applyBorder="1" applyAlignment="1">
      <alignment horizontal="center" vertical="center"/>
    </xf>
    <xf numFmtId="180" fontId="69" fillId="51" borderId="24" xfId="0" applyNumberFormat="1" applyFont="1" applyFill="1" applyBorder="1" applyAlignment="1">
      <alignment horizontal="center" vertical="top" shrinkToFit="1"/>
    </xf>
    <xf numFmtId="0" fontId="69" fillId="51" borderId="24" xfId="0" applyFont="1" applyFill="1" applyBorder="1" applyAlignment="1">
      <alignment vertical="top"/>
    </xf>
    <xf numFmtId="177" fontId="69" fillId="0" borderId="143" xfId="1" applyNumberFormat="1" applyFont="1" applyBorder="1">
      <alignment vertical="center"/>
    </xf>
    <xf numFmtId="177" fontId="69" fillId="0" borderId="144" xfId="1" applyNumberFormat="1" applyFont="1" applyBorder="1">
      <alignment vertical="center"/>
    </xf>
    <xf numFmtId="38" fontId="69" fillId="0" borderId="143" xfId="1" applyFont="1" applyFill="1" applyBorder="1">
      <alignment vertical="center"/>
    </xf>
    <xf numFmtId="181" fontId="69" fillId="0" borderId="143" xfId="1" applyNumberFormat="1" applyFont="1" applyFill="1" applyBorder="1">
      <alignment vertical="center"/>
    </xf>
    <xf numFmtId="0" fontId="69" fillId="51" borderId="24" xfId="0" applyFont="1" applyFill="1" applyBorder="1" applyAlignment="1">
      <alignment vertical="top" shrinkToFit="1"/>
    </xf>
    <xf numFmtId="0" fontId="71" fillId="51" borderId="24" xfId="0" applyFont="1" applyFill="1" applyBorder="1" applyAlignment="1">
      <alignment vertical="top" shrinkToFit="1"/>
    </xf>
    <xf numFmtId="180" fontId="71" fillId="51" borderId="13" xfId="0" applyNumberFormat="1" applyFont="1" applyFill="1" applyBorder="1" applyAlignment="1">
      <alignment horizontal="center" vertical="top" shrinkToFit="1"/>
    </xf>
    <xf numFmtId="0" fontId="69" fillId="51" borderId="27" xfId="0" applyFont="1" applyFill="1" applyBorder="1" applyAlignment="1">
      <alignment vertical="top" shrinkToFit="1"/>
    </xf>
    <xf numFmtId="177" fontId="69" fillId="0" borderId="149" xfId="1" applyNumberFormat="1" applyFont="1" applyBorder="1">
      <alignment vertical="center"/>
    </xf>
    <xf numFmtId="177" fontId="69" fillId="0" borderId="146" xfId="1" applyNumberFormat="1" applyFont="1" applyBorder="1">
      <alignment vertical="center"/>
    </xf>
    <xf numFmtId="177" fontId="69" fillId="0" borderId="147" xfId="1" applyNumberFormat="1" applyFont="1" applyBorder="1">
      <alignment vertical="center"/>
    </xf>
    <xf numFmtId="38" fontId="69" fillId="0" borderId="150" xfId="1" applyFont="1" applyFill="1" applyBorder="1">
      <alignment vertical="center"/>
    </xf>
    <xf numFmtId="181" fontId="69" fillId="0" borderId="150" xfId="1" applyNumberFormat="1" applyFont="1" applyFill="1" applyBorder="1">
      <alignment vertical="center"/>
    </xf>
    <xf numFmtId="180" fontId="69" fillId="52" borderId="10" xfId="0" applyNumberFormat="1" applyFont="1" applyFill="1" applyBorder="1" applyAlignment="1">
      <alignment horizontal="center" vertical="top" shrinkToFit="1"/>
    </xf>
    <xf numFmtId="0" fontId="69" fillId="52" borderId="10" xfId="0" applyFont="1" applyFill="1" applyBorder="1" applyAlignment="1">
      <alignment vertical="top" shrinkToFit="1"/>
    </xf>
    <xf numFmtId="38" fontId="69" fillId="0" borderId="142" xfId="0" applyNumberFormat="1" applyFont="1" applyBorder="1">
      <alignment vertical="center"/>
    </xf>
    <xf numFmtId="181" fontId="69" fillId="0" borderId="142" xfId="0" applyNumberFormat="1" applyFont="1" applyBorder="1">
      <alignment vertical="center"/>
    </xf>
    <xf numFmtId="0" fontId="69" fillId="0" borderId="0" xfId="0" applyFont="1" applyAlignment="1">
      <alignment horizontal="center" vertical="center"/>
    </xf>
    <xf numFmtId="177" fontId="72" fillId="37" borderId="137" xfId="47" applyNumberFormat="1" applyFont="1" applyFill="1" applyBorder="1" applyAlignment="1">
      <alignment horizontal="left" vertical="center"/>
    </xf>
    <xf numFmtId="0" fontId="69" fillId="0" borderId="14" xfId="44" applyFont="1" applyBorder="1">
      <alignment vertical="center"/>
    </xf>
    <xf numFmtId="0" fontId="73" fillId="0" borderId="14" xfId="44" applyFont="1" applyBorder="1">
      <alignment vertical="center"/>
    </xf>
    <xf numFmtId="0" fontId="69" fillId="0" borderId="17" xfId="44" applyFont="1" applyBorder="1">
      <alignment vertical="center"/>
    </xf>
    <xf numFmtId="0" fontId="73" fillId="0" borderId="17" xfId="44" applyFont="1" applyBorder="1">
      <alignment vertical="center"/>
    </xf>
    <xf numFmtId="177" fontId="69" fillId="0" borderId="17" xfId="47" applyNumberFormat="1" applyFont="1" applyBorder="1" applyAlignment="1">
      <alignment vertical="center"/>
    </xf>
    <xf numFmtId="177" fontId="69" fillId="0" borderId="17" xfId="47" applyNumberFormat="1" applyFont="1" applyBorder="1" applyAlignment="1">
      <alignment horizontal="left" vertical="center" shrinkToFit="1"/>
    </xf>
    <xf numFmtId="0" fontId="69" fillId="0" borderId="17" xfId="44" applyFont="1" applyBorder="1" applyAlignment="1">
      <alignment horizontal="center" vertical="center"/>
    </xf>
    <xf numFmtId="0" fontId="69" fillId="0" borderId="14" xfId="0" applyFont="1" applyBorder="1">
      <alignment vertical="center"/>
    </xf>
    <xf numFmtId="38" fontId="69" fillId="0" borderId="17" xfId="45" applyFont="1" applyBorder="1" applyAlignment="1">
      <alignment horizontal="center" vertical="center"/>
    </xf>
    <xf numFmtId="0" fontId="69" fillId="0" borderId="15" xfId="44" applyFont="1" applyBorder="1">
      <alignment vertical="center"/>
    </xf>
    <xf numFmtId="0" fontId="69" fillId="37" borderId="113" xfId="44" applyFont="1" applyFill="1" applyBorder="1">
      <alignment vertical="center"/>
    </xf>
    <xf numFmtId="0" fontId="69" fillId="37" borderId="114" xfId="44" applyFont="1" applyFill="1" applyBorder="1" applyAlignment="1">
      <alignment horizontal="center" vertical="center"/>
    </xf>
    <xf numFmtId="0" fontId="69" fillId="37" borderId="114" xfId="44" applyFont="1" applyFill="1" applyBorder="1">
      <alignment vertical="center"/>
    </xf>
    <xf numFmtId="177" fontId="73" fillId="37" borderId="114" xfId="47" applyNumberFormat="1" applyFont="1" applyFill="1" applyBorder="1" applyAlignment="1">
      <alignment vertical="center"/>
    </xf>
    <xf numFmtId="0" fontId="73" fillId="37" borderId="137" xfId="0" applyFont="1" applyFill="1" applyBorder="1">
      <alignment vertical="center"/>
    </xf>
    <xf numFmtId="0" fontId="69" fillId="37" borderId="115" xfId="44" applyFont="1" applyFill="1" applyBorder="1">
      <alignment vertical="center"/>
    </xf>
    <xf numFmtId="0" fontId="69" fillId="0" borderId="16" xfId="44" applyFont="1" applyBorder="1">
      <alignment vertical="center"/>
    </xf>
    <xf numFmtId="0" fontId="69" fillId="0" borderId="30" xfId="44" applyFont="1" applyBorder="1">
      <alignment vertical="center"/>
    </xf>
    <xf numFmtId="0" fontId="69" fillId="37" borderId="116" xfId="44" applyFont="1" applyFill="1" applyBorder="1">
      <alignment vertical="center"/>
    </xf>
    <xf numFmtId="0" fontId="69" fillId="37" borderId="0" xfId="44" applyFont="1" applyFill="1">
      <alignment vertical="center"/>
    </xf>
    <xf numFmtId="193" fontId="74" fillId="42" borderId="151" xfId="0" applyNumberFormat="1" applyFont="1" applyFill="1" applyBorder="1" applyAlignment="1">
      <alignment horizontal="center" vertical="center"/>
    </xf>
    <xf numFmtId="193" fontId="74" fillId="42" borderId="153" xfId="46" applyNumberFormat="1" applyFont="1" applyFill="1" applyBorder="1" applyAlignment="1">
      <alignment horizontal="center" vertical="center" wrapText="1" shrinkToFit="1"/>
    </xf>
    <xf numFmtId="193" fontId="74" fillId="42" borderId="151" xfId="46" applyNumberFormat="1" applyFont="1" applyFill="1" applyBorder="1" applyAlignment="1">
      <alignment horizontal="center" vertical="center" wrapText="1" shrinkToFit="1"/>
    </xf>
    <xf numFmtId="0" fontId="70" fillId="53" borderId="154" xfId="0" applyFont="1" applyFill="1" applyBorder="1" applyAlignment="1">
      <alignment horizontal="left" vertical="center"/>
    </xf>
    <xf numFmtId="0" fontId="70" fillId="53" borderId="153" xfId="0" applyFont="1" applyFill="1" applyBorder="1" applyAlignment="1">
      <alignment horizontal="center" vertical="center"/>
    </xf>
    <xf numFmtId="0" fontId="74" fillId="51" borderId="154" xfId="0" applyFont="1" applyFill="1" applyBorder="1" applyAlignment="1">
      <alignment horizontal="left" vertical="center"/>
    </xf>
    <xf numFmtId="0" fontId="74" fillId="51" borderId="155" xfId="0" applyFont="1" applyFill="1" applyBorder="1" applyAlignment="1">
      <alignment horizontal="center" vertical="center"/>
    </xf>
    <xf numFmtId="0" fontId="74" fillId="51" borderId="153" xfId="0" applyFont="1" applyFill="1" applyBorder="1" applyAlignment="1">
      <alignment horizontal="center" vertical="center"/>
    </xf>
    <xf numFmtId="0" fontId="69" fillId="52" borderId="151" xfId="0" applyFont="1" applyFill="1" applyBorder="1" applyAlignment="1">
      <alignment horizontal="center" vertical="center"/>
    </xf>
    <xf numFmtId="0" fontId="69" fillId="52" borderId="154" xfId="0" applyFont="1" applyFill="1" applyBorder="1" applyAlignment="1">
      <alignment horizontal="center" vertical="center"/>
    </xf>
    <xf numFmtId="0" fontId="69" fillId="52" borderId="155" xfId="0" applyFont="1" applyFill="1" applyBorder="1" applyAlignment="1">
      <alignment horizontal="center" vertical="center"/>
    </xf>
    <xf numFmtId="0" fontId="69" fillId="52" borderId="153" xfId="0" applyFont="1" applyFill="1" applyBorder="1" applyAlignment="1">
      <alignment horizontal="center" vertical="center"/>
    </xf>
    <xf numFmtId="0" fontId="69" fillId="37" borderId="117" xfId="44" applyFont="1" applyFill="1" applyBorder="1">
      <alignment vertical="center"/>
    </xf>
    <xf numFmtId="183" fontId="74" fillId="42" borderId="151" xfId="1" applyNumberFormat="1" applyFont="1" applyFill="1" applyBorder="1" applyAlignment="1">
      <alignment horizontal="center" vertical="center" wrapText="1" shrinkToFit="1"/>
    </xf>
    <xf numFmtId="38" fontId="74" fillId="42" borderId="153" xfId="1" applyFont="1" applyFill="1" applyBorder="1" applyAlignment="1">
      <alignment horizontal="center" vertical="center" wrapText="1" shrinkToFit="1"/>
    </xf>
    <xf numFmtId="0" fontId="70" fillId="53" borderId="151" xfId="48" applyFont="1" applyFill="1" applyBorder="1" applyAlignment="1">
      <alignment horizontal="center" vertical="center" wrapText="1"/>
    </xf>
    <xf numFmtId="0" fontId="70" fillId="53" borderId="151" xfId="48" applyFont="1" applyFill="1" applyBorder="1" applyAlignment="1">
      <alignment horizontal="center" vertical="center" wrapText="1" shrinkToFit="1"/>
    </xf>
    <xf numFmtId="0" fontId="74" fillId="51" borderId="151" xfId="0" applyFont="1" applyFill="1" applyBorder="1" applyAlignment="1">
      <alignment horizontal="center" vertical="center" wrapText="1"/>
    </xf>
    <xf numFmtId="0" fontId="74" fillId="51" borderId="151" xfId="48" applyFont="1" applyFill="1" applyBorder="1" applyAlignment="1">
      <alignment horizontal="center" vertical="center" wrapText="1"/>
    </xf>
    <xf numFmtId="0" fontId="74" fillId="51" borderId="151" xfId="48" applyFont="1" applyFill="1" applyBorder="1" applyAlignment="1">
      <alignment horizontal="center" vertical="center" wrapText="1" shrinkToFit="1"/>
    </xf>
    <xf numFmtId="0" fontId="69" fillId="52" borderId="151" xfId="0" applyFont="1" applyFill="1" applyBorder="1" applyAlignment="1">
      <alignment horizontal="center" vertical="center" wrapText="1"/>
    </xf>
    <xf numFmtId="0" fontId="69" fillId="52" borderId="151" xfId="0" applyFont="1" applyFill="1" applyBorder="1" applyAlignment="1">
      <alignment horizontal="center" vertical="center" shrinkToFit="1"/>
    </xf>
    <xf numFmtId="0" fontId="69" fillId="36" borderId="28" xfId="44" applyFont="1" applyFill="1" applyBorder="1" applyAlignment="1">
      <alignment horizontal="center" vertical="center"/>
    </xf>
    <xf numFmtId="38" fontId="69" fillId="36" borderId="28" xfId="45" applyFont="1" applyFill="1" applyBorder="1" applyAlignment="1">
      <alignment horizontal="center" vertical="center"/>
    </xf>
    <xf numFmtId="0" fontId="74" fillId="42" borderId="152" xfId="0" applyFont="1" applyFill="1" applyBorder="1" applyAlignment="1">
      <alignment horizontal="center" vertical="center"/>
    </xf>
    <xf numFmtId="183" fontId="74" fillId="42" borderId="152" xfId="1" applyNumberFormat="1" applyFont="1" applyFill="1" applyBorder="1" applyAlignment="1">
      <alignment horizontal="center" vertical="center" wrapText="1" shrinkToFit="1"/>
    </xf>
    <xf numFmtId="0" fontId="74" fillId="42" borderId="158" xfId="0" applyFont="1" applyFill="1" applyBorder="1" applyAlignment="1">
      <alignment horizontal="center" vertical="center"/>
    </xf>
    <xf numFmtId="49" fontId="74" fillId="42" borderId="158" xfId="0" applyNumberFormat="1" applyFont="1" applyFill="1" applyBorder="1" applyAlignment="1">
      <alignment horizontal="center" vertical="center"/>
    </xf>
    <xf numFmtId="180" fontId="74" fillId="51" borderId="152" xfId="0" applyNumberFormat="1" applyFont="1" applyFill="1" applyBorder="1" applyAlignment="1">
      <alignment horizontal="center" vertical="center"/>
    </xf>
    <xf numFmtId="0" fontId="69" fillId="52" borderId="152" xfId="0" applyFont="1" applyFill="1" applyBorder="1" applyAlignment="1">
      <alignment horizontal="center" vertical="center" wrapText="1"/>
    </xf>
    <xf numFmtId="0" fontId="69" fillId="52" borderId="152" xfId="0" applyFont="1" applyFill="1" applyBorder="1" applyAlignment="1">
      <alignment horizontal="center" vertical="center"/>
    </xf>
    <xf numFmtId="0" fontId="69" fillId="0" borderId="104" xfId="44" applyFont="1" applyBorder="1" applyAlignment="1">
      <alignment horizontal="center" vertical="center"/>
    </xf>
    <xf numFmtId="38" fontId="69" fillId="0" borderId="105" xfId="45" applyFont="1" applyFill="1" applyBorder="1">
      <alignment vertical="center"/>
    </xf>
    <xf numFmtId="0" fontId="69" fillId="0" borderId="10" xfId="44" applyFont="1" applyBorder="1" applyAlignment="1">
      <alignment horizontal="center" vertical="center"/>
    </xf>
    <xf numFmtId="177" fontId="69" fillId="0" borderId="159" xfId="1" applyNumberFormat="1" applyFont="1" applyBorder="1">
      <alignment vertical="center"/>
    </xf>
    <xf numFmtId="180" fontId="69" fillId="50" borderId="156" xfId="0" applyNumberFormat="1" applyFont="1" applyFill="1" applyBorder="1" applyAlignment="1">
      <alignment horizontal="center" vertical="top" shrinkToFit="1"/>
    </xf>
    <xf numFmtId="0" fontId="69" fillId="50" borderId="156" xfId="0" applyFont="1" applyFill="1" applyBorder="1" applyAlignment="1">
      <alignment vertical="top"/>
    </xf>
    <xf numFmtId="177" fontId="69" fillId="0" borderId="165" xfId="1" applyNumberFormat="1" applyFont="1" applyFill="1" applyBorder="1">
      <alignment vertical="center"/>
    </xf>
    <xf numFmtId="177" fontId="69" fillId="0" borderId="161" xfId="1" applyNumberFormat="1" applyFont="1" applyFill="1" applyBorder="1">
      <alignment vertical="center"/>
    </xf>
    <xf numFmtId="177" fontId="69" fillId="0" borderId="156" xfId="1" applyNumberFormat="1" applyFont="1" applyBorder="1">
      <alignment vertical="center"/>
    </xf>
    <xf numFmtId="177" fontId="69" fillId="0" borderId="158" xfId="1" applyNumberFormat="1" applyFont="1" applyBorder="1">
      <alignment vertical="center"/>
    </xf>
    <xf numFmtId="38" fontId="69" fillId="0" borderId="158" xfId="0" applyNumberFormat="1" applyFont="1" applyBorder="1">
      <alignment vertical="center"/>
    </xf>
    <xf numFmtId="38" fontId="69" fillId="0" borderId="156" xfId="0" applyNumberFormat="1" applyFont="1" applyBorder="1">
      <alignment vertical="center"/>
    </xf>
    <xf numFmtId="182" fontId="69" fillId="0" borderId="156" xfId="2" applyNumberFormat="1" applyFont="1" applyBorder="1">
      <alignment vertical="center"/>
    </xf>
    <xf numFmtId="194" fontId="69" fillId="0" borderId="156" xfId="1" applyNumberFormat="1" applyFont="1" applyBorder="1">
      <alignment vertical="center"/>
    </xf>
    <xf numFmtId="0" fontId="69" fillId="52" borderId="156" xfId="44" applyFont="1" applyFill="1" applyBorder="1">
      <alignment vertical="center"/>
    </xf>
    <xf numFmtId="184" fontId="74" fillId="0" borderId="156" xfId="1" applyNumberFormat="1" applyFont="1" applyFill="1" applyBorder="1">
      <alignment vertical="center"/>
    </xf>
    <xf numFmtId="0" fontId="69" fillId="0" borderId="106" xfId="44" applyFont="1" applyBorder="1" applyAlignment="1">
      <alignment horizontal="center" vertical="center"/>
    </xf>
    <xf numFmtId="38" fontId="69" fillId="0" borderId="107" xfId="45" applyFont="1" applyBorder="1">
      <alignment vertical="center"/>
    </xf>
    <xf numFmtId="0" fontId="69" fillId="50" borderId="156" xfId="0" applyFont="1" applyFill="1" applyBorder="1" applyAlignment="1">
      <alignment vertical="top" shrinkToFit="1"/>
    </xf>
    <xf numFmtId="177" fontId="69" fillId="0" borderId="160" xfId="1" applyNumberFormat="1" applyFont="1" applyFill="1" applyBorder="1">
      <alignment vertical="center"/>
    </xf>
    <xf numFmtId="0" fontId="69" fillId="0" borderId="108" xfId="44" applyFont="1" applyBorder="1" applyAlignment="1">
      <alignment horizontal="center" vertical="center"/>
    </xf>
    <xf numFmtId="38" fontId="69" fillId="0" borderId="109" xfId="45" applyFont="1" applyBorder="1">
      <alignment vertical="center"/>
    </xf>
    <xf numFmtId="185" fontId="74" fillId="0" borderId="156" xfId="1" applyNumberFormat="1" applyFont="1" applyFill="1" applyBorder="1">
      <alignment vertical="center"/>
    </xf>
    <xf numFmtId="0" fontId="69" fillId="0" borderId="22" xfId="44" applyFont="1" applyBorder="1">
      <alignment vertical="center"/>
    </xf>
    <xf numFmtId="38" fontId="69" fillId="0" borderId="22" xfId="45" applyFont="1" applyBorder="1">
      <alignment vertical="center"/>
    </xf>
    <xf numFmtId="38" fontId="69" fillId="0" borderId="10" xfId="45" applyFont="1" applyBorder="1">
      <alignment vertical="center"/>
    </xf>
    <xf numFmtId="38" fontId="69" fillId="52" borderId="156" xfId="0" applyNumberFormat="1" applyFont="1" applyFill="1" applyBorder="1">
      <alignment vertical="center"/>
    </xf>
    <xf numFmtId="182" fontId="69" fillId="52" borderId="156" xfId="2" applyNumberFormat="1" applyFont="1" applyFill="1" applyBorder="1">
      <alignment vertical="center"/>
    </xf>
    <xf numFmtId="194" fontId="69" fillId="52" borderId="156" xfId="1" applyNumberFormat="1" applyFont="1" applyFill="1" applyBorder="1">
      <alignment vertical="center"/>
    </xf>
    <xf numFmtId="182" fontId="69" fillId="0" borderId="152" xfId="2" applyNumberFormat="1" applyFont="1" applyBorder="1">
      <alignment vertical="center"/>
    </xf>
    <xf numFmtId="0" fontId="69" fillId="0" borderId="18" xfId="44" applyFont="1" applyBorder="1">
      <alignment vertical="center"/>
    </xf>
    <xf numFmtId="182" fontId="69" fillId="0" borderId="162" xfId="2" applyNumberFormat="1" applyFont="1" applyBorder="1">
      <alignment vertical="center"/>
    </xf>
    <xf numFmtId="182" fontId="69" fillId="0" borderId="156" xfId="2" applyNumberFormat="1" applyFont="1" applyFill="1" applyBorder="1">
      <alignment vertical="center"/>
    </xf>
    <xf numFmtId="194" fontId="69" fillId="0" borderId="156" xfId="1" applyNumberFormat="1" applyFont="1" applyFill="1" applyBorder="1">
      <alignment vertical="center"/>
    </xf>
    <xf numFmtId="0" fontId="69" fillId="52" borderId="156" xfId="67" applyFont="1" applyFill="1" applyBorder="1">
      <alignment vertical="center"/>
    </xf>
    <xf numFmtId="0" fontId="69" fillId="52" borderId="162" xfId="67" applyFont="1" applyFill="1" applyBorder="1">
      <alignment vertical="center"/>
    </xf>
    <xf numFmtId="184" fontId="74" fillId="0" borderId="162" xfId="1" applyNumberFormat="1" applyFont="1" applyFill="1" applyBorder="1">
      <alignment vertical="center"/>
    </xf>
    <xf numFmtId="180" fontId="71" fillId="50" borderId="156" xfId="0" applyNumberFormat="1" applyFont="1" applyFill="1" applyBorder="1" applyAlignment="1">
      <alignment horizontal="center" vertical="top" shrinkToFit="1"/>
    </xf>
    <xf numFmtId="0" fontId="71" fillId="50" borderId="156" xfId="0" applyFont="1" applyFill="1" applyBorder="1" applyAlignment="1">
      <alignment vertical="top" shrinkToFit="1"/>
    </xf>
    <xf numFmtId="177" fontId="69" fillId="52" borderId="156" xfId="1" applyNumberFormat="1" applyFont="1" applyFill="1" applyBorder="1">
      <alignment vertical="center"/>
    </xf>
    <xf numFmtId="0" fontId="69" fillId="52" borderId="156" xfId="0" applyFont="1" applyFill="1" applyBorder="1">
      <alignment vertical="center"/>
    </xf>
    <xf numFmtId="180" fontId="71" fillId="50" borderId="163" xfId="0" applyNumberFormat="1" applyFont="1" applyFill="1" applyBorder="1" applyAlignment="1">
      <alignment horizontal="center" vertical="top" shrinkToFit="1"/>
    </xf>
    <xf numFmtId="0" fontId="71" fillId="50" borderId="163" xfId="0" applyFont="1" applyFill="1" applyBorder="1" applyAlignment="1">
      <alignment vertical="top" shrinkToFit="1"/>
    </xf>
    <xf numFmtId="177" fontId="69" fillId="0" borderId="164" xfId="1" applyNumberFormat="1" applyFont="1" applyFill="1" applyBorder="1">
      <alignment vertical="center"/>
    </xf>
    <xf numFmtId="177" fontId="69" fillId="0" borderId="162" xfId="1" applyNumberFormat="1" applyFont="1" applyFill="1" applyBorder="1">
      <alignment vertical="center"/>
    </xf>
    <xf numFmtId="177" fontId="69" fillId="0" borderId="163" xfId="1" applyNumberFormat="1" applyFont="1" applyBorder="1">
      <alignment vertical="center"/>
    </xf>
    <xf numFmtId="177" fontId="69" fillId="0" borderId="162" xfId="1" applyNumberFormat="1" applyFont="1" applyBorder="1">
      <alignment vertical="center"/>
    </xf>
    <xf numFmtId="177" fontId="69" fillId="52" borderId="162" xfId="1" applyNumberFormat="1" applyFont="1" applyFill="1" applyBorder="1">
      <alignment vertical="center"/>
    </xf>
    <xf numFmtId="38" fontId="69" fillId="0" borderId="162" xfId="0" applyNumberFormat="1" applyFont="1" applyBorder="1">
      <alignment vertical="center"/>
    </xf>
    <xf numFmtId="194" fontId="69" fillId="0" borderId="162" xfId="1" applyNumberFormat="1" applyFont="1" applyBorder="1">
      <alignment vertical="center"/>
    </xf>
    <xf numFmtId="180" fontId="69" fillId="50" borderId="151" xfId="0" applyNumberFormat="1" applyFont="1" applyFill="1" applyBorder="1" applyAlignment="1">
      <alignment horizontal="center" vertical="top" shrinkToFit="1"/>
    </xf>
    <xf numFmtId="0" fontId="69" fillId="50" borderId="151" xfId="0" applyFont="1" applyFill="1" applyBorder="1" applyAlignment="1">
      <alignment vertical="top" shrinkToFit="1"/>
    </xf>
    <xf numFmtId="177" fontId="69" fillId="0" borderId="151" xfId="1" applyNumberFormat="1" applyFont="1" applyFill="1" applyBorder="1">
      <alignment vertical="center"/>
    </xf>
    <xf numFmtId="177" fontId="69" fillId="0" borderId="151" xfId="1" applyNumberFormat="1" applyFont="1" applyBorder="1">
      <alignment vertical="center"/>
    </xf>
    <xf numFmtId="180" fontId="69" fillId="50" borderId="158" xfId="0" applyNumberFormat="1" applyFont="1" applyFill="1" applyBorder="1" applyAlignment="1">
      <alignment horizontal="center" vertical="top" shrinkToFit="1"/>
    </xf>
    <xf numFmtId="0" fontId="69" fillId="50" borderId="158" xfId="0" applyFont="1" applyFill="1" applyBorder="1" applyAlignment="1">
      <alignment vertical="top" shrinkToFit="1"/>
    </xf>
    <xf numFmtId="192" fontId="69" fillId="50" borderId="163" xfId="0" applyNumberFormat="1" applyFont="1" applyFill="1" applyBorder="1" applyAlignment="1">
      <alignment horizontal="center"/>
    </xf>
    <xf numFmtId="0" fontId="69" fillId="50" borderId="163" xfId="0" applyFont="1" applyFill="1" applyBorder="1" applyAlignment="1">
      <alignment vertical="top" shrinkToFit="1"/>
    </xf>
    <xf numFmtId="180" fontId="69" fillId="50" borderId="159" xfId="0" applyNumberFormat="1" applyFont="1" applyFill="1" applyBorder="1" applyAlignment="1">
      <alignment horizontal="center" vertical="top" shrinkToFit="1"/>
    </xf>
    <xf numFmtId="0" fontId="69" fillId="50" borderId="159" xfId="0" applyFont="1" applyFill="1" applyBorder="1" applyAlignment="1">
      <alignment vertical="top" shrinkToFit="1"/>
    </xf>
    <xf numFmtId="0" fontId="69" fillId="0" borderId="15" xfId="0" applyFont="1" applyBorder="1">
      <alignment vertical="center"/>
    </xf>
    <xf numFmtId="0" fontId="69" fillId="37" borderId="118" xfId="44" applyFont="1" applyFill="1" applyBorder="1">
      <alignment vertical="center"/>
    </xf>
    <xf numFmtId="0" fontId="69" fillId="37" borderId="119" xfId="44" applyFont="1" applyFill="1" applyBorder="1">
      <alignment vertical="center"/>
    </xf>
    <xf numFmtId="177" fontId="69" fillId="37" borderId="119" xfId="47" applyNumberFormat="1" applyFont="1" applyFill="1" applyBorder="1">
      <alignment vertical="center"/>
    </xf>
    <xf numFmtId="0" fontId="69" fillId="37" borderId="120" xfId="44" applyFont="1" applyFill="1" applyBorder="1">
      <alignment vertical="center"/>
    </xf>
    <xf numFmtId="177" fontId="69" fillId="0" borderId="18" xfId="47" applyNumberFormat="1" applyFont="1" applyBorder="1">
      <alignment vertical="center"/>
    </xf>
    <xf numFmtId="0" fontId="69" fillId="0" borderId="18" xfId="44" applyFont="1" applyBorder="1" applyAlignment="1">
      <alignment horizontal="center" vertical="center"/>
    </xf>
    <xf numFmtId="180" fontId="0" fillId="57" borderId="151" xfId="0" applyNumberFormat="1" applyFill="1" applyBorder="1" applyAlignment="1">
      <alignment horizontal="center" vertical="top" shrinkToFit="1"/>
    </xf>
    <xf numFmtId="0" fontId="0" fillId="57" borderId="151" xfId="0" applyFill="1" applyBorder="1" applyAlignment="1">
      <alignment vertical="top" shrinkToFit="1"/>
    </xf>
    <xf numFmtId="0" fontId="69" fillId="0" borderId="14" xfId="0" applyFont="1" applyBorder="1" applyAlignment="1">
      <alignment horizontal="center" vertical="center"/>
    </xf>
    <xf numFmtId="0" fontId="69" fillId="0" borderId="17" xfId="0" applyFont="1" applyBorder="1">
      <alignment vertical="center"/>
    </xf>
    <xf numFmtId="0" fontId="69" fillId="0" borderId="18" xfId="0" applyFont="1" applyBorder="1">
      <alignment vertical="center"/>
    </xf>
    <xf numFmtId="0" fontId="69" fillId="0" borderId="14" xfId="0" applyFont="1" applyBorder="1" applyAlignment="1">
      <alignment vertical="center" wrapText="1"/>
    </xf>
    <xf numFmtId="0" fontId="75" fillId="0" borderId="16" xfId="0" applyFont="1" applyBorder="1">
      <alignment vertical="center"/>
    </xf>
    <xf numFmtId="0" fontId="75" fillId="0" borderId="14" xfId="0" applyFont="1" applyBorder="1" applyAlignment="1">
      <alignment horizontal="center" vertical="center"/>
    </xf>
    <xf numFmtId="0" fontId="69" fillId="0" borderId="16" xfId="0" applyFont="1" applyBorder="1">
      <alignment vertical="center"/>
    </xf>
    <xf numFmtId="0" fontId="69" fillId="0" borderId="18" xfId="0" applyFont="1" applyBorder="1" applyAlignment="1">
      <alignment horizontal="center" vertical="center"/>
    </xf>
    <xf numFmtId="0" fontId="75" fillId="0" borderId="14" xfId="0" applyFont="1" applyBorder="1">
      <alignment vertical="center"/>
    </xf>
    <xf numFmtId="0" fontId="69" fillId="0" borderId="17" xfId="0" applyFont="1" applyBorder="1" applyAlignment="1">
      <alignment horizontal="center" vertical="center"/>
    </xf>
    <xf numFmtId="0" fontId="69" fillId="0" borderId="22" xfId="0" applyFont="1" applyBorder="1">
      <alignment vertical="center"/>
    </xf>
    <xf numFmtId="0" fontId="69" fillId="0" borderId="22" xfId="0" applyFont="1" applyBorder="1" applyAlignment="1">
      <alignment horizontal="center" vertical="center"/>
    </xf>
    <xf numFmtId="0" fontId="69" fillId="0" borderId="14" xfId="0" applyFont="1" applyBorder="1" applyAlignment="1">
      <alignment horizontal="left" vertical="center"/>
    </xf>
    <xf numFmtId="0" fontId="69" fillId="0" borderId="14" xfId="0" applyFont="1" applyBorder="1" applyAlignment="1">
      <alignment horizontal="left" vertical="center" wrapText="1"/>
    </xf>
    <xf numFmtId="0" fontId="69" fillId="0" borderId="14" xfId="0" quotePrefix="1" applyFont="1" applyBorder="1">
      <alignment vertical="center"/>
    </xf>
    <xf numFmtId="0" fontId="69" fillId="0" borderId="14" xfId="0" applyFont="1" applyBorder="1" applyAlignment="1">
      <alignment horizontal="right" vertical="center"/>
    </xf>
    <xf numFmtId="196" fontId="69" fillId="0" borderId="14" xfId="0" applyNumberFormat="1" applyFont="1" applyBorder="1">
      <alignment vertical="center"/>
    </xf>
    <xf numFmtId="196" fontId="73" fillId="0" borderId="14" xfId="0" applyNumberFormat="1" applyFont="1" applyBorder="1">
      <alignment vertical="center"/>
    </xf>
    <xf numFmtId="196" fontId="69" fillId="0" borderId="17" xfId="0" applyNumberFormat="1" applyFont="1" applyBorder="1">
      <alignment vertical="center"/>
    </xf>
    <xf numFmtId="196" fontId="69" fillId="0" borderId="15" xfId="0" applyNumberFormat="1" applyFont="1" applyBorder="1">
      <alignment vertical="center"/>
    </xf>
    <xf numFmtId="196" fontId="69" fillId="0" borderId="16" xfId="0" applyNumberFormat="1" applyFont="1" applyBorder="1">
      <alignment vertical="center"/>
    </xf>
    <xf numFmtId="0" fontId="69" fillId="0" borderId="31" xfId="0" applyFont="1" applyBorder="1">
      <alignment vertical="center"/>
    </xf>
    <xf numFmtId="196" fontId="69" fillId="0" borderId="18" xfId="0" applyNumberFormat="1" applyFont="1" applyBorder="1">
      <alignment vertical="center"/>
    </xf>
    <xf numFmtId="196" fontId="69" fillId="0" borderId="14" xfId="0" applyNumberFormat="1" applyFont="1" applyBorder="1" applyAlignment="1">
      <alignment horizontal="right" vertical="center"/>
    </xf>
    <xf numFmtId="196" fontId="69" fillId="0" borderId="22" xfId="0" applyNumberFormat="1" applyFont="1" applyBorder="1">
      <alignment vertical="center"/>
    </xf>
    <xf numFmtId="196" fontId="69" fillId="0" borderId="32" xfId="0" applyNumberFormat="1" applyFont="1" applyBorder="1">
      <alignment vertical="center"/>
    </xf>
    <xf numFmtId="196" fontId="69" fillId="34" borderId="191" xfId="0" applyNumberFormat="1" applyFont="1" applyFill="1" applyBorder="1">
      <alignment vertical="center"/>
    </xf>
    <xf numFmtId="196" fontId="69" fillId="34" borderId="192" xfId="0" applyNumberFormat="1" applyFont="1" applyFill="1" applyBorder="1">
      <alignment vertical="center"/>
    </xf>
    <xf numFmtId="196" fontId="69" fillId="34" borderId="186" xfId="0" applyNumberFormat="1" applyFont="1" applyFill="1" applyBorder="1">
      <alignment vertical="center"/>
    </xf>
    <xf numFmtId="196" fontId="69" fillId="34" borderId="187" xfId="0" applyNumberFormat="1" applyFont="1" applyFill="1" applyBorder="1">
      <alignment vertical="center"/>
    </xf>
    <xf numFmtId="196" fontId="69" fillId="34" borderId="194" xfId="0" applyNumberFormat="1" applyFont="1" applyFill="1" applyBorder="1">
      <alignment vertical="center"/>
    </xf>
    <xf numFmtId="196" fontId="69" fillId="34" borderId="188" xfId="0" applyNumberFormat="1" applyFont="1" applyFill="1" applyBorder="1">
      <alignment vertical="center"/>
    </xf>
    <xf numFmtId="196" fontId="69" fillId="34" borderId="189" xfId="0" applyNumberFormat="1" applyFont="1" applyFill="1" applyBorder="1">
      <alignment vertical="center"/>
    </xf>
    <xf numFmtId="196" fontId="69" fillId="34" borderId="0" xfId="0" applyNumberFormat="1" applyFont="1" applyFill="1">
      <alignment vertical="center"/>
    </xf>
    <xf numFmtId="196" fontId="69" fillId="34" borderId="89" xfId="0" applyNumberFormat="1" applyFont="1" applyFill="1" applyBorder="1">
      <alignment vertical="center"/>
    </xf>
    <xf numFmtId="196" fontId="69" fillId="34" borderId="190" xfId="0" applyNumberFormat="1" applyFont="1" applyFill="1" applyBorder="1">
      <alignment vertical="center"/>
    </xf>
    <xf numFmtId="196" fontId="69" fillId="34" borderId="84" xfId="0" applyNumberFormat="1" applyFont="1" applyFill="1" applyBorder="1">
      <alignment vertical="center"/>
    </xf>
    <xf numFmtId="196" fontId="69" fillId="34" borderId="178" xfId="0" applyNumberFormat="1" applyFont="1" applyFill="1" applyBorder="1" applyAlignment="1">
      <alignment horizontal="right"/>
    </xf>
    <xf numFmtId="196" fontId="69" fillId="34" borderId="195" xfId="0" applyNumberFormat="1" applyFont="1" applyFill="1" applyBorder="1">
      <alignment vertical="center"/>
    </xf>
    <xf numFmtId="196" fontId="69" fillId="34" borderId="196" xfId="0" applyNumberFormat="1" applyFont="1" applyFill="1" applyBorder="1">
      <alignment vertical="center"/>
    </xf>
    <xf numFmtId="196" fontId="69" fillId="34" borderId="192" xfId="0" applyNumberFormat="1" applyFont="1" applyFill="1" applyBorder="1" applyAlignment="1">
      <alignment horizontal="right"/>
    </xf>
    <xf numFmtId="196" fontId="69" fillId="34" borderId="193" xfId="0" applyNumberFormat="1" applyFont="1" applyFill="1" applyBorder="1">
      <alignment vertical="center"/>
    </xf>
    <xf numFmtId="196" fontId="69" fillId="0" borderId="30" xfId="0" applyNumberFormat="1" applyFont="1" applyBorder="1">
      <alignment vertical="center"/>
    </xf>
    <xf numFmtId="196" fontId="69" fillId="42" borderId="198" xfId="0" applyNumberFormat="1" applyFont="1" applyFill="1" applyBorder="1">
      <alignment vertical="center"/>
    </xf>
    <xf numFmtId="196" fontId="69" fillId="42" borderId="199" xfId="0" applyNumberFormat="1" applyFont="1" applyFill="1" applyBorder="1">
      <alignment vertical="center"/>
    </xf>
    <xf numFmtId="196" fontId="69" fillId="42" borderId="200" xfId="0" applyNumberFormat="1" applyFont="1" applyFill="1" applyBorder="1">
      <alignment vertical="center"/>
    </xf>
    <xf numFmtId="196" fontId="69" fillId="42" borderId="201" xfId="0" applyNumberFormat="1" applyFont="1" applyFill="1" applyBorder="1">
      <alignment vertical="center"/>
    </xf>
    <xf numFmtId="196" fontId="69" fillId="42" borderId="0" xfId="0" applyNumberFormat="1" applyFont="1" applyFill="1">
      <alignment vertical="center"/>
    </xf>
    <xf numFmtId="196" fontId="69" fillId="42" borderId="202" xfId="0" applyNumberFormat="1" applyFont="1" applyFill="1" applyBorder="1">
      <alignment vertical="center"/>
    </xf>
    <xf numFmtId="196" fontId="69" fillId="42" borderId="203" xfId="0" applyNumberFormat="1" applyFont="1" applyFill="1" applyBorder="1">
      <alignment vertical="center"/>
    </xf>
    <xf numFmtId="196" fontId="69" fillId="42" borderId="204" xfId="0" applyNumberFormat="1" applyFont="1" applyFill="1" applyBorder="1">
      <alignment vertical="center"/>
    </xf>
    <xf numFmtId="196" fontId="69" fillId="0" borderId="0" xfId="0" applyNumberFormat="1" applyFont="1">
      <alignment vertical="center"/>
    </xf>
    <xf numFmtId="196" fontId="69" fillId="35" borderId="186" xfId="0" applyNumberFormat="1" applyFont="1" applyFill="1" applyBorder="1">
      <alignment vertical="center"/>
    </xf>
    <xf numFmtId="196" fontId="69" fillId="35" borderId="187" xfId="0" applyNumberFormat="1" applyFont="1" applyFill="1" applyBorder="1">
      <alignment vertical="center"/>
    </xf>
    <xf numFmtId="196" fontId="69" fillId="35" borderId="188" xfId="0" applyNumberFormat="1" applyFont="1" applyFill="1" applyBorder="1">
      <alignment vertical="center"/>
    </xf>
    <xf numFmtId="196" fontId="69" fillId="35" borderId="189" xfId="0" applyNumberFormat="1" applyFont="1" applyFill="1" applyBorder="1">
      <alignment vertical="center"/>
    </xf>
    <xf numFmtId="196" fontId="69" fillId="35" borderId="0" xfId="0" applyNumberFormat="1" applyFont="1" applyFill="1">
      <alignment vertical="center"/>
    </xf>
    <xf numFmtId="196" fontId="69" fillId="35" borderId="190" xfId="0" applyNumberFormat="1" applyFont="1" applyFill="1" applyBorder="1">
      <alignment vertical="center"/>
    </xf>
    <xf numFmtId="196" fontId="69" fillId="35" borderId="191" xfId="0" applyNumberFormat="1" applyFont="1" applyFill="1" applyBorder="1">
      <alignment vertical="center"/>
    </xf>
    <xf numFmtId="196" fontId="69" fillId="35" borderId="192" xfId="0" applyNumberFormat="1" applyFont="1" applyFill="1" applyBorder="1">
      <alignment vertical="center"/>
    </xf>
    <xf numFmtId="196" fontId="69" fillId="35" borderId="193" xfId="0" applyNumberFormat="1" applyFont="1" applyFill="1" applyBorder="1">
      <alignment vertical="center"/>
    </xf>
    <xf numFmtId="193" fontId="69" fillId="35" borderId="0" xfId="0" applyNumberFormat="1" applyFont="1" applyFill="1">
      <alignment vertical="center"/>
    </xf>
    <xf numFmtId="196" fontId="69" fillId="43" borderId="205" xfId="0" applyNumberFormat="1" applyFont="1" applyFill="1" applyBorder="1">
      <alignment vertical="center"/>
    </xf>
    <xf numFmtId="196" fontId="69" fillId="43" borderId="206" xfId="0" applyNumberFormat="1" applyFont="1" applyFill="1" applyBorder="1">
      <alignment vertical="center"/>
    </xf>
    <xf numFmtId="196" fontId="69" fillId="43" borderId="207" xfId="0" applyNumberFormat="1" applyFont="1" applyFill="1" applyBorder="1">
      <alignment vertical="center"/>
    </xf>
    <xf numFmtId="196" fontId="69" fillId="43" borderId="208" xfId="0" applyNumberFormat="1" applyFont="1" applyFill="1" applyBorder="1">
      <alignment vertical="center"/>
    </xf>
    <xf numFmtId="196" fontId="69" fillId="43" borderId="0" xfId="0" applyNumberFormat="1" applyFont="1" applyFill="1">
      <alignment vertical="center"/>
    </xf>
    <xf numFmtId="196" fontId="69" fillId="43" borderId="209" xfId="0" applyNumberFormat="1" applyFont="1" applyFill="1" applyBorder="1">
      <alignment vertical="center"/>
    </xf>
    <xf numFmtId="196" fontId="69" fillId="0" borderId="14" xfId="0" quotePrefix="1" applyNumberFormat="1" applyFont="1" applyBorder="1">
      <alignment vertical="center"/>
    </xf>
    <xf numFmtId="196" fontId="69" fillId="43" borderId="210" xfId="0" applyNumberFormat="1" applyFont="1" applyFill="1" applyBorder="1">
      <alignment vertical="center"/>
    </xf>
    <xf numFmtId="196" fontId="69" fillId="43" borderId="211" xfId="0" applyNumberFormat="1" applyFont="1" applyFill="1" applyBorder="1">
      <alignment vertical="center"/>
    </xf>
    <xf numFmtId="196" fontId="69" fillId="43" borderId="212" xfId="0" applyNumberFormat="1" applyFont="1" applyFill="1" applyBorder="1">
      <alignment vertical="center"/>
    </xf>
    <xf numFmtId="196" fontId="69" fillId="56" borderId="213" xfId="0" applyNumberFormat="1" applyFont="1" applyFill="1" applyBorder="1">
      <alignment vertical="center"/>
    </xf>
    <xf numFmtId="196" fontId="69" fillId="56" borderId="214" xfId="0" applyNumberFormat="1" applyFont="1" applyFill="1" applyBorder="1">
      <alignment vertical="center"/>
    </xf>
    <xf numFmtId="196" fontId="69" fillId="56" borderId="215" xfId="0" applyNumberFormat="1" applyFont="1" applyFill="1" applyBorder="1">
      <alignment vertical="center"/>
    </xf>
    <xf numFmtId="196" fontId="69" fillId="56" borderId="216" xfId="0" applyNumberFormat="1" applyFont="1" applyFill="1" applyBorder="1">
      <alignment vertical="center"/>
    </xf>
    <xf numFmtId="196" fontId="69" fillId="56" borderId="0" xfId="0" applyNumberFormat="1" applyFont="1" applyFill="1">
      <alignment vertical="center"/>
    </xf>
    <xf numFmtId="196" fontId="69" fillId="56" borderId="217" xfId="0" applyNumberFormat="1" applyFont="1" applyFill="1" applyBorder="1">
      <alignment vertical="center"/>
    </xf>
    <xf numFmtId="196" fontId="69" fillId="0" borderId="14" xfId="0" applyNumberFormat="1" applyFont="1" applyBorder="1" applyAlignment="1">
      <alignment horizontal="left"/>
    </xf>
    <xf numFmtId="196" fontId="69" fillId="56" borderId="218" xfId="0" applyNumberFormat="1" applyFont="1" applyFill="1" applyBorder="1">
      <alignment vertical="center"/>
    </xf>
    <xf numFmtId="196" fontId="69" fillId="56" borderId="219" xfId="0" applyNumberFormat="1" applyFont="1" applyFill="1" applyBorder="1">
      <alignment vertical="center"/>
    </xf>
    <xf numFmtId="196" fontId="69" fillId="56" borderId="220" xfId="0" applyNumberFormat="1" applyFont="1" applyFill="1" applyBorder="1">
      <alignment vertical="center"/>
    </xf>
    <xf numFmtId="197" fontId="69" fillId="0" borderId="14" xfId="0" applyNumberFormat="1" applyFont="1" applyBorder="1">
      <alignment vertical="center"/>
    </xf>
    <xf numFmtId="196" fontId="69" fillId="52" borderId="221" xfId="0" applyNumberFormat="1" applyFont="1" applyFill="1" applyBorder="1">
      <alignment vertical="center"/>
    </xf>
    <xf numFmtId="196" fontId="69" fillId="52" borderId="222" xfId="0" applyNumberFormat="1" applyFont="1" applyFill="1" applyBorder="1">
      <alignment vertical="center"/>
    </xf>
    <xf numFmtId="196" fontId="69" fillId="52" borderId="223" xfId="0" applyNumberFormat="1" applyFont="1" applyFill="1" applyBorder="1">
      <alignment vertical="center"/>
    </xf>
    <xf numFmtId="196" fontId="69" fillId="39" borderId="224" xfId="0" applyNumberFormat="1" applyFont="1" applyFill="1" applyBorder="1">
      <alignment vertical="center"/>
    </xf>
    <xf numFmtId="196" fontId="69" fillId="39" borderId="225" xfId="0" applyNumberFormat="1" applyFont="1" applyFill="1" applyBorder="1">
      <alignment vertical="center"/>
    </xf>
    <xf numFmtId="196" fontId="69" fillId="39" borderId="226" xfId="0" applyNumberFormat="1" applyFont="1" applyFill="1" applyBorder="1">
      <alignment vertical="center"/>
    </xf>
    <xf numFmtId="196" fontId="69" fillId="36" borderId="123" xfId="0" applyNumberFormat="1" applyFont="1" applyFill="1" applyBorder="1">
      <alignment vertical="center"/>
    </xf>
    <xf numFmtId="196" fontId="69" fillId="36" borderId="124" xfId="0" applyNumberFormat="1" applyFont="1" applyFill="1" applyBorder="1">
      <alignment vertical="center"/>
    </xf>
    <xf numFmtId="196" fontId="69" fillId="36" borderId="125" xfId="0" applyNumberFormat="1" applyFont="1" applyFill="1" applyBorder="1">
      <alignment vertical="center"/>
    </xf>
    <xf numFmtId="196" fontId="69" fillId="52" borderId="227" xfId="0" applyNumberFormat="1" applyFont="1" applyFill="1" applyBorder="1" applyAlignment="1">
      <alignment horizontal="center" vertical="center"/>
    </xf>
    <xf numFmtId="198" fontId="69" fillId="52" borderId="0" xfId="0" applyNumberFormat="1" applyFont="1" applyFill="1">
      <alignment vertical="center"/>
    </xf>
    <xf numFmtId="196" fontId="69" fillId="52" borderId="228" xfId="0" applyNumberFormat="1" applyFont="1" applyFill="1" applyBorder="1">
      <alignment vertical="center"/>
    </xf>
    <xf numFmtId="196" fontId="69" fillId="39" borderId="229" xfId="0" applyNumberFormat="1" applyFont="1" applyFill="1" applyBorder="1">
      <alignment vertical="center"/>
    </xf>
    <xf numFmtId="196" fontId="69" fillId="39" borderId="0" xfId="0" applyNumberFormat="1" applyFont="1" applyFill="1">
      <alignment vertical="center"/>
    </xf>
    <xf numFmtId="40" fontId="69" fillId="39" borderId="0" xfId="1" applyNumberFormat="1" applyFont="1" applyFill="1" applyBorder="1">
      <alignment vertical="center"/>
    </xf>
    <xf numFmtId="196" fontId="69" fillId="39" borderId="230" xfId="0" applyNumberFormat="1" applyFont="1" applyFill="1" applyBorder="1">
      <alignment vertical="center"/>
    </xf>
    <xf numFmtId="196" fontId="69" fillId="36" borderId="126" xfId="0" applyNumberFormat="1" applyFont="1" applyFill="1" applyBorder="1">
      <alignment vertical="center"/>
    </xf>
    <xf numFmtId="196" fontId="69" fillId="36" borderId="0" xfId="0" applyNumberFormat="1" applyFont="1" applyFill="1">
      <alignment vertical="center"/>
    </xf>
    <xf numFmtId="196" fontId="69" fillId="36" borderId="127" xfId="0" applyNumberFormat="1" applyFont="1" applyFill="1" applyBorder="1">
      <alignment vertical="center"/>
    </xf>
    <xf numFmtId="198" fontId="69" fillId="52" borderId="232" xfId="0" applyNumberFormat="1" applyFont="1" applyFill="1" applyBorder="1">
      <alignment vertical="center"/>
    </xf>
    <xf numFmtId="196" fontId="69" fillId="52" borderId="233" xfId="0" applyNumberFormat="1" applyFont="1" applyFill="1" applyBorder="1">
      <alignment vertical="center"/>
    </xf>
    <xf numFmtId="196" fontId="69" fillId="39" borderId="234" xfId="0" applyNumberFormat="1" applyFont="1" applyFill="1" applyBorder="1">
      <alignment vertical="center"/>
    </xf>
    <xf numFmtId="196" fontId="69" fillId="39" borderId="97" xfId="0" applyNumberFormat="1" applyFont="1" applyFill="1" applyBorder="1">
      <alignment vertical="center"/>
    </xf>
    <xf numFmtId="40" fontId="69" fillId="39" borderId="97" xfId="1" applyNumberFormat="1" applyFont="1" applyFill="1" applyBorder="1" applyAlignment="1">
      <alignment horizontal="right" vertical="center"/>
    </xf>
    <xf numFmtId="196" fontId="69" fillId="39" borderId="98" xfId="0" applyNumberFormat="1" applyFont="1" applyFill="1" applyBorder="1">
      <alignment vertical="center"/>
    </xf>
    <xf numFmtId="196" fontId="69" fillId="36" borderId="128" xfId="0" applyNumberFormat="1" applyFont="1" applyFill="1" applyBorder="1">
      <alignment vertical="center"/>
    </xf>
    <xf numFmtId="196" fontId="69" fillId="36" borderId="130" xfId="0" applyNumberFormat="1" applyFont="1" applyFill="1" applyBorder="1">
      <alignment vertical="center"/>
    </xf>
    <xf numFmtId="40" fontId="69" fillId="39" borderId="97" xfId="1" applyNumberFormat="1" applyFont="1" applyFill="1" applyBorder="1">
      <alignment vertical="center"/>
    </xf>
    <xf numFmtId="196" fontId="78" fillId="0" borderId="14" xfId="0" applyNumberFormat="1" applyFont="1" applyBorder="1" applyAlignment="1">
      <alignment horizontal="left"/>
    </xf>
    <xf numFmtId="196" fontId="79" fillId="52" borderId="231" xfId="0" applyNumberFormat="1" applyFont="1" applyFill="1" applyBorder="1" applyAlignment="1">
      <alignment horizontal="center" vertical="center"/>
    </xf>
    <xf numFmtId="0" fontId="69" fillId="0" borderId="14" xfId="71" applyFont="1" applyBorder="1">
      <alignment vertical="center"/>
    </xf>
    <xf numFmtId="0" fontId="73" fillId="0" borderId="14" xfId="71" applyFont="1" applyBorder="1">
      <alignment vertical="center"/>
    </xf>
    <xf numFmtId="0" fontId="75" fillId="0" borderId="17" xfId="71" applyFont="1" applyBorder="1" applyAlignment="1">
      <alignment horizontal="center" vertical="center"/>
    </xf>
    <xf numFmtId="0" fontId="69" fillId="0" borderId="15" xfId="71" applyFont="1" applyBorder="1">
      <alignment vertical="center"/>
    </xf>
    <xf numFmtId="0" fontId="69" fillId="35" borderId="10" xfId="0" applyFont="1" applyFill="1" applyBorder="1" applyAlignment="1">
      <alignment horizontal="center" vertical="center"/>
    </xf>
    <xf numFmtId="0" fontId="69" fillId="35" borderId="11" xfId="0" applyFont="1" applyFill="1" applyBorder="1" applyAlignment="1">
      <alignment horizontal="center" vertical="center" shrinkToFit="1"/>
    </xf>
    <xf numFmtId="193" fontId="74" fillId="35" borderId="11" xfId="48" applyNumberFormat="1" applyFont="1" applyFill="1" applyBorder="1" applyAlignment="1">
      <alignment horizontal="center" vertical="center"/>
    </xf>
    <xf numFmtId="0" fontId="69" fillId="35" borderId="11" xfId="0" applyFont="1" applyFill="1" applyBorder="1" applyAlignment="1">
      <alignment horizontal="center" vertical="center"/>
    </xf>
    <xf numFmtId="193" fontId="69" fillId="35" borderId="11" xfId="0" applyNumberFormat="1" applyFont="1" applyFill="1" applyBorder="1" applyAlignment="1">
      <alignment horizontal="center" vertical="center" shrinkToFit="1"/>
    </xf>
    <xf numFmtId="176" fontId="69" fillId="35" borderId="11" xfId="0" applyNumberFormat="1" applyFont="1" applyFill="1" applyBorder="1" applyAlignment="1">
      <alignment horizontal="center" vertical="center"/>
    </xf>
    <xf numFmtId="0" fontId="69" fillId="35" borderId="28" xfId="0" applyFont="1" applyFill="1" applyBorder="1" applyAlignment="1">
      <alignment horizontal="center" vertical="center"/>
    </xf>
    <xf numFmtId="178" fontId="74" fillId="35" borderId="11" xfId="48" applyNumberFormat="1" applyFont="1" applyFill="1" applyBorder="1" applyAlignment="1">
      <alignment horizontal="center" vertical="center"/>
    </xf>
    <xf numFmtId="0" fontId="69" fillId="35" borderId="10" xfId="0" applyFont="1" applyFill="1" applyBorder="1">
      <alignment vertical="center"/>
    </xf>
    <xf numFmtId="180" fontId="69" fillId="35" borderId="24" xfId="0" applyNumberFormat="1" applyFont="1" applyFill="1" applyBorder="1" applyAlignment="1">
      <alignment horizontal="center" vertical="center"/>
    </xf>
    <xf numFmtId="0" fontId="69" fillId="35" borderId="24" xfId="0" applyFont="1" applyFill="1" applyBorder="1">
      <alignment vertical="center"/>
    </xf>
    <xf numFmtId="0" fontId="69" fillId="47" borderId="92" xfId="0" applyFont="1" applyFill="1" applyBorder="1">
      <alignment vertical="center"/>
    </xf>
    <xf numFmtId="38" fontId="69" fillId="0" borderId="24" xfId="1" applyFont="1" applyBorder="1">
      <alignment vertical="center"/>
    </xf>
    <xf numFmtId="177" fontId="69" fillId="0" borderId="24" xfId="1" applyNumberFormat="1" applyFont="1" applyBorder="1">
      <alignment vertical="center"/>
    </xf>
    <xf numFmtId="181" fontId="69" fillId="47" borderId="92" xfId="0" applyNumberFormat="1" applyFont="1" applyFill="1" applyBorder="1">
      <alignment vertical="center"/>
    </xf>
    <xf numFmtId="181" fontId="69" fillId="0" borderId="24" xfId="1" applyNumberFormat="1" applyFont="1" applyBorder="1">
      <alignment vertical="center"/>
    </xf>
    <xf numFmtId="38" fontId="69" fillId="0" borderId="92" xfId="1" applyFont="1" applyFill="1" applyBorder="1">
      <alignment vertical="center"/>
    </xf>
    <xf numFmtId="181" fontId="69" fillId="0" borderId="92" xfId="1" applyNumberFormat="1" applyFont="1" applyFill="1" applyBorder="1">
      <alignment vertical="center"/>
    </xf>
    <xf numFmtId="180" fontId="69" fillId="35" borderId="13" xfId="0" applyNumberFormat="1" applyFont="1" applyFill="1" applyBorder="1" applyAlignment="1">
      <alignment horizontal="center" vertical="center"/>
    </xf>
    <xf numFmtId="0" fontId="69" fillId="35" borderId="13" xfId="0" applyFont="1" applyFill="1" applyBorder="1">
      <alignment vertical="center"/>
    </xf>
    <xf numFmtId="0" fontId="69" fillId="47" borderId="93" xfId="0" applyFont="1" applyFill="1" applyBorder="1">
      <alignment vertical="center"/>
    </xf>
    <xf numFmtId="38" fontId="69" fillId="0" borderId="25" xfId="1" applyFont="1" applyBorder="1">
      <alignment vertical="center"/>
    </xf>
    <xf numFmtId="177" fontId="69" fillId="0" borderId="25" xfId="1" applyNumberFormat="1" applyFont="1" applyBorder="1">
      <alignment vertical="center"/>
    </xf>
    <xf numFmtId="177" fontId="69" fillId="0" borderId="27" xfId="1" applyNumberFormat="1" applyFont="1" applyBorder="1">
      <alignment vertical="center"/>
    </xf>
    <xf numFmtId="181" fontId="69" fillId="47" borderId="93" xfId="0" applyNumberFormat="1" applyFont="1" applyFill="1" applyBorder="1">
      <alignment vertical="center"/>
    </xf>
    <xf numFmtId="181" fontId="69" fillId="0" borderId="25" xfId="1" applyNumberFormat="1" applyFont="1" applyBorder="1">
      <alignment vertical="center"/>
    </xf>
    <xf numFmtId="0" fontId="69" fillId="0" borderId="32" xfId="0" applyFont="1" applyBorder="1">
      <alignment vertical="center"/>
    </xf>
    <xf numFmtId="38" fontId="69" fillId="0" borderId="10" xfId="1" applyFont="1" applyBorder="1">
      <alignment vertical="center"/>
    </xf>
    <xf numFmtId="177" fontId="69" fillId="0" borderId="168" xfId="1" applyNumberFormat="1" applyFont="1" applyBorder="1">
      <alignment vertical="center"/>
    </xf>
    <xf numFmtId="177" fontId="69" fillId="0" borderId="10" xfId="1" applyNumberFormat="1" applyFont="1" applyBorder="1">
      <alignment vertical="center"/>
    </xf>
    <xf numFmtId="181" fontId="69" fillId="0" borderId="10" xfId="1" applyNumberFormat="1" applyFont="1" applyBorder="1">
      <alignment vertical="center"/>
    </xf>
    <xf numFmtId="180" fontId="69" fillId="35" borderId="28" xfId="0" applyNumberFormat="1" applyFont="1" applyFill="1" applyBorder="1" applyAlignment="1">
      <alignment horizontal="center" vertical="center"/>
    </xf>
    <xf numFmtId="0" fontId="69" fillId="35" borderId="28" xfId="0" applyFont="1" applyFill="1" applyBorder="1">
      <alignment vertical="center"/>
    </xf>
    <xf numFmtId="38" fontId="69" fillId="0" borderId="26" xfId="1" applyFont="1" applyBorder="1">
      <alignment vertical="center"/>
    </xf>
    <xf numFmtId="0" fontId="69" fillId="0" borderId="30" xfId="0" applyFont="1" applyBorder="1">
      <alignment vertical="center"/>
    </xf>
    <xf numFmtId="38" fontId="69" fillId="0" borderId="10" xfId="0" applyNumberFormat="1" applyFont="1" applyBorder="1">
      <alignment vertical="center"/>
    </xf>
    <xf numFmtId="179" fontId="69" fillId="0" borderId="10" xfId="0" applyNumberFormat="1" applyFont="1" applyBorder="1" applyAlignment="1">
      <alignment horizontal="right" vertical="center"/>
    </xf>
    <xf numFmtId="0" fontId="69" fillId="0" borderId="22" xfId="0" applyFont="1" applyBorder="1" applyAlignment="1">
      <alignment horizontal="center" vertical="center" textRotation="90"/>
    </xf>
    <xf numFmtId="38" fontId="69" fillId="0" borderId="10" xfId="45" applyFont="1" applyFill="1" applyBorder="1">
      <alignment vertical="center"/>
    </xf>
    <xf numFmtId="0" fontId="69" fillId="35" borderId="24" xfId="0" applyFont="1" applyFill="1" applyBorder="1" applyAlignment="1">
      <alignment vertical="center" shrinkToFit="1"/>
    </xf>
    <xf numFmtId="180" fontId="69" fillId="35" borderId="27" xfId="0" applyNumberFormat="1" applyFont="1" applyFill="1" applyBorder="1" applyAlignment="1">
      <alignment horizontal="center" vertical="center"/>
    </xf>
    <xf numFmtId="0" fontId="69" fillId="35" borderId="27" xfId="0" applyFont="1" applyFill="1" applyBorder="1">
      <alignment vertical="center"/>
    </xf>
    <xf numFmtId="38" fontId="69" fillId="0" borderId="12" xfId="1" applyFont="1" applyBorder="1">
      <alignment vertical="center"/>
    </xf>
    <xf numFmtId="0" fontId="75" fillId="0" borderId="17" xfId="71" applyFont="1" applyBorder="1">
      <alignment vertical="center"/>
    </xf>
    <xf numFmtId="38" fontId="69" fillId="0" borderId="92" xfId="0" applyNumberFormat="1" applyFont="1" applyBorder="1">
      <alignment vertical="center"/>
    </xf>
    <xf numFmtId="38" fontId="69" fillId="0" borderId="93" xfId="1" applyFont="1" applyFill="1" applyBorder="1">
      <alignment vertical="center"/>
    </xf>
    <xf numFmtId="0" fontId="73" fillId="0" borderId="14" xfId="0" applyFont="1" applyBorder="1" applyAlignment="1"/>
    <xf numFmtId="180" fontId="69" fillId="0" borderId="14" xfId="0" applyNumberFormat="1" applyFont="1" applyBorder="1" applyAlignment="1">
      <alignment horizontal="center" vertical="center"/>
    </xf>
    <xf numFmtId="0" fontId="69" fillId="0" borderId="16" xfId="0" applyFont="1" applyBorder="1" applyAlignment="1">
      <alignment horizontal="center" vertical="center"/>
    </xf>
    <xf numFmtId="0" fontId="69" fillId="54" borderId="10" xfId="0" applyFont="1" applyFill="1" applyBorder="1" applyAlignment="1">
      <alignment horizontal="center" vertical="center"/>
    </xf>
    <xf numFmtId="0" fontId="69" fillId="54" borderId="11" xfId="0" applyFont="1" applyFill="1" applyBorder="1" applyAlignment="1">
      <alignment horizontal="center" vertical="center"/>
    </xf>
    <xf numFmtId="195" fontId="69" fillId="0" borderId="10" xfId="0" applyNumberFormat="1" applyFont="1" applyBorder="1">
      <alignment vertical="center"/>
    </xf>
    <xf numFmtId="0" fontId="69" fillId="0" borderId="10" xfId="0" applyFont="1" applyBorder="1" applyAlignment="1">
      <alignment horizontal="center" vertical="center"/>
    </xf>
    <xf numFmtId="191" fontId="74" fillId="35" borderId="11" xfId="48" applyNumberFormat="1" applyFont="1" applyFill="1" applyBorder="1" applyAlignment="1">
      <alignment horizontal="center" vertical="center"/>
    </xf>
    <xf numFmtId="0" fontId="69" fillId="54" borderId="10" xfId="0" applyFont="1" applyFill="1" applyBorder="1" applyAlignment="1">
      <alignment horizontal="center" vertical="center" shrinkToFit="1"/>
    </xf>
    <xf numFmtId="49" fontId="69" fillId="35" borderId="11" xfId="0" applyNumberFormat="1" applyFont="1" applyFill="1" applyBorder="1" applyAlignment="1">
      <alignment horizontal="center" vertical="center" shrinkToFit="1"/>
    </xf>
    <xf numFmtId="0" fontId="69" fillId="0" borderId="24" xfId="0" applyFont="1" applyBorder="1" applyAlignment="1">
      <alignment horizontal="center" vertical="center"/>
    </xf>
    <xf numFmtId="38" fontId="69" fillId="0" borderId="24" xfId="45" applyFont="1" applyFill="1" applyBorder="1" applyAlignment="1">
      <alignment vertical="top"/>
    </xf>
    <xf numFmtId="38" fontId="69" fillId="0" borderId="24" xfId="45" applyFont="1" applyBorder="1">
      <alignment vertical="center"/>
    </xf>
    <xf numFmtId="180" fontId="69" fillId="0" borderId="24" xfId="0" applyNumberFormat="1" applyFont="1" applyBorder="1" applyAlignment="1">
      <alignment horizontal="center" vertical="center"/>
    </xf>
    <xf numFmtId="0" fontId="69" fillId="0" borderId="24" xfId="0" applyFont="1" applyBorder="1">
      <alignment vertical="center"/>
    </xf>
    <xf numFmtId="182" fontId="69" fillId="0" borderId="10" xfId="2" applyNumberFormat="1" applyFont="1" applyBorder="1">
      <alignment vertical="center"/>
    </xf>
    <xf numFmtId="0" fontId="69" fillId="0" borderId="170" xfId="0" applyFont="1" applyBorder="1" applyAlignment="1">
      <alignment horizontal="center" vertical="center"/>
    </xf>
    <xf numFmtId="182" fontId="69" fillId="0" borderId="170" xfId="2" applyNumberFormat="1" applyFont="1" applyBorder="1" applyAlignment="1">
      <alignment horizontal="center" vertical="center"/>
    </xf>
    <xf numFmtId="0" fontId="69" fillId="0" borderId="170" xfId="0" applyFont="1" applyBorder="1">
      <alignment vertical="center"/>
    </xf>
    <xf numFmtId="0" fontId="69" fillId="0" borderId="169" xfId="0" applyFont="1" applyBorder="1">
      <alignment vertical="center"/>
    </xf>
    <xf numFmtId="0" fontId="69" fillId="35" borderId="24" xfId="0" applyFont="1" applyFill="1" applyBorder="1" applyAlignment="1">
      <alignment horizontal="center" vertical="center"/>
    </xf>
    <xf numFmtId="0" fontId="69" fillId="0" borderId="27" xfId="0" applyFont="1" applyBorder="1" applyAlignment="1">
      <alignment horizontal="center" vertical="center"/>
    </xf>
    <xf numFmtId="180" fontId="69" fillId="0" borderId="27" xfId="0" applyNumberFormat="1" applyFont="1" applyBorder="1" applyAlignment="1">
      <alignment horizontal="center" vertical="center"/>
    </xf>
    <xf numFmtId="0" fontId="69" fillId="0" borderId="27" xfId="0" applyFont="1" applyBorder="1">
      <alignment vertical="center"/>
    </xf>
    <xf numFmtId="38" fontId="69" fillId="0" borderId="27" xfId="45" applyFont="1" applyFill="1" applyBorder="1" applyAlignment="1">
      <alignment vertical="top"/>
    </xf>
    <xf numFmtId="0" fontId="69" fillId="35" borderId="27" xfId="0" applyFont="1" applyFill="1" applyBorder="1" applyAlignment="1">
      <alignment horizontal="center" vertical="center"/>
    </xf>
    <xf numFmtId="0" fontId="69" fillId="0" borderId="18" xfId="0" applyFont="1" applyBorder="1" applyAlignment="1">
      <alignment horizontal="center" vertical="top" shrinkToFit="1"/>
    </xf>
    <xf numFmtId="0" fontId="69" fillId="0" borderId="18" xfId="0" applyFont="1" applyBorder="1" applyAlignment="1">
      <alignment vertical="top" shrinkToFit="1"/>
    </xf>
    <xf numFmtId="0" fontId="69" fillId="0" borderId="31" xfId="0" applyFont="1" applyBorder="1" applyAlignment="1">
      <alignment horizontal="center" vertical="center"/>
    </xf>
    <xf numFmtId="180" fontId="71" fillId="0" borderId="10" xfId="0" applyNumberFormat="1" applyFont="1" applyBorder="1" applyAlignment="1">
      <alignment horizontal="center" vertical="top" shrinkToFit="1"/>
    </xf>
    <xf numFmtId="0" fontId="69" fillId="0" borderId="10" xfId="0" applyFont="1" applyBorder="1" applyAlignment="1">
      <alignment vertical="top" shrinkToFit="1"/>
    </xf>
    <xf numFmtId="0" fontId="69" fillId="0" borderId="10" xfId="0" applyFont="1" applyBorder="1">
      <alignment vertical="center"/>
    </xf>
    <xf numFmtId="0" fontId="69" fillId="0" borderId="14" xfId="0" applyFont="1" applyBorder="1" applyAlignment="1">
      <alignment horizontal="center" vertical="top" shrinkToFit="1"/>
    </xf>
    <xf numFmtId="0" fontId="69" fillId="0" borderId="14" xfId="0" applyFont="1" applyBorder="1" applyAlignment="1">
      <alignment vertical="top" shrinkToFit="1"/>
    </xf>
    <xf numFmtId="0" fontId="69" fillId="0" borderId="15" xfId="0" applyFont="1" applyBorder="1" applyAlignment="1">
      <alignment horizontal="center" vertical="center"/>
    </xf>
    <xf numFmtId="0" fontId="69" fillId="0" borderId="14" xfId="0" applyFont="1" applyBorder="1" applyAlignment="1"/>
    <xf numFmtId="180" fontId="69" fillId="0" borderId="14" xfId="0" applyNumberFormat="1" applyFont="1" applyBorder="1">
      <alignment vertical="center"/>
    </xf>
    <xf numFmtId="199" fontId="69" fillId="0" borderId="14" xfId="0" applyNumberFormat="1" applyFont="1" applyBorder="1">
      <alignment vertical="center"/>
    </xf>
    <xf numFmtId="200" fontId="69" fillId="0" borderId="14" xfId="0" applyNumberFormat="1" applyFont="1" applyBorder="1">
      <alignment vertical="center"/>
    </xf>
    <xf numFmtId="0" fontId="75" fillId="0" borderId="21" xfId="0" applyFont="1" applyBorder="1">
      <alignment vertical="center"/>
    </xf>
    <xf numFmtId="0" fontId="75" fillId="0" borderId="36" xfId="0" applyFont="1" applyBorder="1">
      <alignment vertical="center"/>
    </xf>
    <xf numFmtId="0" fontId="75" fillId="0" borderId="29" xfId="0" applyFont="1" applyBorder="1">
      <alignment vertical="center"/>
    </xf>
    <xf numFmtId="0" fontId="75" fillId="0" borderId="32" xfId="0" applyFont="1" applyBorder="1">
      <alignment vertical="center"/>
    </xf>
    <xf numFmtId="0" fontId="75" fillId="0" borderId="33" xfId="0" applyFont="1" applyBorder="1">
      <alignment vertical="center"/>
    </xf>
    <xf numFmtId="0" fontId="75" fillId="0" borderId="31" xfId="0" applyFont="1" applyBorder="1">
      <alignment vertical="center"/>
    </xf>
    <xf numFmtId="0" fontId="69" fillId="0" borderId="0" xfId="0" applyFont="1" applyAlignment="1" applyProtection="1">
      <alignment horizontal="center" vertical="center"/>
      <protection locked="0"/>
    </xf>
    <xf numFmtId="0" fontId="69" fillId="0" borderId="173" xfId="0" applyFont="1" applyBorder="1">
      <alignment vertical="center"/>
    </xf>
    <xf numFmtId="0" fontId="69" fillId="0" borderId="15" xfId="0" applyFont="1" applyBorder="1" applyAlignment="1">
      <alignment horizontal="center" vertical="center" wrapText="1"/>
    </xf>
    <xf numFmtId="0" fontId="79" fillId="52" borderId="10" xfId="0" applyFont="1" applyFill="1" applyBorder="1" applyAlignment="1">
      <alignment horizontal="center" vertical="center" wrapText="1"/>
    </xf>
    <xf numFmtId="0" fontId="79" fillId="52" borderId="19" xfId="0" applyFont="1" applyFill="1" applyBorder="1" applyAlignment="1">
      <alignment horizontal="center" vertical="center" wrapText="1"/>
    </xf>
    <xf numFmtId="0" fontId="69" fillId="0" borderId="16" xfId="0" applyFont="1" applyBorder="1" applyAlignment="1">
      <alignment horizontal="center" vertical="center" wrapText="1"/>
    </xf>
    <xf numFmtId="0" fontId="69" fillId="0" borderId="14" xfId="0" applyFont="1" applyBorder="1" applyAlignment="1">
      <alignment horizontal="center" vertical="center" wrapText="1"/>
    </xf>
    <xf numFmtId="0" fontId="69" fillId="52" borderId="10" xfId="0" applyFont="1" applyFill="1" applyBorder="1" applyAlignment="1">
      <alignment horizontal="center" vertical="center"/>
    </xf>
    <xf numFmtId="0" fontId="69" fillId="52" borderId="19" xfId="0" applyFont="1" applyFill="1" applyBorder="1" applyAlignment="1">
      <alignment horizontal="center" vertical="center"/>
    </xf>
    <xf numFmtId="181" fontId="69" fillId="0" borderId="11" xfId="45" applyNumberFormat="1" applyFont="1" applyBorder="1">
      <alignment vertical="center"/>
    </xf>
    <xf numFmtId="189" fontId="69" fillId="0" borderId="101" xfId="45" applyNumberFormat="1" applyFont="1" applyBorder="1">
      <alignment vertical="center"/>
    </xf>
    <xf numFmtId="0" fontId="69" fillId="0" borderId="21" xfId="0" applyFont="1" applyBorder="1">
      <alignment vertical="center"/>
    </xf>
    <xf numFmtId="0" fontId="69" fillId="0" borderId="14" xfId="0" applyFont="1" applyBorder="1" applyAlignment="1">
      <alignment horizontal="right" vertical="center" shrinkToFit="1"/>
    </xf>
    <xf numFmtId="0" fontId="69" fillId="52" borderId="11" xfId="0" applyFont="1" applyFill="1" applyBorder="1" applyAlignment="1">
      <alignment horizontal="center" vertical="center"/>
    </xf>
    <xf numFmtId="0" fontId="69" fillId="52" borderId="11" xfId="0" applyFont="1" applyFill="1" applyBorder="1" applyAlignment="1">
      <alignment horizontal="center" vertical="center" shrinkToFit="1"/>
    </xf>
    <xf numFmtId="38" fontId="69" fillId="52" borderId="28" xfId="1" applyFont="1" applyFill="1" applyBorder="1" applyAlignment="1">
      <alignment horizontal="center" vertical="center"/>
    </xf>
    <xf numFmtId="38" fontId="69" fillId="0" borderId="28" xfId="0" applyNumberFormat="1" applyFont="1" applyBorder="1" applyAlignment="1">
      <alignment horizontal="right" vertical="center"/>
    </xf>
    <xf numFmtId="38" fontId="69" fillId="52" borderId="24" xfId="1" applyFont="1" applyFill="1" applyBorder="1" applyAlignment="1">
      <alignment horizontal="center" vertical="center"/>
    </xf>
    <xf numFmtId="38" fontId="69" fillId="0" borderId="24" xfId="0" applyNumberFormat="1" applyFont="1" applyBorder="1" applyAlignment="1">
      <alignment horizontal="right" vertical="center"/>
    </xf>
    <xf numFmtId="38" fontId="69" fillId="0" borderId="24" xfId="0" applyNumberFormat="1" applyFont="1" applyBorder="1">
      <alignment vertical="center"/>
    </xf>
    <xf numFmtId="180" fontId="69" fillId="52" borderId="13" xfId="45" applyNumberFormat="1" applyFont="1" applyFill="1" applyBorder="1" applyAlignment="1">
      <alignment horizontal="center" vertical="center"/>
    </xf>
    <xf numFmtId="38" fontId="69" fillId="0" borderId="13" xfId="0" applyNumberFormat="1" applyFont="1" applyBorder="1" applyAlignment="1">
      <alignment horizontal="right" vertical="center"/>
    </xf>
    <xf numFmtId="38" fontId="69" fillId="0" borderId="13" xfId="0" applyNumberFormat="1" applyFont="1" applyBorder="1">
      <alignment vertical="center"/>
    </xf>
    <xf numFmtId="38" fontId="69" fillId="0" borderId="10" xfId="0" applyNumberFormat="1" applyFont="1" applyBorder="1" applyAlignment="1">
      <alignment horizontal="right" vertical="center"/>
    </xf>
    <xf numFmtId="38" fontId="69" fillId="0" borderId="16" xfId="45" applyFont="1" applyBorder="1">
      <alignment vertical="center"/>
    </xf>
    <xf numFmtId="180" fontId="69" fillId="52" borderId="27" xfId="45" applyNumberFormat="1" applyFont="1" applyFill="1" applyBorder="1" applyAlignment="1">
      <alignment horizontal="center" vertical="center"/>
    </xf>
    <xf numFmtId="38" fontId="69" fillId="0" borderId="27" xfId="0" applyNumberFormat="1" applyFont="1" applyBorder="1" applyAlignment="1">
      <alignment horizontal="right" vertical="center"/>
    </xf>
    <xf numFmtId="193" fontId="69" fillId="0" borderId="15" xfId="0" applyNumberFormat="1" applyFont="1" applyBorder="1" applyAlignment="1">
      <alignment horizontal="center" vertical="center"/>
    </xf>
    <xf numFmtId="190" fontId="69" fillId="0" borderId="15" xfId="45" applyNumberFormat="1" applyFont="1" applyBorder="1" applyAlignment="1">
      <alignment horizontal="center" vertical="center"/>
    </xf>
    <xf numFmtId="190" fontId="69" fillId="0" borderId="15" xfId="0" applyNumberFormat="1" applyFont="1" applyBorder="1" applyAlignment="1">
      <alignment horizontal="center" vertical="center"/>
    </xf>
    <xf numFmtId="0" fontId="69" fillId="40" borderId="0" xfId="0" applyFont="1" applyFill="1" applyAlignment="1" applyProtection="1">
      <alignment horizontal="center" vertical="center"/>
      <protection locked="0"/>
    </xf>
    <xf numFmtId="38" fontId="69" fillId="54" borderId="24" xfId="1" applyFont="1" applyFill="1" applyBorder="1">
      <alignment vertical="center"/>
    </xf>
    <xf numFmtId="38" fontId="69" fillId="54" borderId="25" xfId="1" applyFont="1" applyFill="1" applyBorder="1">
      <alignment vertical="center"/>
    </xf>
    <xf numFmtId="196" fontId="69" fillId="40" borderId="14" xfId="0" applyNumberFormat="1" applyFont="1" applyFill="1" applyBorder="1">
      <alignment vertical="center"/>
    </xf>
    <xf numFmtId="196" fontId="69" fillId="40" borderId="0" xfId="0" applyNumberFormat="1" applyFont="1" applyFill="1">
      <alignment vertical="center"/>
    </xf>
    <xf numFmtId="196" fontId="69" fillId="40" borderId="16" xfId="0" applyNumberFormat="1" applyFont="1" applyFill="1" applyBorder="1">
      <alignment vertical="center"/>
    </xf>
    <xf numFmtId="196" fontId="69" fillId="40" borderId="15" xfId="0" applyNumberFormat="1" applyFont="1" applyFill="1" applyBorder="1">
      <alignment vertical="center"/>
    </xf>
    <xf numFmtId="196" fontId="69" fillId="40" borderId="197" xfId="0" applyNumberFormat="1" applyFont="1" applyFill="1" applyBorder="1">
      <alignment vertical="center"/>
    </xf>
    <xf numFmtId="196" fontId="69" fillId="40" borderId="30" xfId="0" applyNumberFormat="1" applyFont="1" applyFill="1" applyBorder="1">
      <alignment vertical="center"/>
    </xf>
    <xf numFmtId="196" fontId="69" fillId="40" borderId="17" xfId="0" applyNumberFormat="1" applyFont="1" applyFill="1" applyBorder="1">
      <alignment vertical="center"/>
    </xf>
    <xf numFmtId="0" fontId="69" fillId="0" borderId="21" xfId="0" applyFont="1" applyBorder="1" applyAlignment="1">
      <alignment vertical="center" wrapText="1"/>
    </xf>
    <xf numFmtId="0" fontId="69" fillId="0" borderId="36" xfId="0" applyFont="1" applyBorder="1" applyAlignment="1">
      <alignment vertical="center" wrapText="1"/>
    </xf>
    <xf numFmtId="0" fontId="69" fillId="0" borderId="29" xfId="0" applyFont="1" applyBorder="1" applyAlignment="1">
      <alignment vertical="center" wrapText="1"/>
    </xf>
    <xf numFmtId="0" fontId="69" fillId="0" borderId="32" xfId="0" applyFont="1" applyBorder="1" applyAlignment="1">
      <alignment vertical="center" wrapText="1"/>
    </xf>
    <xf numFmtId="0" fontId="69" fillId="0" borderId="33" xfId="0" applyFont="1" applyBorder="1" applyAlignment="1">
      <alignment vertical="center" wrapText="1"/>
    </xf>
    <xf numFmtId="0" fontId="69" fillId="0" borderId="31" xfId="0" applyFont="1" applyBorder="1" applyAlignment="1">
      <alignment vertical="center" wrapText="1"/>
    </xf>
    <xf numFmtId="0" fontId="69" fillId="0" borderId="21" xfId="0" applyFont="1" applyBorder="1" applyAlignment="1">
      <alignment horizontal="left" vertical="center" wrapText="1"/>
    </xf>
    <xf numFmtId="0" fontId="69" fillId="0" borderId="36" xfId="0" applyFont="1" applyBorder="1" applyAlignment="1">
      <alignment horizontal="left" vertical="center" wrapText="1"/>
    </xf>
    <xf numFmtId="0" fontId="69" fillId="0" borderId="29" xfId="0" applyFont="1" applyBorder="1" applyAlignment="1">
      <alignment horizontal="left" vertical="center" wrapText="1"/>
    </xf>
    <xf numFmtId="0" fontId="69" fillId="0" borderId="32" xfId="0" applyFont="1" applyBorder="1" applyAlignment="1">
      <alignment horizontal="left" vertical="center" wrapText="1"/>
    </xf>
    <xf numFmtId="0" fontId="69" fillId="0" borderId="33" xfId="0" applyFont="1" applyBorder="1" applyAlignment="1">
      <alignment horizontal="left" vertical="center" wrapText="1"/>
    </xf>
    <xf numFmtId="0" fontId="69" fillId="0" borderId="31" xfId="0" applyFont="1" applyBorder="1" applyAlignment="1">
      <alignment horizontal="left" vertical="center" wrapText="1"/>
    </xf>
    <xf numFmtId="0" fontId="80" fillId="0" borderId="15" xfId="0" applyFont="1" applyBorder="1" applyAlignment="1" applyProtection="1">
      <alignment horizontal="center" vertical="center"/>
      <protection locked="0"/>
    </xf>
    <xf numFmtId="0" fontId="80" fillId="0" borderId="30" xfId="0" applyFont="1" applyBorder="1" applyAlignment="1" applyProtection="1">
      <alignment horizontal="center" vertical="center"/>
      <protection locked="0"/>
    </xf>
    <xf numFmtId="0" fontId="80" fillId="0" borderId="16" xfId="0" applyFont="1" applyBorder="1" applyAlignment="1" applyProtection="1">
      <alignment horizontal="center" vertical="center"/>
      <protection locked="0"/>
    </xf>
    <xf numFmtId="0" fontId="76" fillId="55" borderId="171" xfId="0" applyFont="1" applyFill="1" applyBorder="1" applyAlignment="1">
      <alignment horizontal="center" vertical="center"/>
    </xf>
    <xf numFmtId="0" fontId="76" fillId="55" borderId="172" xfId="0" applyFont="1" applyFill="1" applyBorder="1" applyAlignment="1">
      <alignment horizontal="center" vertical="center"/>
    </xf>
    <xf numFmtId="0" fontId="72" fillId="52" borderId="166" xfId="0" applyFont="1" applyFill="1" applyBorder="1" applyAlignment="1">
      <alignment horizontal="center" vertical="center"/>
    </xf>
    <xf numFmtId="0" fontId="72" fillId="52" borderId="167" xfId="0" applyFont="1" applyFill="1" applyBorder="1" applyAlignment="1">
      <alignment horizontal="center" vertical="center"/>
    </xf>
    <xf numFmtId="0" fontId="77" fillId="0" borderId="15" xfId="137" applyFont="1" applyBorder="1" applyAlignment="1" applyProtection="1">
      <alignment horizontal="left" vertical="center"/>
      <protection locked="0"/>
    </xf>
    <xf numFmtId="0" fontId="77" fillId="0" borderId="30" xfId="137" applyFont="1" applyBorder="1" applyAlignment="1" applyProtection="1">
      <alignment horizontal="left" vertical="center"/>
      <protection locked="0"/>
    </xf>
    <xf numFmtId="0" fontId="77" fillId="0" borderId="16" xfId="137" applyFont="1" applyBorder="1" applyAlignment="1" applyProtection="1">
      <alignment horizontal="left" vertical="center"/>
      <protection locked="0"/>
    </xf>
    <xf numFmtId="0" fontId="77" fillId="0" borderId="15" xfId="137" applyFont="1" applyBorder="1" applyAlignment="1" applyProtection="1">
      <alignment horizontal="center" vertical="center"/>
      <protection locked="0"/>
    </xf>
    <xf numFmtId="0" fontId="77" fillId="0" borderId="30" xfId="137" applyFont="1" applyBorder="1" applyAlignment="1" applyProtection="1">
      <alignment horizontal="center" vertical="center"/>
      <protection locked="0"/>
    </xf>
    <xf numFmtId="0" fontId="77" fillId="0" borderId="16" xfId="137" applyFont="1" applyBorder="1" applyAlignment="1" applyProtection="1">
      <alignment horizontal="center" vertical="center"/>
      <protection locked="0"/>
    </xf>
    <xf numFmtId="0" fontId="63" fillId="48" borderId="124" xfId="0" applyFont="1" applyFill="1" applyBorder="1" applyAlignment="1">
      <alignment horizontal="center" vertical="center" wrapText="1"/>
    </xf>
    <xf numFmtId="0" fontId="63" fillId="48" borderId="125" xfId="0" applyFont="1" applyFill="1" applyBorder="1" applyAlignment="1">
      <alignment horizontal="center" vertical="center" wrapText="1"/>
    </xf>
    <xf numFmtId="0" fontId="63" fillId="48" borderId="0" xfId="0" applyFont="1" applyFill="1" applyAlignment="1">
      <alignment horizontal="center" vertical="center" wrapText="1"/>
    </xf>
    <xf numFmtId="0" fontId="63" fillId="48" borderId="127" xfId="0" applyFont="1" applyFill="1" applyBorder="1" applyAlignment="1">
      <alignment horizontal="center" vertical="center" wrapText="1"/>
    </xf>
    <xf numFmtId="0" fontId="63" fillId="48" borderId="129" xfId="0" applyFont="1" applyFill="1" applyBorder="1" applyAlignment="1">
      <alignment horizontal="center" vertical="center" wrapText="1"/>
    </xf>
    <xf numFmtId="0" fontId="63" fillId="48" borderId="130" xfId="0" applyFont="1" applyFill="1" applyBorder="1" applyAlignment="1">
      <alignment horizontal="center" vertical="center" wrapText="1"/>
    </xf>
    <xf numFmtId="0" fontId="65" fillId="47" borderId="0" xfId="0" applyFont="1" applyFill="1" applyAlignment="1">
      <alignment horizontal="left" vertical="center" wrapText="1"/>
    </xf>
    <xf numFmtId="0" fontId="65" fillId="47" borderId="59" xfId="0" applyFont="1" applyFill="1" applyBorder="1" applyAlignment="1">
      <alignment horizontal="left" vertical="center" wrapText="1"/>
    </xf>
    <xf numFmtId="0" fontId="65" fillId="47" borderId="61" xfId="0" applyFont="1" applyFill="1" applyBorder="1" applyAlignment="1">
      <alignment horizontal="left" vertical="center" wrapText="1"/>
    </xf>
    <xf numFmtId="0" fontId="65" fillId="47" borderId="62" xfId="0" applyFont="1" applyFill="1" applyBorder="1" applyAlignment="1">
      <alignment horizontal="left" vertical="center" wrapText="1"/>
    </xf>
    <xf numFmtId="0" fontId="58" fillId="45" borderId="0" xfId="0" applyFont="1" applyFill="1" applyAlignment="1">
      <alignment horizontal="center" wrapText="1"/>
    </xf>
    <xf numFmtId="0" fontId="62" fillId="46" borderId="121" xfId="0" applyFont="1" applyFill="1" applyBorder="1" applyAlignment="1">
      <alignment horizontal="left" vertical="center" shrinkToFit="1"/>
    </xf>
    <xf numFmtId="0" fontId="62" fillId="46" borderId="122" xfId="0" applyFont="1" applyFill="1" applyBorder="1" applyAlignment="1">
      <alignment horizontal="left" vertical="center" shrinkToFit="1"/>
    </xf>
    <xf numFmtId="187" fontId="62" fillId="46" borderId="39" xfId="0" applyNumberFormat="1" applyFont="1" applyFill="1" applyBorder="1" applyAlignment="1">
      <alignment horizontal="right" vertical="center"/>
    </xf>
    <xf numFmtId="187" fontId="62" fillId="46" borderId="80" xfId="0" applyNumberFormat="1" applyFont="1" applyFill="1" applyBorder="1" applyAlignment="1">
      <alignment horizontal="right" vertical="center"/>
    </xf>
    <xf numFmtId="0" fontId="69" fillId="52" borderId="24" xfId="0" applyFont="1" applyFill="1" applyBorder="1" applyAlignment="1">
      <alignment horizontal="left" vertical="center"/>
    </xf>
    <xf numFmtId="0" fontId="69" fillId="52" borderId="27" xfId="0" applyFont="1" applyFill="1" applyBorder="1" applyAlignment="1">
      <alignment horizontal="left" vertical="center"/>
    </xf>
    <xf numFmtId="0" fontId="69" fillId="52" borderId="89" xfId="0" applyFont="1" applyFill="1" applyBorder="1" applyAlignment="1">
      <alignment horizontal="left" vertical="center"/>
    </xf>
    <xf numFmtId="0" fontId="69" fillId="52" borderId="0" xfId="0" applyFont="1" applyFill="1" applyAlignment="1">
      <alignment horizontal="left" vertical="center"/>
    </xf>
    <xf numFmtId="0" fontId="69" fillId="52" borderId="35" xfId="0" applyFont="1" applyFill="1" applyBorder="1" applyAlignment="1">
      <alignment horizontal="left" vertical="center"/>
    </xf>
    <xf numFmtId="0" fontId="69" fillId="52" borderId="10" xfId="0" applyFont="1" applyFill="1" applyBorder="1" applyAlignment="1">
      <alignment horizontal="center" vertical="center"/>
    </xf>
    <xf numFmtId="0" fontId="69" fillId="52" borderId="84" xfId="0" applyFont="1" applyFill="1" applyBorder="1" applyAlignment="1">
      <alignment horizontal="center" vertical="center"/>
    </xf>
    <xf numFmtId="0" fontId="69" fillId="52" borderId="178" xfId="0" applyFont="1" applyFill="1" applyBorder="1" applyAlignment="1">
      <alignment horizontal="center" vertical="center"/>
    </xf>
    <xf numFmtId="0" fontId="69" fillId="52" borderId="85" xfId="0" applyFont="1" applyFill="1" applyBorder="1" applyAlignment="1">
      <alignment horizontal="center" vertical="center"/>
    </xf>
    <xf numFmtId="0" fontId="69" fillId="52" borderId="28" xfId="0" applyFont="1" applyFill="1" applyBorder="1" applyAlignment="1">
      <alignment horizontal="left" vertical="center"/>
    </xf>
    <xf numFmtId="0" fontId="69" fillId="0" borderId="95" xfId="0" applyFont="1" applyBorder="1" applyAlignment="1">
      <alignment horizontal="center" vertical="center"/>
    </xf>
    <xf numFmtId="0" fontId="69" fillId="0" borderId="103" xfId="0" applyFont="1" applyBorder="1" applyAlignment="1">
      <alignment horizontal="center" vertical="center"/>
    </xf>
    <xf numFmtId="0" fontId="69" fillId="0" borderId="96" xfId="0" applyFont="1" applyBorder="1" applyAlignment="1">
      <alignment horizontal="center" vertical="center"/>
    </xf>
    <xf numFmtId="38" fontId="69" fillId="0" borderId="11" xfId="45" applyFont="1" applyBorder="1" applyAlignment="1">
      <alignment horizontal="right" vertical="center"/>
    </xf>
    <xf numFmtId="38" fontId="69" fillId="0" borderId="13" xfId="45" applyFont="1" applyBorder="1" applyAlignment="1">
      <alignment horizontal="right" vertical="center"/>
    </xf>
    <xf numFmtId="38" fontId="69" fillId="0" borderId="10" xfId="45" applyFont="1" applyBorder="1" applyAlignment="1">
      <alignment horizontal="right" vertical="center"/>
    </xf>
    <xf numFmtId="0" fontId="69" fillId="0" borderId="15" xfId="0" applyFont="1" applyBorder="1" applyAlignment="1">
      <alignment horizontal="right" vertical="center" shrinkToFit="1"/>
    </xf>
    <xf numFmtId="0" fontId="69" fillId="0" borderId="16" xfId="0" applyFont="1" applyBorder="1" applyAlignment="1">
      <alignment horizontal="right" vertical="center" shrinkToFit="1"/>
    </xf>
    <xf numFmtId="40" fontId="69" fillId="0" borderId="11" xfId="45" applyNumberFormat="1" applyFont="1" applyBorder="1" applyAlignment="1">
      <alignment horizontal="right" vertical="center"/>
    </xf>
    <xf numFmtId="40" fontId="69" fillId="0" borderId="13" xfId="45" applyNumberFormat="1" applyFont="1" applyBorder="1" applyAlignment="1">
      <alignment horizontal="right" vertical="center"/>
    </xf>
    <xf numFmtId="0" fontId="69" fillId="52" borderId="11" xfId="0" applyFont="1" applyFill="1" applyBorder="1" applyAlignment="1">
      <alignment horizontal="center" vertical="center" textRotation="255"/>
    </xf>
    <xf numFmtId="0" fontId="69" fillId="52" borderId="12" xfId="0" applyFont="1" applyFill="1" applyBorder="1" applyAlignment="1">
      <alignment horizontal="center" vertical="center" textRotation="255"/>
    </xf>
    <xf numFmtId="0" fontId="69" fillId="52" borderId="13" xfId="0" applyFont="1" applyFill="1" applyBorder="1" applyAlignment="1">
      <alignment horizontal="center" vertical="center" textRotation="255"/>
    </xf>
    <xf numFmtId="0" fontId="69" fillId="52" borderId="102" xfId="0" applyFont="1" applyFill="1" applyBorder="1" applyAlignment="1">
      <alignment horizontal="center" vertical="center" textRotation="255"/>
    </xf>
    <xf numFmtId="0" fontId="69" fillId="52" borderId="10" xfId="0" applyFont="1" applyFill="1" applyBorder="1" applyAlignment="1">
      <alignment horizontal="center" vertical="center" wrapText="1"/>
    </xf>
    <xf numFmtId="0" fontId="69" fillId="52" borderId="86" xfId="0" applyFont="1" applyFill="1" applyBorder="1" applyAlignment="1">
      <alignment horizontal="center" vertical="center"/>
    </xf>
    <xf numFmtId="0" fontId="69" fillId="52" borderId="87" xfId="0" applyFont="1" applyFill="1" applyBorder="1" applyAlignment="1">
      <alignment horizontal="center" vertical="center"/>
    </xf>
    <xf numFmtId="0" fontId="69" fillId="52" borderId="11" xfId="0" applyFont="1" applyFill="1" applyBorder="1" applyAlignment="1">
      <alignment horizontal="center" vertical="center" wrapText="1"/>
    </xf>
    <xf numFmtId="0" fontId="69" fillId="52" borderId="13" xfId="0" applyFont="1" applyFill="1" applyBorder="1" applyAlignment="1">
      <alignment horizontal="center" vertical="center" wrapText="1"/>
    </xf>
    <xf numFmtId="0" fontId="69" fillId="52" borderId="84" xfId="0" applyFont="1" applyFill="1" applyBorder="1" applyAlignment="1">
      <alignment horizontal="center" vertical="center" wrapText="1"/>
    </xf>
    <xf numFmtId="0" fontId="69" fillId="52" borderId="85" xfId="0" applyFont="1" applyFill="1" applyBorder="1" applyAlignment="1">
      <alignment horizontal="center" vertical="center" wrapText="1"/>
    </xf>
    <xf numFmtId="0" fontId="69" fillId="52" borderId="86" xfId="0" applyFont="1" applyFill="1" applyBorder="1" applyAlignment="1">
      <alignment horizontal="center" vertical="center" wrapText="1"/>
    </xf>
    <xf numFmtId="0" fontId="69" fillId="52" borderId="87" xfId="0" applyFont="1" applyFill="1" applyBorder="1" applyAlignment="1">
      <alignment horizontal="center" vertical="center" wrapText="1"/>
    </xf>
    <xf numFmtId="188" fontId="69" fillId="0" borderId="15" xfId="0" applyNumberFormat="1" applyFont="1" applyBorder="1" applyAlignment="1">
      <alignment horizontal="right" shrinkToFit="1"/>
    </xf>
    <xf numFmtId="188" fontId="69" fillId="0" borderId="16" xfId="0" applyNumberFormat="1" applyFont="1" applyBorder="1" applyAlignment="1">
      <alignment horizontal="right" shrinkToFit="1"/>
    </xf>
    <xf numFmtId="0" fontId="69" fillId="0" borderId="15" xfId="0" applyFont="1" applyBorder="1" applyAlignment="1">
      <alignment horizontal="center" vertical="center"/>
    </xf>
    <xf numFmtId="0" fontId="69" fillId="0" borderId="30" xfId="0" applyFont="1" applyBorder="1" applyAlignment="1">
      <alignment horizontal="center" vertical="center"/>
    </xf>
    <xf numFmtId="0" fontId="81" fillId="0" borderId="174" xfId="0" applyFont="1" applyBorder="1" applyAlignment="1" applyProtection="1">
      <alignment horizontal="center" vertical="center"/>
      <protection locked="0"/>
    </xf>
    <xf numFmtId="0" fontId="81" fillId="0" borderId="175" xfId="0" applyFont="1" applyBorder="1" applyAlignment="1" applyProtection="1">
      <alignment horizontal="center" vertical="center"/>
      <protection locked="0"/>
    </xf>
    <xf numFmtId="0" fontId="81" fillId="0" borderId="176" xfId="0" applyFont="1" applyBorder="1" applyAlignment="1" applyProtection="1">
      <alignment horizontal="center" vertical="center"/>
      <protection locked="0"/>
    </xf>
    <xf numFmtId="0" fontId="81" fillId="0" borderId="177" xfId="0" applyFont="1" applyBorder="1" applyAlignment="1" applyProtection="1">
      <alignment horizontal="center" vertical="center"/>
      <protection locked="0"/>
    </xf>
    <xf numFmtId="0" fontId="81" fillId="0" borderId="97" xfId="0" applyFont="1" applyBorder="1" applyAlignment="1" applyProtection="1">
      <alignment horizontal="center" vertical="center"/>
      <protection locked="0"/>
    </xf>
    <xf numFmtId="0" fontId="81" fillId="0" borderId="98" xfId="0" applyFont="1" applyBorder="1" applyAlignment="1" applyProtection="1">
      <alignment horizontal="center" vertical="center"/>
      <protection locked="0"/>
    </xf>
    <xf numFmtId="0" fontId="82" fillId="0" borderId="15" xfId="0" applyFont="1" applyBorder="1" applyAlignment="1">
      <alignment horizontal="center" vertical="center"/>
    </xf>
    <xf numFmtId="0" fontId="82" fillId="0" borderId="16" xfId="0" applyFont="1" applyBorder="1" applyAlignment="1">
      <alignment horizontal="center" vertical="center"/>
    </xf>
    <xf numFmtId="0" fontId="69" fillId="0" borderId="21" xfId="0" applyFont="1" applyBorder="1" applyAlignment="1">
      <alignment horizontal="right"/>
    </xf>
    <xf numFmtId="0" fontId="69" fillId="0" borderId="29" xfId="0" applyFont="1" applyBorder="1" applyAlignment="1">
      <alignment horizontal="right"/>
    </xf>
    <xf numFmtId="0" fontId="69" fillId="0" borderId="99" xfId="0" applyFont="1" applyBorder="1" applyAlignment="1">
      <alignment horizontal="right"/>
    </xf>
    <xf numFmtId="0" fontId="69" fillId="0" borderId="100" xfId="0" applyFont="1" applyBorder="1" applyAlignment="1">
      <alignment horizontal="right"/>
    </xf>
    <xf numFmtId="0" fontId="81" fillId="0" borderId="84" xfId="0" applyFont="1" applyBorder="1" applyAlignment="1">
      <alignment horizontal="center" vertical="center"/>
    </xf>
    <xf numFmtId="0" fontId="81" fillId="0" borderId="178" xfId="0" applyFont="1" applyBorder="1" applyAlignment="1">
      <alignment horizontal="center" vertical="center"/>
    </xf>
    <xf numFmtId="0" fontId="81" fillId="0" borderId="179" xfId="0" applyFont="1" applyBorder="1" applyAlignment="1">
      <alignment horizontal="center" vertical="center"/>
    </xf>
    <xf numFmtId="0" fontId="81" fillId="0" borderId="180" xfId="0" applyFont="1" applyBorder="1" applyAlignment="1">
      <alignment horizontal="center" vertical="center"/>
    </xf>
    <xf numFmtId="0" fontId="81" fillId="0" borderId="181" xfId="0" applyFont="1" applyBorder="1" applyAlignment="1">
      <alignment horizontal="center" vertical="center"/>
    </xf>
    <xf numFmtId="0" fontId="81" fillId="0" borderId="182" xfId="0" applyFont="1" applyBorder="1" applyAlignment="1">
      <alignment horizontal="center" vertical="center"/>
    </xf>
    <xf numFmtId="0" fontId="69" fillId="0" borderId="84" xfId="0" applyFont="1" applyBorder="1" applyAlignment="1">
      <alignment horizontal="center" vertical="center"/>
    </xf>
    <xf numFmtId="0" fontId="69" fillId="0" borderId="178" xfId="0" applyFont="1" applyBorder="1" applyAlignment="1">
      <alignment horizontal="center" vertical="center"/>
    </xf>
    <xf numFmtId="0" fontId="69" fillId="0" borderId="179" xfId="0" applyFont="1" applyBorder="1" applyAlignment="1">
      <alignment horizontal="center" vertical="center"/>
    </xf>
    <xf numFmtId="0" fontId="69" fillId="0" borderId="180" xfId="0" applyFont="1" applyBorder="1" applyAlignment="1">
      <alignment horizontal="center" vertical="center"/>
    </xf>
    <xf numFmtId="0" fontId="69" fillId="0" borderId="181" xfId="0" applyFont="1" applyBorder="1" applyAlignment="1">
      <alignment horizontal="center" vertical="center"/>
    </xf>
    <xf numFmtId="0" fontId="69" fillId="0" borderId="182" xfId="0" applyFont="1" applyBorder="1" applyAlignment="1">
      <alignment horizontal="center" vertical="center"/>
    </xf>
    <xf numFmtId="196" fontId="69" fillId="0" borderId="32" xfId="0" applyNumberFormat="1" applyFont="1" applyBorder="1" applyAlignment="1">
      <alignment horizontal="center" vertical="center"/>
    </xf>
    <xf numFmtId="0" fontId="69" fillId="0" borderId="33" xfId="0" applyFont="1" applyBorder="1">
      <alignment vertical="center"/>
    </xf>
    <xf numFmtId="0" fontId="69" fillId="0" borderId="31" xfId="0" applyFont="1" applyBorder="1">
      <alignment vertical="center"/>
    </xf>
    <xf numFmtId="196" fontId="69" fillId="0" borderId="15" xfId="0" applyNumberFormat="1" applyFont="1" applyBorder="1" applyAlignment="1">
      <alignment horizontal="center" vertical="center"/>
    </xf>
    <xf numFmtId="196" fontId="69" fillId="0" borderId="30" xfId="0" applyNumberFormat="1" applyFont="1" applyBorder="1" applyAlignment="1">
      <alignment horizontal="center" vertical="center"/>
    </xf>
    <xf numFmtId="196" fontId="69" fillId="0" borderId="31" xfId="0" applyNumberFormat="1" applyFont="1" applyBorder="1" applyAlignment="1">
      <alignment horizontal="center" vertical="center"/>
    </xf>
    <xf numFmtId="196" fontId="69" fillId="0" borderId="183" xfId="0" applyNumberFormat="1" applyFont="1" applyBorder="1" applyAlignment="1">
      <alignment horizontal="right" vertical="center"/>
    </xf>
    <xf numFmtId="196" fontId="69" fillId="0" borderId="184" xfId="0" applyNumberFormat="1" applyFont="1" applyBorder="1" applyAlignment="1">
      <alignment horizontal="right" vertical="center"/>
    </xf>
    <xf numFmtId="196" fontId="69" fillId="0" borderId="185" xfId="0" applyNumberFormat="1" applyFont="1" applyBorder="1" applyAlignment="1">
      <alignment horizontal="right" vertical="center"/>
    </xf>
    <xf numFmtId="196" fontId="69" fillId="34" borderId="186" xfId="0" applyNumberFormat="1" applyFont="1" applyFill="1" applyBorder="1" applyAlignment="1">
      <alignment horizontal="center" vertical="center" wrapText="1"/>
    </xf>
    <xf numFmtId="196" fontId="69" fillId="34" borderId="187" xfId="0" applyNumberFormat="1" applyFont="1" applyFill="1" applyBorder="1" applyAlignment="1">
      <alignment horizontal="center" vertical="center"/>
    </xf>
    <xf numFmtId="196" fontId="69" fillId="34" borderId="188" xfId="0" applyNumberFormat="1" applyFont="1" applyFill="1" applyBorder="1" applyAlignment="1">
      <alignment horizontal="center" vertical="center"/>
    </xf>
    <xf numFmtId="196" fontId="69" fillId="34" borderId="189" xfId="0" applyNumberFormat="1" applyFont="1" applyFill="1" applyBorder="1" applyAlignment="1">
      <alignment horizontal="center" vertical="center"/>
    </xf>
    <xf numFmtId="196" fontId="69" fillId="34" borderId="0" xfId="0" applyNumberFormat="1" applyFont="1" applyFill="1" applyAlignment="1">
      <alignment horizontal="center" vertical="center"/>
    </xf>
    <xf numFmtId="196" fontId="69" fillId="34" borderId="190" xfId="0" applyNumberFormat="1" applyFont="1" applyFill="1" applyBorder="1" applyAlignment="1">
      <alignment horizontal="center" vertical="center"/>
    </xf>
    <xf numFmtId="196" fontId="69" fillId="34" borderId="192" xfId="0" applyNumberFormat="1" applyFont="1" applyFill="1" applyBorder="1" applyAlignment="1">
      <alignment horizontal="center" vertical="center"/>
    </xf>
    <xf numFmtId="196" fontId="69" fillId="34" borderId="193" xfId="0" applyNumberFormat="1" applyFont="1" applyFill="1" applyBorder="1" applyAlignment="1">
      <alignment horizontal="center" vertical="center"/>
    </xf>
    <xf numFmtId="196" fontId="69" fillId="34" borderId="186" xfId="0" applyNumberFormat="1" applyFont="1" applyFill="1" applyBorder="1" applyAlignment="1">
      <alignment horizontal="center" vertical="center"/>
    </xf>
    <xf numFmtId="196" fontId="69" fillId="34" borderId="0" xfId="0" applyNumberFormat="1" applyFont="1" applyFill="1" applyAlignment="1">
      <alignment horizontal="right" vertical="center"/>
    </xf>
    <xf numFmtId="196" fontId="69" fillId="42" borderId="197" xfId="0" applyNumberFormat="1" applyFont="1" applyFill="1" applyBorder="1" applyAlignment="1">
      <alignment horizontal="right" vertical="center"/>
    </xf>
    <xf numFmtId="196" fontId="69" fillId="42" borderId="203" xfId="0" applyNumberFormat="1" applyFont="1" applyFill="1" applyBorder="1" applyAlignment="1">
      <alignment horizontal="right" vertical="center"/>
    </xf>
    <xf numFmtId="196" fontId="69" fillId="34" borderId="192" xfId="0" applyNumberFormat="1" applyFont="1" applyFill="1" applyBorder="1" applyAlignment="1">
      <alignment horizontal="right" vertical="center"/>
    </xf>
    <xf numFmtId="196" fontId="69" fillId="35" borderId="192" xfId="0" applyNumberFormat="1" applyFont="1" applyFill="1" applyBorder="1" applyAlignment="1">
      <alignment horizontal="right" vertical="center"/>
    </xf>
    <xf numFmtId="196" fontId="69" fillId="43" borderId="211" xfId="0" applyNumberFormat="1" applyFont="1" applyFill="1" applyBorder="1" applyAlignment="1">
      <alignment horizontal="right" vertical="center"/>
    </xf>
    <xf numFmtId="196" fontId="69" fillId="56" borderId="219" xfId="0" applyNumberFormat="1" applyFont="1" applyFill="1" applyBorder="1" applyAlignment="1">
      <alignment horizontal="right" vertical="center"/>
    </xf>
    <xf numFmtId="196" fontId="69" fillId="36" borderId="129" xfId="0" applyNumberFormat="1" applyFont="1" applyFill="1" applyBorder="1" applyAlignment="1">
      <alignment horizontal="right" vertical="center"/>
    </xf>
    <xf numFmtId="0" fontId="69" fillId="35" borderId="10" xfId="0" applyFont="1" applyFill="1" applyBorder="1" applyAlignment="1">
      <alignment horizontal="center" vertical="center" wrapText="1"/>
    </xf>
    <xf numFmtId="0" fontId="69" fillId="35" borderId="10" xfId="0" applyFont="1" applyFill="1" applyBorder="1" applyAlignment="1">
      <alignment horizontal="center" vertical="center"/>
    </xf>
    <xf numFmtId="0" fontId="74" fillId="35" borderId="11" xfId="48" applyFont="1" applyFill="1" applyBorder="1" applyAlignment="1">
      <alignment horizontal="center" vertical="center" wrapText="1"/>
    </xf>
    <xf numFmtId="0" fontId="74" fillId="35" borderId="12" xfId="48" applyFont="1" applyFill="1" applyBorder="1" applyAlignment="1">
      <alignment horizontal="center" vertical="center" wrapText="1"/>
    </xf>
    <xf numFmtId="0" fontId="69" fillId="35" borderId="11" xfId="0" applyFont="1" applyFill="1" applyBorder="1" applyAlignment="1">
      <alignment horizontal="center" vertical="center" wrapText="1"/>
    </xf>
    <xf numFmtId="0" fontId="69" fillId="35" borderId="12" xfId="0" applyFont="1" applyFill="1" applyBorder="1" applyAlignment="1">
      <alignment horizontal="center" vertical="center" wrapText="1"/>
    </xf>
    <xf numFmtId="0" fontId="69" fillId="35" borderId="84" xfId="0" applyFont="1" applyFill="1" applyBorder="1" applyAlignment="1">
      <alignment horizontal="center" vertical="center"/>
    </xf>
    <xf numFmtId="0" fontId="69" fillId="35" borderId="91" xfId="0" applyFont="1" applyFill="1" applyBorder="1" applyAlignment="1">
      <alignment horizontal="center" vertical="center"/>
    </xf>
    <xf numFmtId="0" fontId="69" fillId="35" borderId="89" xfId="0" applyFont="1" applyFill="1" applyBorder="1" applyAlignment="1">
      <alignment horizontal="center" vertical="center"/>
    </xf>
    <xf numFmtId="0" fontId="69" fillId="35" borderId="34" xfId="0" applyFont="1" applyFill="1" applyBorder="1" applyAlignment="1">
      <alignment horizontal="center" vertical="center"/>
    </xf>
    <xf numFmtId="0" fontId="69" fillId="35" borderId="88" xfId="0" applyFont="1" applyFill="1" applyBorder="1" applyAlignment="1">
      <alignment horizontal="center" vertical="center"/>
    </xf>
    <xf numFmtId="0" fontId="69" fillId="35" borderId="90" xfId="0" applyFont="1" applyFill="1" applyBorder="1" applyAlignment="1">
      <alignment horizontal="center" vertical="center"/>
    </xf>
    <xf numFmtId="0" fontId="74" fillId="35" borderId="10" xfId="48" applyFont="1" applyFill="1" applyBorder="1" applyAlignment="1">
      <alignment horizontal="center" vertical="center" wrapText="1"/>
    </xf>
    <xf numFmtId="0" fontId="74" fillId="35" borderId="10" xfId="48" applyFont="1" applyFill="1" applyBorder="1" applyAlignment="1">
      <alignment horizontal="center" vertical="center"/>
    </xf>
    <xf numFmtId="0" fontId="69" fillId="35" borderId="10" xfId="0" applyFont="1" applyFill="1" applyBorder="1" applyAlignment="1">
      <alignment horizontal="center" vertical="center" shrinkToFit="1"/>
    </xf>
    <xf numFmtId="0" fontId="69" fillId="35" borderId="10" xfId="0" applyFont="1" applyFill="1" applyBorder="1" applyAlignment="1">
      <alignment horizontal="center" vertical="center" wrapText="1" shrinkToFit="1"/>
    </xf>
    <xf numFmtId="0" fontId="69" fillId="35" borderId="11" xfId="0" applyFont="1" applyFill="1" applyBorder="1" applyAlignment="1">
      <alignment horizontal="center" vertical="center" shrinkToFit="1"/>
    </xf>
    <xf numFmtId="0" fontId="69" fillId="35" borderId="13" xfId="0" applyFont="1" applyFill="1" applyBorder="1" applyAlignment="1">
      <alignment horizontal="center" vertical="center" shrinkToFit="1"/>
    </xf>
    <xf numFmtId="0" fontId="69" fillId="35" borderId="13" xfId="0" applyFont="1" applyFill="1" applyBorder="1" applyAlignment="1">
      <alignment horizontal="center" vertical="center"/>
    </xf>
    <xf numFmtId="0" fontId="69" fillId="35" borderId="84" xfId="0" applyFont="1" applyFill="1" applyBorder="1" applyAlignment="1">
      <alignment horizontal="center" vertical="center" wrapText="1"/>
    </xf>
    <xf numFmtId="0" fontId="69" fillId="35" borderId="85" xfId="0" applyFont="1" applyFill="1" applyBorder="1" applyAlignment="1">
      <alignment horizontal="center" vertical="center" wrapText="1"/>
    </xf>
    <xf numFmtId="49" fontId="69" fillId="35" borderId="10" xfId="0" applyNumberFormat="1" applyFont="1" applyFill="1" applyBorder="1" applyAlignment="1">
      <alignment horizontal="center" vertical="center" shrinkToFit="1"/>
    </xf>
    <xf numFmtId="0" fontId="69" fillId="35" borderId="85" xfId="0" applyFont="1" applyFill="1" applyBorder="1" applyAlignment="1">
      <alignment horizontal="center" vertical="center"/>
    </xf>
    <xf numFmtId="0" fontId="69" fillId="35" borderId="35" xfId="0" applyFont="1" applyFill="1" applyBorder="1" applyAlignment="1">
      <alignment horizontal="center" vertical="center"/>
    </xf>
    <xf numFmtId="0" fontId="69" fillId="35" borderId="94" xfId="0" applyFont="1" applyFill="1" applyBorder="1" applyAlignment="1">
      <alignment horizontal="center" vertical="center"/>
    </xf>
    <xf numFmtId="0" fontId="69" fillId="35" borderId="11" xfId="0" applyFont="1" applyFill="1" applyBorder="1" applyAlignment="1">
      <alignment horizontal="center" vertical="center"/>
    </xf>
    <xf numFmtId="0" fontId="69" fillId="35" borderId="12" xfId="0" applyFont="1" applyFill="1" applyBorder="1" applyAlignment="1">
      <alignment horizontal="center" vertical="center"/>
    </xf>
    <xf numFmtId="0" fontId="69" fillId="35" borderId="26" xfId="0" applyFont="1" applyFill="1" applyBorder="1" applyAlignment="1">
      <alignment horizontal="center" vertical="center"/>
    </xf>
    <xf numFmtId="0" fontId="69" fillId="35" borderId="19" xfId="0" applyFont="1" applyFill="1" applyBorder="1" applyAlignment="1">
      <alignment horizontal="center" vertical="center"/>
    </xf>
    <xf numFmtId="0" fontId="69" fillId="35" borderId="23" xfId="0" applyFont="1" applyFill="1" applyBorder="1" applyAlignment="1">
      <alignment horizontal="center" vertical="center"/>
    </xf>
    <xf numFmtId="0" fontId="69" fillId="35" borderId="20" xfId="0" applyFont="1" applyFill="1" applyBorder="1" applyAlignment="1">
      <alignment horizontal="center" vertical="center"/>
    </xf>
    <xf numFmtId="0" fontId="69" fillId="54" borderId="10" xfId="0" applyFont="1" applyFill="1" applyBorder="1" applyAlignment="1">
      <alignment horizontal="center" vertical="center"/>
    </xf>
    <xf numFmtId="0" fontId="69" fillId="54" borderId="11" xfId="0" applyFont="1" applyFill="1" applyBorder="1" applyAlignment="1">
      <alignment horizontal="center" vertical="center"/>
    </xf>
    <xf numFmtId="0" fontId="69" fillId="54" borderId="13" xfId="0" applyFont="1" applyFill="1" applyBorder="1" applyAlignment="1">
      <alignment horizontal="center" vertical="center"/>
    </xf>
    <xf numFmtId="0" fontId="69" fillId="36" borderId="10" xfId="0" applyFont="1" applyFill="1" applyBorder="1" applyAlignment="1">
      <alignment horizontal="center" vertical="center" shrinkToFit="1"/>
    </xf>
    <xf numFmtId="0" fontId="69" fillId="51" borderId="142" xfId="0" applyFont="1" applyFill="1" applyBorder="1" applyAlignment="1">
      <alignment horizontal="center" vertical="center" wrapText="1"/>
    </xf>
    <xf numFmtId="0" fontId="69" fillId="51" borderId="138" xfId="0" applyFont="1" applyFill="1" applyBorder="1" applyAlignment="1">
      <alignment horizontal="center" vertical="center" wrapText="1"/>
    </xf>
    <xf numFmtId="38" fontId="69" fillId="52" borderId="142" xfId="1" applyFont="1" applyFill="1" applyBorder="1" applyAlignment="1">
      <alignment horizontal="center" vertical="center"/>
    </xf>
    <xf numFmtId="38" fontId="69" fillId="52" borderId="145" xfId="1" applyFont="1" applyFill="1" applyBorder="1" applyAlignment="1">
      <alignment horizontal="center" vertical="center"/>
    </xf>
    <xf numFmtId="38" fontId="69" fillId="52" borderId="143" xfId="1" applyFont="1" applyFill="1" applyBorder="1" applyAlignment="1">
      <alignment horizontal="center" vertical="center"/>
    </xf>
    <xf numFmtId="38" fontId="69" fillId="52" borderId="145" xfId="1" applyFont="1" applyFill="1" applyBorder="1" applyAlignment="1">
      <alignment horizontal="center" vertical="center" shrinkToFit="1"/>
    </xf>
    <xf numFmtId="38" fontId="69" fillId="52" borderId="143" xfId="1" applyFont="1" applyFill="1" applyBorder="1" applyAlignment="1">
      <alignment horizontal="center" vertical="center" shrinkToFit="1"/>
    </xf>
    <xf numFmtId="49" fontId="70" fillId="49" borderId="10" xfId="0" applyNumberFormat="1" applyFont="1" applyFill="1" applyBorder="1" applyAlignment="1">
      <alignment horizontal="center" vertical="center" shrinkToFit="1"/>
    </xf>
    <xf numFmtId="49" fontId="70" fillId="49" borderId="11" xfId="0" applyNumberFormat="1" applyFont="1" applyFill="1" applyBorder="1" applyAlignment="1">
      <alignment horizontal="center" vertical="center" shrinkToFit="1"/>
    </xf>
    <xf numFmtId="0" fontId="69" fillId="52" borderId="138" xfId="0" applyFont="1" applyFill="1" applyBorder="1" applyAlignment="1">
      <alignment horizontal="center" vertical="center" wrapText="1"/>
    </xf>
    <xf numFmtId="0" fontId="69" fillId="52" borderId="143" xfId="0" applyFont="1" applyFill="1" applyBorder="1" applyAlignment="1">
      <alignment horizontal="center" vertical="center"/>
    </xf>
    <xf numFmtId="0" fontId="69" fillId="52" borderId="146" xfId="0" applyFont="1" applyFill="1" applyBorder="1" applyAlignment="1">
      <alignment horizontal="center" vertical="center"/>
    </xf>
    <xf numFmtId="0" fontId="69" fillId="51" borderId="140" xfId="0" applyFont="1" applyFill="1" applyBorder="1" applyAlignment="1">
      <alignment horizontal="center" vertical="center" wrapText="1"/>
    </xf>
    <xf numFmtId="0" fontId="69" fillId="51" borderId="139" xfId="0" applyFont="1" applyFill="1" applyBorder="1" applyAlignment="1">
      <alignment horizontal="center" vertical="center" wrapText="1"/>
    </xf>
    <xf numFmtId="0" fontId="69" fillId="52" borderId="138" xfId="0" applyFont="1" applyFill="1" applyBorder="1" applyAlignment="1">
      <alignment horizontal="center" vertical="center" wrapText="1" shrinkToFit="1"/>
    </xf>
    <xf numFmtId="0" fontId="69" fillId="52" borderId="143" xfId="0" applyFont="1" applyFill="1" applyBorder="1" applyAlignment="1">
      <alignment horizontal="center" vertical="center" wrapText="1" shrinkToFit="1"/>
    </xf>
    <xf numFmtId="0" fontId="69" fillId="52" borderId="146" xfId="0" applyFont="1" applyFill="1" applyBorder="1" applyAlignment="1">
      <alignment horizontal="center" vertical="center" wrapText="1" shrinkToFit="1"/>
    </xf>
    <xf numFmtId="192" fontId="69" fillId="52" borderId="138" xfId="0" applyNumberFormat="1" applyFont="1" applyFill="1" applyBorder="1" applyAlignment="1">
      <alignment horizontal="center" vertical="center" shrinkToFit="1"/>
    </xf>
    <xf numFmtId="192" fontId="69" fillId="52" borderId="143" xfId="0" applyNumberFormat="1" applyFont="1" applyFill="1" applyBorder="1" applyAlignment="1">
      <alignment horizontal="center" vertical="center" shrinkToFit="1"/>
    </xf>
    <xf numFmtId="192" fontId="69" fillId="52" borderId="146" xfId="0" applyNumberFormat="1" applyFont="1" applyFill="1" applyBorder="1" applyAlignment="1">
      <alignment horizontal="center" vertical="center" shrinkToFit="1"/>
    </xf>
    <xf numFmtId="0" fontId="69" fillId="52" borderId="139" xfId="0" applyFont="1" applyFill="1" applyBorder="1" applyAlignment="1">
      <alignment horizontal="center" vertical="center" wrapText="1" shrinkToFit="1"/>
    </xf>
    <xf numFmtId="0" fontId="69" fillId="52" borderId="144" xfId="0" applyFont="1" applyFill="1" applyBorder="1" applyAlignment="1">
      <alignment horizontal="center" vertical="center" wrapText="1" shrinkToFit="1"/>
    </xf>
    <xf numFmtId="0" fontId="69" fillId="52" borderId="147" xfId="0" applyFont="1" applyFill="1" applyBorder="1" applyAlignment="1">
      <alignment horizontal="center" vertical="center" wrapText="1" shrinkToFit="1"/>
    </xf>
    <xf numFmtId="0" fontId="69" fillId="52" borderId="158" xfId="0" applyFont="1" applyFill="1" applyBorder="1" applyAlignment="1">
      <alignment horizontal="center" vertical="center"/>
    </xf>
    <xf numFmtId="0" fontId="69" fillId="52" borderId="156" xfId="0" applyFont="1" applyFill="1" applyBorder="1" applyAlignment="1">
      <alignment horizontal="center" vertical="center"/>
    </xf>
    <xf numFmtId="0" fontId="74" fillId="51" borderId="157" xfId="48" applyFont="1" applyFill="1" applyBorder="1" applyAlignment="1">
      <alignment horizontal="center" vertical="center" wrapText="1"/>
    </xf>
    <xf numFmtId="0" fontId="74" fillId="51" borderId="158" xfId="48" applyFont="1" applyFill="1" applyBorder="1" applyAlignment="1">
      <alignment horizontal="center" vertical="center" wrapText="1"/>
    </xf>
    <xf numFmtId="49" fontId="70" fillId="49" borderId="152" xfId="0" applyNumberFormat="1" applyFont="1" applyFill="1" applyBorder="1" applyAlignment="1">
      <alignment horizontal="center" vertical="center" shrinkToFit="1"/>
    </xf>
    <xf numFmtId="49" fontId="70" fillId="49" borderId="156" xfId="0" applyNumberFormat="1" applyFont="1" applyFill="1" applyBorder="1" applyAlignment="1">
      <alignment horizontal="center" vertical="center" shrinkToFit="1"/>
    </xf>
    <xf numFmtId="0" fontId="69" fillId="0" borderId="110" xfId="44" applyFont="1" applyBorder="1" applyAlignment="1">
      <alignment horizontal="center" vertical="center" textRotation="255" wrapText="1"/>
    </xf>
    <xf numFmtId="0" fontId="69" fillId="0" borderId="111" xfId="44" applyFont="1" applyBorder="1" applyAlignment="1">
      <alignment horizontal="center" vertical="center" textRotation="255" wrapText="1"/>
    </xf>
    <xf numFmtId="0" fontId="69" fillId="0" borderId="112" xfId="44" applyFont="1" applyBorder="1" applyAlignment="1">
      <alignment horizontal="center" vertical="center" textRotation="255" wrapText="1"/>
    </xf>
    <xf numFmtId="0" fontId="69" fillId="52" borderId="156" xfId="44" applyFont="1" applyFill="1" applyBorder="1" applyAlignment="1">
      <alignment horizontal="center" vertical="center"/>
    </xf>
    <xf numFmtId="0" fontId="69" fillId="52" borderId="162" xfId="44" applyFont="1" applyFill="1" applyBorder="1" applyAlignment="1">
      <alignment horizontal="center" vertical="center"/>
    </xf>
    <xf numFmtId="0" fontId="69" fillId="36" borderId="11" xfId="44" applyFont="1" applyFill="1" applyBorder="1" applyAlignment="1">
      <alignment horizontal="center" vertical="center"/>
    </xf>
    <xf numFmtId="0" fontId="69" fillId="36" borderId="12" xfId="44" applyFont="1" applyFill="1" applyBorder="1" applyAlignment="1">
      <alignment horizontal="center" vertical="center"/>
    </xf>
    <xf numFmtId="0" fontId="69" fillId="36" borderId="13" xfId="44" applyFont="1" applyFill="1" applyBorder="1" applyAlignment="1">
      <alignment horizontal="center" vertical="center"/>
    </xf>
    <xf numFmtId="0" fontId="69" fillId="52" borderId="151" xfId="0" applyFont="1" applyFill="1" applyBorder="1" applyAlignment="1">
      <alignment horizontal="center" vertical="center"/>
    </xf>
    <xf numFmtId="0" fontId="69" fillId="38" borderId="14" xfId="0" applyFont="1" applyFill="1" applyBorder="1">
      <alignment vertical="center"/>
    </xf>
  </cellXfs>
  <cellStyles count="138">
    <cellStyle name="20% - アクセント 1" xfId="21" builtinId="30" customBuiltin="1"/>
    <cellStyle name="20% - アクセント 1 2" xfId="75" xr:uid="{00000000-0005-0000-0000-000001000000}"/>
    <cellStyle name="20% - アクセント 2" xfId="25" builtinId="34" customBuiltin="1"/>
    <cellStyle name="20% - アクセント 2 2" xfId="76" xr:uid="{00000000-0005-0000-0000-000003000000}"/>
    <cellStyle name="20% - アクセント 3" xfId="29" builtinId="38" customBuiltin="1"/>
    <cellStyle name="20% - アクセント 3 2" xfId="77" xr:uid="{00000000-0005-0000-0000-000005000000}"/>
    <cellStyle name="20% - アクセント 4" xfId="33" builtinId="42" customBuiltin="1"/>
    <cellStyle name="20% - アクセント 4 2" xfId="78" xr:uid="{00000000-0005-0000-0000-000007000000}"/>
    <cellStyle name="20% - アクセント 5" xfId="37" builtinId="46" customBuiltin="1"/>
    <cellStyle name="20% - アクセント 5 2" xfId="79" xr:uid="{00000000-0005-0000-0000-000009000000}"/>
    <cellStyle name="20% - アクセント 6" xfId="41" builtinId="50" customBuiltin="1"/>
    <cellStyle name="20% - アクセント 6 2" xfId="80" xr:uid="{00000000-0005-0000-0000-00000B000000}"/>
    <cellStyle name="40% - アクセント 1" xfId="22" builtinId="31" customBuiltin="1"/>
    <cellStyle name="40% - アクセント 1 2" xfId="81" xr:uid="{00000000-0005-0000-0000-00000D000000}"/>
    <cellStyle name="40% - アクセント 2" xfId="26" builtinId="35" customBuiltin="1"/>
    <cellStyle name="40% - アクセント 2 2" xfId="82" xr:uid="{00000000-0005-0000-0000-00000F000000}"/>
    <cellStyle name="40% - アクセント 3" xfId="30" builtinId="39" customBuiltin="1"/>
    <cellStyle name="40% - アクセント 3 2" xfId="83" xr:uid="{00000000-0005-0000-0000-000011000000}"/>
    <cellStyle name="40% - アクセント 4" xfId="34" builtinId="43" customBuiltin="1"/>
    <cellStyle name="40% - アクセント 4 2" xfId="84" xr:uid="{00000000-0005-0000-0000-000013000000}"/>
    <cellStyle name="40% - アクセント 5" xfId="38" builtinId="47" customBuiltin="1"/>
    <cellStyle name="40% - アクセント 5 2" xfId="85" xr:uid="{00000000-0005-0000-0000-000015000000}"/>
    <cellStyle name="40% - アクセント 6" xfId="42" builtinId="51" customBuiltin="1"/>
    <cellStyle name="40% - アクセント 6 2" xfId="86" xr:uid="{00000000-0005-0000-0000-000017000000}"/>
    <cellStyle name="60% - アクセント 1" xfId="23" builtinId="32" customBuiltin="1"/>
    <cellStyle name="60% - アクセント 1 2" xfId="87" xr:uid="{00000000-0005-0000-0000-000019000000}"/>
    <cellStyle name="60% - アクセント 2" xfId="27" builtinId="36" customBuiltin="1"/>
    <cellStyle name="60% - アクセント 2 2" xfId="88" xr:uid="{00000000-0005-0000-0000-00001B000000}"/>
    <cellStyle name="60% - アクセント 3" xfId="31" builtinId="40" customBuiltin="1"/>
    <cellStyle name="60% - アクセント 3 2" xfId="89" xr:uid="{00000000-0005-0000-0000-00001D000000}"/>
    <cellStyle name="60% - アクセント 4" xfId="35" builtinId="44" customBuiltin="1"/>
    <cellStyle name="60% - アクセント 4 2" xfId="90" xr:uid="{00000000-0005-0000-0000-00001F000000}"/>
    <cellStyle name="60% - アクセント 5" xfId="39" builtinId="48" customBuiltin="1"/>
    <cellStyle name="60% - アクセント 5 2" xfId="91" xr:uid="{00000000-0005-0000-0000-000021000000}"/>
    <cellStyle name="60% - アクセント 6" xfId="43" builtinId="52" customBuiltin="1"/>
    <cellStyle name="60% - アクセント 6 2" xfId="92" xr:uid="{00000000-0005-0000-0000-000023000000}"/>
    <cellStyle name="アクセント 1" xfId="20" builtinId="29" customBuiltin="1"/>
    <cellStyle name="アクセント 1 2" xfId="93" xr:uid="{00000000-0005-0000-0000-000025000000}"/>
    <cellStyle name="アクセント 2" xfId="24" builtinId="33" customBuiltin="1"/>
    <cellStyle name="アクセント 2 2" xfId="94" xr:uid="{00000000-0005-0000-0000-000027000000}"/>
    <cellStyle name="アクセント 3" xfId="28" builtinId="37" customBuiltin="1"/>
    <cellStyle name="アクセント 3 2" xfId="95" xr:uid="{00000000-0005-0000-0000-000029000000}"/>
    <cellStyle name="アクセント 4" xfId="32" builtinId="41" customBuiltin="1"/>
    <cellStyle name="アクセント 4 2" xfId="96" xr:uid="{00000000-0005-0000-0000-00002B000000}"/>
    <cellStyle name="アクセント 5" xfId="36" builtinId="45" customBuiltin="1"/>
    <cellStyle name="アクセント 5 2" xfId="97" xr:uid="{00000000-0005-0000-0000-00002D000000}"/>
    <cellStyle name="アクセント 6" xfId="40" builtinId="49" customBuiltin="1"/>
    <cellStyle name="アクセント 6 2" xfId="98" xr:uid="{00000000-0005-0000-0000-00002F000000}"/>
    <cellStyle name="タイトル" xfId="3" builtinId="15" customBuiltin="1"/>
    <cellStyle name="チェック セル" xfId="15" builtinId="23" customBuiltin="1"/>
    <cellStyle name="チェック セル 2" xfId="99" xr:uid="{00000000-0005-0000-0000-000032000000}"/>
    <cellStyle name="どちらでもない" xfId="10" builtinId="28" customBuiltin="1"/>
    <cellStyle name="どちらでもない 2" xfId="100" xr:uid="{00000000-0005-0000-0000-000034000000}"/>
    <cellStyle name="パーセント" xfId="2" builtinId="5"/>
    <cellStyle name="パーセント 2" xfId="59" xr:uid="{00000000-0005-0000-0000-000036000000}"/>
    <cellStyle name="パーセント 2 2" xfId="101" xr:uid="{00000000-0005-0000-0000-000037000000}"/>
    <cellStyle name="パーセント 3" xfId="56" xr:uid="{00000000-0005-0000-0000-000038000000}"/>
    <cellStyle name="パーセント 3 2" xfId="102" xr:uid="{00000000-0005-0000-0000-000039000000}"/>
    <cellStyle name="パーセント 4" xfId="66" xr:uid="{00000000-0005-0000-0000-00003A000000}"/>
    <cellStyle name="パーセント 4 2" xfId="103" xr:uid="{00000000-0005-0000-0000-00003B000000}"/>
    <cellStyle name="パーセント 5" xfId="104" xr:uid="{00000000-0005-0000-0000-00003C000000}"/>
    <cellStyle name="ハイパーリンク" xfId="137" builtinId="8"/>
    <cellStyle name="ハイパーリンク 2" xfId="72" xr:uid="{00000000-0005-0000-0000-00003E000000}"/>
    <cellStyle name="メモ" xfId="17" builtinId="10" customBuiltin="1"/>
    <cellStyle name="リンク セル" xfId="14" builtinId="24" customBuiltin="1"/>
    <cellStyle name="リンク セル 2" xfId="105" xr:uid="{00000000-0005-0000-0000-000041000000}"/>
    <cellStyle name="悪い" xfId="9" builtinId="27" customBuiltin="1"/>
    <cellStyle name="悪い 2" xfId="106" xr:uid="{00000000-0005-0000-0000-000043000000}"/>
    <cellStyle name="計算" xfId="13" builtinId="22" customBuiltin="1"/>
    <cellStyle name="計算 2" xfId="107" xr:uid="{00000000-0005-0000-0000-000045000000}"/>
    <cellStyle name="警告文" xfId="16" builtinId="11" customBuiltin="1"/>
    <cellStyle name="警告文 2" xfId="108" xr:uid="{00000000-0005-0000-0000-000047000000}"/>
    <cellStyle name="桁区切り" xfId="1" builtinId="6"/>
    <cellStyle name="桁区切り 2" xfId="45" xr:uid="{00000000-0005-0000-0000-000049000000}"/>
    <cellStyle name="桁区切り 2 2" xfId="60" xr:uid="{00000000-0005-0000-0000-00004A000000}"/>
    <cellStyle name="桁区切り 2 3" xfId="53" xr:uid="{00000000-0005-0000-0000-00004B000000}"/>
    <cellStyle name="桁区切り 2 4" xfId="70" xr:uid="{00000000-0005-0000-0000-00004C000000}"/>
    <cellStyle name="桁区切り 2 5" xfId="64" xr:uid="{00000000-0005-0000-0000-00004D000000}"/>
    <cellStyle name="桁区切り 3" xfId="47" xr:uid="{00000000-0005-0000-0000-00004E000000}"/>
    <cellStyle name="桁区切り 3 2" xfId="58" xr:uid="{00000000-0005-0000-0000-00004F000000}"/>
    <cellStyle name="桁区切り 3 2 2" xfId="109" xr:uid="{00000000-0005-0000-0000-000050000000}"/>
    <cellStyle name="桁区切り 3 3" xfId="69" xr:uid="{00000000-0005-0000-0000-000051000000}"/>
    <cellStyle name="桁区切り 3 3 2" xfId="110" xr:uid="{00000000-0005-0000-0000-000052000000}"/>
    <cellStyle name="桁区切り 3 4" xfId="73" xr:uid="{00000000-0005-0000-0000-000053000000}"/>
    <cellStyle name="桁区切り 4" xfId="52" xr:uid="{00000000-0005-0000-0000-000054000000}"/>
    <cellStyle name="桁区切り 4 2" xfId="74" xr:uid="{00000000-0005-0000-0000-000055000000}"/>
    <cellStyle name="桁区切り 5" xfId="68" xr:uid="{00000000-0005-0000-0000-000056000000}"/>
    <cellStyle name="桁区切り 5 2" xfId="111" xr:uid="{00000000-0005-0000-0000-000057000000}"/>
    <cellStyle name="桁区切り 6" xfId="112" xr:uid="{00000000-0005-0000-0000-000058000000}"/>
    <cellStyle name="桁区切り 7" xfId="113" xr:uid="{00000000-0005-0000-0000-000059000000}"/>
    <cellStyle name="見出し 1" xfId="4" builtinId="16" customBuiltin="1"/>
    <cellStyle name="見出し 1 2" xfId="114" xr:uid="{00000000-0005-0000-0000-00005B000000}"/>
    <cellStyle name="見出し 2" xfId="5" builtinId="17" customBuiltin="1"/>
    <cellStyle name="見出し 2 2" xfId="115" xr:uid="{00000000-0005-0000-0000-00005D000000}"/>
    <cellStyle name="見出し 3" xfId="6" builtinId="18" customBuiltin="1"/>
    <cellStyle name="見出し 3 2" xfId="116" xr:uid="{00000000-0005-0000-0000-00005F000000}"/>
    <cellStyle name="見出し 4" xfId="7" builtinId="19" customBuiltin="1"/>
    <cellStyle name="見出し 4 2" xfId="117" xr:uid="{00000000-0005-0000-0000-000061000000}"/>
    <cellStyle name="集計" xfId="19" builtinId="25" customBuiltin="1"/>
    <cellStyle name="集計 2" xfId="118" xr:uid="{00000000-0005-0000-0000-000063000000}"/>
    <cellStyle name="出力" xfId="12" builtinId="21" customBuiltin="1"/>
    <cellStyle name="出力 2" xfId="119" xr:uid="{00000000-0005-0000-0000-000065000000}"/>
    <cellStyle name="説明文" xfId="18" builtinId="53" customBuiltin="1"/>
    <cellStyle name="説明文 2" xfId="120" xr:uid="{00000000-0005-0000-0000-000067000000}"/>
    <cellStyle name="入力" xfId="11" builtinId="20" customBuiltin="1"/>
    <cellStyle name="入力 2" xfId="121" xr:uid="{00000000-0005-0000-0000-000069000000}"/>
    <cellStyle name="標準" xfId="0" builtinId="0"/>
    <cellStyle name="標準 11 2" xfId="61" xr:uid="{00000000-0005-0000-0000-00006B000000}"/>
    <cellStyle name="標準 2" xfId="46" xr:uid="{00000000-0005-0000-0000-00006C000000}"/>
    <cellStyle name="標準 2 2" xfId="48" xr:uid="{00000000-0005-0000-0000-00006D000000}"/>
    <cellStyle name="標準 2 2 2" xfId="62" xr:uid="{00000000-0005-0000-0000-00006E000000}"/>
    <cellStyle name="標準 2 3" xfId="65" xr:uid="{00000000-0005-0000-0000-00006F000000}"/>
    <cellStyle name="標準 2 3 2" xfId="122" xr:uid="{00000000-0005-0000-0000-000070000000}"/>
    <cellStyle name="標準 2 4" xfId="71" xr:uid="{00000000-0005-0000-0000-000071000000}"/>
    <cellStyle name="標準 3" xfId="49" xr:uid="{00000000-0005-0000-0000-000072000000}"/>
    <cellStyle name="標準 3 2" xfId="54" xr:uid="{00000000-0005-0000-0000-000073000000}"/>
    <cellStyle name="標準 3 2 2" xfId="123" xr:uid="{00000000-0005-0000-0000-000074000000}"/>
    <cellStyle name="標準 3 3" xfId="57" xr:uid="{00000000-0005-0000-0000-000075000000}"/>
    <cellStyle name="標準 3 3 2" xfId="124" xr:uid="{00000000-0005-0000-0000-000076000000}"/>
    <cellStyle name="標準 3 4" xfId="125" xr:uid="{00000000-0005-0000-0000-000077000000}"/>
    <cellStyle name="標準 4" xfId="50" xr:uid="{00000000-0005-0000-0000-000078000000}"/>
    <cellStyle name="標準 4 2" xfId="63" xr:uid="{00000000-0005-0000-0000-000079000000}"/>
    <cellStyle name="標準 4 2 2" xfId="126" xr:uid="{00000000-0005-0000-0000-00007A000000}"/>
    <cellStyle name="標準 4 3" xfId="127" xr:uid="{00000000-0005-0000-0000-00007B000000}"/>
    <cellStyle name="標準 5" xfId="44" xr:uid="{00000000-0005-0000-0000-00007C000000}"/>
    <cellStyle name="標準 5 2" xfId="67" xr:uid="{00000000-0005-0000-0000-00007D000000}"/>
    <cellStyle name="標準 5 2 2" xfId="129" xr:uid="{00000000-0005-0000-0000-00007E000000}"/>
    <cellStyle name="標準 5 3" xfId="130" xr:uid="{00000000-0005-0000-0000-00007F000000}"/>
    <cellStyle name="標準 5 4" xfId="128" xr:uid="{00000000-0005-0000-0000-000080000000}"/>
    <cellStyle name="標準 6" xfId="55" xr:uid="{00000000-0005-0000-0000-000081000000}"/>
    <cellStyle name="標準 6 2" xfId="132" xr:uid="{00000000-0005-0000-0000-000082000000}"/>
    <cellStyle name="標準 6 3" xfId="131" xr:uid="{00000000-0005-0000-0000-000083000000}"/>
    <cellStyle name="標準 7" xfId="51" xr:uid="{00000000-0005-0000-0000-000084000000}"/>
    <cellStyle name="標準 7 2" xfId="133" xr:uid="{00000000-0005-0000-0000-000085000000}"/>
    <cellStyle name="標準 8" xfId="134" xr:uid="{00000000-0005-0000-0000-000086000000}"/>
    <cellStyle name="未定義" xfId="135" xr:uid="{00000000-0005-0000-0000-000087000000}"/>
    <cellStyle name="良い" xfId="8" builtinId="26" customBuiltin="1"/>
    <cellStyle name="良い 2" xfId="136" xr:uid="{00000000-0005-0000-0000-000089000000}"/>
  </cellStyles>
  <dxfs count="2">
    <dxf>
      <font>
        <color theme="2" tint="-9.9948118533890809E-2"/>
      </font>
      <fill>
        <patternFill>
          <bgColor theme="2" tint="-9.9948118533890809E-2"/>
        </patternFill>
      </fill>
    </dxf>
    <dxf>
      <font>
        <color theme="2" tint="-9.9948118533890809E-2"/>
      </font>
      <fill>
        <patternFill>
          <bgColor theme="2" tint="-9.9948118533890809E-2"/>
        </patternFill>
      </fill>
    </dxf>
  </dxfs>
  <tableStyles count="0" defaultTableStyle="TableStyleMedium2" defaultPivotStyle="PivotStyleLight16"/>
  <colors>
    <mruColors>
      <color rgb="FFFFCCCC"/>
      <color rgb="FF800000"/>
      <color rgb="FFFFCCFF"/>
      <color rgb="FFFFFF00"/>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136318307614585"/>
          <c:y val="2.7117502058130624E-2"/>
          <c:w val="0.73249632180194291"/>
          <c:h val="0.68305144258942485"/>
        </c:manualLayout>
      </c:layout>
      <c:barChart>
        <c:barDir val="col"/>
        <c:grouping val="stacked"/>
        <c:varyColors val="0"/>
        <c:ser>
          <c:idx val="0"/>
          <c:order val="0"/>
          <c:tx>
            <c:strRef>
              <c:f>報告書!$F$26</c:f>
              <c:strCache>
                <c:ptCount val="1"/>
                <c:pt idx="0">
                  <c:v>直接効果</c:v>
                </c:pt>
              </c:strCache>
            </c:strRef>
          </c:tx>
          <c:spPr>
            <a:solidFill>
              <a:schemeClr val="accent3">
                <a:lumMod val="75000"/>
              </a:schemeClr>
            </a:solidFill>
            <a:ln>
              <a:solidFill>
                <a:schemeClr val="tx1"/>
              </a:solidFill>
            </a:ln>
            <a:effectLst/>
          </c:spPr>
          <c:invertIfNegative val="0"/>
          <c:cat>
            <c:strRef>
              <c:f>報告書!$C$27:$E$42</c:f>
              <c:strCache>
                <c:ptCount val="16"/>
                <c:pt idx="0">
                  <c:v>農林漁業</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strCache>
            </c:strRef>
          </c:cat>
          <c:val>
            <c:numRef>
              <c:f>報告書!$F$27:$F$42</c:f>
              <c:numCache>
                <c:formatCode>#,##0_);[Red]\(#,##0\)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5E09-468D-B1D0-FEBE2FDCD8A9}"/>
            </c:ext>
          </c:extLst>
        </c:ser>
        <c:ser>
          <c:idx val="1"/>
          <c:order val="1"/>
          <c:tx>
            <c:strRef>
              <c:f>報告書!$G$26</c:f>
              <c:strCache>
                <c:ptCount val="1"/>
                <c:pt idx="0">
                  <c:v>第１次間接効果</c:v>
                </c:pt>
              </c:strCache>
            </c:strRef>
          </c:tx>
          <c:spPr>
            <a:solidFill>
              <a:schemeClr val="accent3">
                <a:lumMod val="60000"/>
                <a:lumOff val="40000"/>
              </a:schemeClr>
            </a:solidFill>
            <a:ln>
              <a:solidFill>
                <a:schemeClr val="tx1"/>
              </a:solidFill>
            </a:ln>
            <a:effectLst/>
          </c:spPr>
          <c:invertIfNegative val="0"/>
          <c:cat>
            <c:strRef>
              <c:f>報告書!$C$27:$E$42</c:f>
              <c:strCache>
                <c:ptCount val="16"/>
                <c:pt idx="0">
                  <c:v>農林漁業</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strCache>
            </c:strRef>
          </c:cat>
          <c:val>
            <c:numRef>
              <c:f>報告書!$G$27:$G$42</c:f>
              <c:numCache>
                <c:formatCode>#,##0_);[Red]\(#,##0\)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1-5E09-468D-B1D0-FEBE2FDCD8A9}"/>
            </c:ext>
          </c:extLst>
        </c:ser>
        <c:ser>
          <c:idx val="2"/>
          <c:order val="2"/>
          <c:tx>
            <c:strRef>
              <c:f>報告書!$H$26</c:f>
              <c:strCache>
                <c:ptCount val="1"/>
                <c:pt idx="0">
                  <c:v>第２次間接効果</c:v>
                </c:pt>
              </c:strCache>
            </c:strRef>
          </c:tx>
          <c:spPr>
            <a:solidFill>
              <a:schemeClr val="tx2">
                <a:lumMod val="75000"/>
              </a:schemeClr>
            </a:solidFill>
            <a:ln>
              <a:solidFill>
                <a:schemeClr val="tx1"/>
              </a:solidFill>
            </a:ln>
            <a:effectLst/>
          </c:spPr>
          <c:invertIfNegative val="0"/>
          <c:cat>
            <c:strRef>
              <c:f>報告書!$C$27:$E$42</c:f>
              <c:strCache>
                <c:ptCount val="16"/>
                <c:pt idx="0">
                  <c:v>農林漁業</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strCache>
            </c:strRef>
          </c:cat>
          <c:val>
            <c:numRef>
              <c:f>報告書!$H$27:$H$42</c:f>
              <c:numCache>
                <c:formatCode>#,##0_);[Red]\(#,##0\)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5E09-468D-B1D0-FEBE2FDCD8A9}"/>
            </c:ext>
          </c:extLst>
        </c:ser>
        <c:dLbls>
          <c:showLegendKey val="0"/>
          <c:showVal val="0"/>
          <c:showCatName val="0"/>
          <c:showSerName val="0"/>
          <c:showPercent val="0"/>
          <c:showBubbleSize val="0"/>
        </c:dLbls>
        <c:gapWidth val="70"/>
        <c:overlap val="100"/>
        <c:axId val="674043120"/>
        <c:axId val="674056016"/>
      </c:barChart>
      <c:catAx>
        <c:axId val="674043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00" b="0" i="0" u="none" strike="noStrike" kern="1200" baseline="0">
                <a:solidFill>
                  <a:sysClr val="windowText" lastClr="000000"/>
                </a:solidFill>
                <a:latin typeface="BIZ UDPゴシック" panose="020B0400000000000000" pitchFamily="50" charset="-128"/>
                <a:ea typeface="BIZ UDPゴシック" panose="020B0400000000000000" pitchFamily="50" charset="-128"/>
                <a:cs typeface="+mn-cs"/>
              </a:defRPr>
            </a:pPr>
            <a:endParaRPr lang="ja-JP"/>
          </a:p>
        </c:txPr>
        <c:crossAx val="674056016"/>
        <c:crosses val="autoZero"/>
        <c:auto val="1"/>
        <c:lblAlgn val="ctr"/>
        <c:lblOffset val="100"/>
        <c:noMultiLvlLbl val="0"/>
      </c:catAx>
      <c:valAx>
        <c:axId val="674056016"/>
        <c:scaling>
          <c:orientation val="minMax"/>
        </c:scaling>
        <c:delete val="0"/>
        <c:axPos val="l"/>
        <c:majorGridlines>
          <c:spPr>
            <a:ln w="9525" cap="flat" cmpd="sng" algn="ctr">
              <a:solidFill>
                <a:schemeClr val="tx1"/>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crossAx val="674043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813090115220097"/>
          <c:y val="3.3256346201182563E-2"/>
          <c:w val="0.69742064719159058"/>
          <c:h val="0.69090761496530817"/>
        </c:manualLayout>
      </c:layout>
      <c:barChart>
        <c:barDir val="col"/>
        <c:grouping val="stacked"/>
        <c:varyColors val="0"/>
        <c:ser>
          <c:idx val="0"/>
          <c:order val="0"/>
          <c:tx>
            <c:strRef>
              <c:f>報告書!$F$47</c:f>
              <c:strCache>
                <c:ptCount val="1"/>
                <c:pt idx="0">
                  <c:v>直接効果</c:v>
                </c:pt>
              </c:strCache>
            </c:strRef>
          </c:tx>
          <c:spPr>
            <a:solidFill>
              <a:schemeClr val="accent3">
                <a:lumMod val="75000"/>
              </a:schemeClr>
            </a:solidFill>
            <a:ln>
              <a:solidFill>
                <a:schemeClr val="tx1"/>
              </a:solidFill>
            </a:ln>
            <a:effectLst/>
          </c:spPr>
          <c:invertIfNegative val="0"/>
          <c:cat>
            <c:strRef>
              <c:f>報告書!$C$48:$E$63</c:f>
              <c:strCache>
                <c:ptCount val="16"/>
                <c:pt idx="0">
                  <c:v>農林漁業</c:v>
                </c:pt>
                <c:pt idx="1">
                  <c:v>商業</c:v>
                </c:pt>
                <c:pt idx="2">
                  <c:v>その他のサービス業</c:v>
                </c:pt>
                <c:pt idx="3">
                  <c:v>製造業</c:v>
                </c:pt>
                <c:pt idx="4">
                  <c:v>運輸・郵便</c:v>
                </c:pt>
                <c:pt idx="5">
                  <c:v>金融・保険</c:v>
                </c:pt>
                <c:pt idx="6">
                  <c:v>不動産</c:v>
                </c:pt>
                <c:pt idx="7">
                  <c:v>電気・ガス・水道</c:v>
                </c:pt>
                <c:pt idx="8">
                  <c:v>医療・福祉業</c:v>
                </c:pt>
                <c:pt idx="9">
                  <c:v>情報通信</c:v>
                </c:pt>
                <c:pt idx="10">
                  <c:v>飲食サービス業</c:v>
                </c:pt>
                <c:pt idx="11">
                  <c:v>教育・学習支援業</c:v>
                </c:pt>
                <c:pt idx="12">
                  <c:v>建設</c:v>
                </c:pt>
                <c:pt idx="13">
                  <c:v>公務</c:v>
                </c:pt>
                <c:pt idx="14">
                  <c:v>宿泊業</c:v>
                </c:pt>
                <c:pt idx="15">
                  <c:v>鉱業</c:v>
                </c:pt>
              </c:strCache>
            </c:strRef>
          </c:cat>
          <c:val>
            <c:numRef>
              <c:f>報告書!$F$48:$F$63</c:f>
              <c:numCache>
                <c:formatCode>#,##0_);[Red]\(#,##0\)</c:formatCode>
                <c:ptCount val="16"/>
                <c:pt idx="0">
                  <c:v>6349.2534636753626</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456F-4BC9-8BFD-EB6C98560090}"/>
            </c:ext>
          </c:extLst>
        </c:ser>
        <c:ser>
          <c:idx val="1"/>
          <c:order val="1"/>
          <c:tx>
            <c:strRef>
              <c:f>報告書!$G$47</c:f>
              <c:strCache>
                <c:ptCount val="1"/>
                <c:pt idx="0">
                  <c:v>第１次間接効果</c:v>
                </c:pt>
              </c:strCache>
            </c:strRef>
          </c:tx>
          <c:spPr>
            <a:solidFill>
              <a:schemeClr val="accent3">
                <a:lumMod val="40000"/>
                <a:lumOff val="60000"/>
              </a:schemeClr>
            </a:solidFill>
            <a:ln>
              <a:solidFill>
                <a:schemeClr val="tx1"/>
              </a:solidFill>
            </a:ln>
            <a:effectLst/>
          </c:spPr>
          <c:invertIfNegative val="0"/>
          <c:cat>
            <c:strRef>
              <c:f>報告書!$C$48:$E$63</c:f>
              <c:strCache>
                <c:ptCount val="16"/>
                <c:pt idx="0">
                  <c:v>農林漁業</c:v>
                </c:pt>
                <c:pt idx="1">
                  <c:v>商業</c:v>
                </c:pt>
                <c:pt idx="2">
                  <c:v>その他のサービス業</c:v>
                </c:pt>
                <c:pt idx="3">
                  <c:v>製造業</c:v>
                </c:pt>
                <c:pt idx="4">
                  <c:v>運輸・郵便</c:v>
                </c:pt>
                <c:pt idx="5">
                  <c:v>金融・保険</c:v>
                </c:pt>
                <c:pt idx="6">
                  <c:v>不動産</c:v>
                </c:pt>
                <c:pt idx="7">
                  <c:v>電気・ガス・水道</c:v>
                </c:pt>
                <c:pt idx="8">
                  <c:v>医療・福祉業</c:v>
                </c:pt>
                <c:pt idx="9">
                  <c:v>情報通信</c:v>
                </c:pt>
                <c:pt idx="10">
                  <c:v>飲食サービス業</c:v>
                </c:pt>
                <c:pt idx="11">
                  <c:v>教育・学習支援業</c:v>
                </c:pt>
                <c:pt idx="12">
                  <c:v>建設</c:v>
                </c:pt>
                <c:pt idx="13">
                  <c:v>公務</c:v>
                </c:pt>
                <c:pt idx="14">
                  <c:v>宿泊業</c:v>
                </c:pt>
                <c:pt idx="15">
                  <c:v>鉱業</c:v>
                </c:pt>
              </c:strCache>
            </c:strRef>
          </c:cat>
          <c:val>
            <c:numRef>
              <c:f>報告書!$G$48:$G$63</c:f>
              <c:numCache>
                <c:formatCode>#,##0_);[Red]\(#,##0\)</c:formatCode>
                <c:ptCount val="16"/>
                <c:pt idx="0">
                  <c:v>108.29008587675511</c:v>
                </c:pt>
                <c:pt idx="1">
                  <c:v>383.81898555991728</c:v>
                </c:pt>
                <c:pt idx="2">
                  <c:v>298.65790774760893</c:v>
                </c:pt>
                <c:pt idx="3">
                  <c:v>335.48618147842893</c:v>
                </c:pt>
                <c:pt idx="4">
                  <c:v>124.11051113992677</c:v>
                </c:pt>
                <c:pt idx="5">
                  <c:v>58.423663490384243</c:v>
                </c:pt>
                <c:pt idx="6">
                  <c:v>36.19253677585354</c:v>
                </c:pt>
                <c:pt idx="7">
                  <c:v>91.851609870718647</c:v>
                </c:pt>
                <c:pt idx="8">
                  <c:v>0.15644034239025273</c:v>
                </c:pt>
                <c:pt idx="9">
                  <c:v>24.960797742181271</c:v>
                </c:pt>
                <c:pt idx="10">
                  <c:v>8.7622882566915604E-3</c:v>
                </c:pt>
                <c:pt idx="11">
                  <c:v>0.86622317792424475</c:v>
                </c:pt>
                <c:pt idx="12">
                  <c:v>17.542424996686851</c:v>
                </c:pt>
                <c:pt idx="13">
                  <c:v>2.5663653702411047</c:v>
                </c:pt>
                <c:pt idx="14">
                  <c:v>0</c:v>
                </c:pt>
                <c:pt idx="15">
                  <c:v>0.65130813230795193</c:v>
                </c:pt>
              </c:numCache>
            </c:numRef>
          </c:val>
          <c:extLst>
            <c:ext xmlns:c16="http://schemas.microsoft.com/office/drawing/2014/chart" uri="{C3380CC4-5D6E-409C-BE32-E72D297353CC}">
              <c16:uniqueId val="{00000001-456F-4BC9-8BFD-EB6C98560090}"/>
            </c:ext>
          </c:extLst>
        </c:ser>
        <c:ser>
          <c:idx val="2"/>
          <c:order val="2"/>
          <c:tx>
            <c:strRef>
              <c:f>報告書!$H$47</c:f>
              <c:strCache>
                <c:ptCount val="1"/>
                <c:pt idx="0">
                  <c:v>第２次間接効果</c:v>
                </c:pt>
              </c:strCache>
            </c:strRef>
          </c:tx>
          <c:spPr>
            <a:solidFill>
              <a:schemeClr val="tx2">
                <a:lumMod val="75000"/>
              </a:schemeClr>
            </a:solidFill>
            <a:ln>
              <a:solidFill>
                <a:schemeClr val="tx1"/>
              </a:solidFill>
            </a:ln>
            <a:effectLst/>
          </c:spPr>
          <c:invertIfNegative val="0"/>
          <c:cat>
            <c:strRef>
              <c:f>報告書!$C$48:$E$63</c:f>
              <c:strCache>
                <c:ptCount val="16"/>
                <c:pt idx="0">
                  <c:v>農林漁業</c:v>
                </c:pt>
                <c:pt idx="1">
                  <c:v>商業</c:v>
                </c:pt>
                <c:pt idx="2">
                  <c:v>その他のサービス業</c:v>
                </c:pt>
                <c:pt idx="3">
                  <c:v>製造業</c:v>
                </c:pt>
                <c:pt idx="4">
                  <c:v>運輸・郵便</c:v>
                </c:pt>
                <c:pt idx="5">
                  <c:v>金融・保険</c:v>
                </c:pt>
                <c:pt idx="6">
                  <c:v>不動産</c:v>
                </c:pt>
                <c:pt idx="7">
                  <c:v>電気・ガス・水道</c:v>
                </c:pt>
                <c:pt idx="8">
                  <c:v>医療・福祉業</c:v>
                </c:pt>
                <c:pt idx="9">
                  <c:v>情報通信</c:v>
                </c:pt>
                <c:pt idx="10">
                  <c:v>飲食サービス業</c:v>
                </c:pt>
                <c:pt idx="11">
                  <c:v>教育・学習支援業</c:v>
                </c:pt>
                <c:pt idx="12">
                  <c:v>建設</c:v>
                </c:pt>
                <c:pt idx="13">
                  <c:v>公務</c:v>
                </c:pt>
                <c:pt idx="14">
                  <c:v>宿泊業</c:v>
                </c:pt>
                <c:pt idx="15">
                  <c:v>鉱業</c:v>
                </c:pt>
              </c:strCache>
            </c:strRef>
          </c:cat>
          <c:val>
            <c:numRef>
              <c:f>報告書!$H$48:$H$63</c:f>
              <c:numCache>
                <c:formatCode>#,##0_);[Red]\(#,##0\)</c:formatCode>
                <c:ptCount val="16"/>
                <c:pt idx="0">
                  <c:v>5.7144000660390901</c:v>
                </c:pt>
                <c:pt idx="1">
                  <c:v>261.04928773472307</c:v>
                </c:pt>
                <c:pt idx="2">
                  <c:v>168.8086290214201</c:v>
                </c:pt>
                <c:pt idx="3">
                  <c:v>116.03907969229505</c:v>
                </c:pt>
                <c:pt idx="4">
                  <c:v>63.216497848051134</c:v>
                </c:pt>
                <c:pt idx="5">
                  <c:v>115.58849959963413</c:v>
                </c:pt>
                <c:pt idx="6">
                  <c:v>121.01540902883001</c:v>
                </c:pt>
                <c:pt idx="7">
                  <c:v>63.658476674936445</c:v>
                </c:pt>
                <c:pt idx="8">
                  <c:v>82.836480722253995</c:v>
                </c:pt>
                <c:pt idx="9">
                  <c:v>54.157039674457494</c:v>
                </c:pt>
                <c:pt idx="10">
                  <c:v>70.891819853561088</c:v>
                </c:pt>
                <c:pt idx="11">
                  <c:v>41.121915332982617</c:v>
                </c:pt>
                <c:pt idx="12">
                  <c:v>6.0071224315110276</c:v>
                </c:pt>
                <c:pt idx="13">
                  <c:v>5.9442947874597758</c:v>
                </c:pt>
                <c:pt idx="14">
                  <c:v>1.8135385998892768</c:v>
                </c:pt>
                <c:pt idx="15">
                  <c:v>0.42220118602208023</c:v>
                </c:pt>
              </c:numCache>
            </c:numRef>
          </c:val>
          <c:extLst>
            <c:ext xmlns:c16="http://schemas.microsoft.com/office/drawing/2014/chart" uri="{C3380CC4-5D6E-409C-BE32-E72D297353CC}">
              <c16:uniqueId val="{00000002-456F-4BC9-8BFD-EB6C98560090}"/>
            </c:ext>
          </c:extLst>
        </c:ser>
        <c:dLbls>
          <c:showLegendKey val="0"/>
          <c:showVal val="0"/>
          <c:showCatName val="0"/>
          <c:showSerName val="0"/>
          <c:showPercent val="0"/>
          <c:showBubbleSize val="0"/>
        </c:dLbls>
        <c:gapWidth val="70"/>
        <c:overlap val="100"/>
        <c:axId val="674049360"/>
        <c:axId val="674049776"/>
      </c:barChart>
      <c:catAx>
        <c:axId val="674049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00" b="0" i="0" u="none" strike="noStrike" kern="1200" baseline="0">
                <a:solidFill>
                  <a:sysClr val="windowText" lastClr="000000"/>
                </a:solidFill>
                <a:latin typeface="BIZ UDPゴシック" panose="020B0400000000000000" pitchFamily="50" charset="-128"/>
                <a:ea typeface="BIZ UDPゴシック" panose="020B0400000000000000" pitchFamily="50" charset="-128"/>
                <a:cs typeface="+mn-cs"/>
              </a:defRPr>
            </a:pPr>
            <a:endParaRPr lang="ja-JP"/>
          </a:p>
        </c:txPr>
        <c:crossAx val="674049776"/>
        <c:crosses val="autoZero"/>
        <c:auto val="1"/>
        <c:lblAlgn val="ctr"/>
        <c:lblOffset val="100"/>
        <c:noMultiLvlLbl val="0"/>
      </c:catAx>
      <c:valAx>
        <c:axId val="674049776"/>
        <c:scaling>
          <c:orientation val="minMax"/>
        </c:scaling>
        <c:delete val="0"/>
        <c:axPos val="l"/>
        <c:majorGridlines>
          <c:spPr>
            <a:ln w="9525" cap="flat" cmpd="sng" algn="ctr">
              <a:solidFill>
                <a:schemeClr val="tx1"/>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crossAx val="6740493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F30"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L$30" lockText="1" noThreeD="1"/>
</file>

<file path=xl/ctrlProps/ctrlProp19.xml><?xml version="1.0" encoding="utf-8"?>
<formControlPr xmlns="http://schemas.microsoft.com/office/spreadsheetml/2009/9/main" objectType="CheckBox" fmlaLink="$L$28" lockText="1" noThreeD="1"/>
</file>

<file path=xl/ctrlProps/ctrlProp2.xml><?xml version="1.0" encoding="utf-8"?>
<formControlPr xmlns="http://schemas.microsoft.com/office/spreadsheetml/2009/9/main" objectType="Radio" noThreeD="1"/>
</file>

<file path=xl/ctrlProps/ctrlProp20.xml><?xml version="1.0" encoding="utf-8"?>
<formControlPr xmlns="http://schemas.microsoft.com/office/spreadsheetml/2009/9/main" objectType="Radio" checked="Checked" firstButton="1" fmlaLink="$J$30"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CheckBox" fmlaLink="N30"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checked="Checked" firstButton="1" fmlaLink="$J$28"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noThreeD="1"/>
</file>

<file path=xl/ctrlProps/ctrlProp30.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noThreeD="1"/>
</file>

<file path=xl/ctrlProps/ctrlProp5.xml><?xml version="1.0" encoding="utf-8"?>
<formControlPr xmlns="http://schemas.microsoft.com/office/spreadsheetml/2009/9/main" objectType="Radio"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8" Type="http://schemas.openxmlformats.org/officeDocument/2006/relationships/hyperlink" Target="#DATA!A6"/><Relationship Id="rId3" Type="http://schemas.openxmlformats.org/officeDocument/2006/relationships/hyperlink" Target="#flow!A2"/><Relationship Id="rId7" Type="http://schemas.openxmlformats.org/officeDocument/2006/relationships/hyperlink" Target="#&#29983;&#29987;&#27874;&#21450;!D6"/><Relationship Id="rId2" Type="http://schemas.openxmlformats.org/officeDocument/2006/relationships/hyperlink" Target="#&#22577;&#21578;&#26360;!A2"/><Relationship Id="rId1" Type="http://schemas.openxmlformats.org/officeDocument/2006/relationships/hyperlink" Target="#&#20837;&#21147;!A2"/><Relationship Id="rId6" Type="http://schemas.openxmlformats.org/officeDocument/2006/relationships/hyperlink" Target="#&#35373;&#20633;&#27874;&#21450;!D6"/><Relationship Id="rId5" Type="http://schemas.openxmlformats.org/officeDocument/2006/relationships/hyperlink" Target="#&#24314;&#31689;&#27874;&#21450;!D6"/><Relationship Id="rId10" Type="http://schemas.openxmlformats.org/officeDocument/2006/relationships/hyperlink" Target="#&#22266;&#23450;&#36039;&#26412;!B6"/><Relationship Id="rId4" Type="http://schemas.openxmlformats.org/officeDocument/2006/relationships/hyperlink" Target="#&#36896;&#25104;&#27874;&#21450;!D6"/><Relationship Id="rId9" Type="http://schemas.openxmlformats.org/officeDocument/2006/relationships/hyperlink" Target="#&#20418;&#25968;!D6"/></Relationships>
</file>

<file path=xl/drawings/_rels/drawing10.xml.rels><?xml version="1.0" encoding="UTF-8" standalone="yes"?>
<Relationships xmlns="http://schemas.openxmlformats.org/package/2006/relationships"><Relationship Id="rId8" Type="http://schemas.openxmlformats.org/officeDocument/2006/relationships/hyperlink" Target="#&#35373;&#20633;&#27874;&#21450;!D6"/><Relationship Id="rId3" Type="http://schemas.openxmlformats.org/officeDocument/2006/relationships/hyperlink" Target="#&#20837;&#21147;!A2"/><Relationship Id="rId7" Type="http://schemas.openxmlformats.org/officeDocument/2006/relationships/hyperlink" Target="#&#24314;&#31689;&#27874;&#21450;!D6"/><Relationship Id="rId2" Type="http://schemas.openxmlformats.org/officeDocument/2006/relationships/hyperlink" Target="#&#25805;&#20316;&#35500;&#26126;!A2"/><Relationship Id="rId1" Type="http://schemas.openxmlformats.org/officeDocument/2006/relationships/hyperlink" Target="#&#22266;&#23450;&#36039;&#26412;!A6"/><Relationship Id="rId6" Type="http://schemas.openxmlformats.org/officeDocument/2006/relationships/hyperlink" Target="#&#36896;&#25104;&#27874;&#21450;!D6"/><Relationship Id="rId5" Type="http://schemas.openxmlformats.org/officeDocument/2006/relationships/hyperlink" Target="#flow!A2"/><Relationship Id="rId10" Type="http://schemas.openxmlformats.org/officeDocument/2006/relationships/hyperlink" Target="#DATA!A6"/><Relationship Id="rId4" Type="http://schemas.openxmlformats.org/officeDocument/2006/relationships/hyperlink" Target="#&#22577;&#21578;&#26360;!A2"/><Relationship Id="rId9" Type="http://schemas.openxmlformats.org/officeDocument/2006/relationships/hyperlink" Target="#&#29983;&#29987;&#27874;&#21450;!D6"/></Relationships>
</file>

<file path=xl/drawings/_rels/drawing11.xml.rels><?xml version="1.0" encoding="UTF-8" standalone="yes"?>
<Relationships xmlns="http://schemas.openxmlformats.org/package/2006/relationships"><Relationship Id="rId8" Type="http://schemas.openxmlformats.org/officeDocument/2006/relationships/hyperlink" Target="#&#29983;&#29987;&#27874;&#21450;!D6"/><Relationship Id="rId3" Type="http://schemas.openxmlformats.org/officeDocument/2006/relationships/hyperlink" Target="#&#22577;&#21578;&#26360;!A2"/><Relationship Id="rId7" Type="http://schemas.openxmlformats.org/officeDocument/2006/relationships/hyperlink" Target="#&#35373;&#20633;&#27874;&#21450;!D6"/><Relationship Id="rId2" Type="http://schemas.openxmlformats.org/officeDocument/2006/relationships/hyperlink" Target="#&#20837;&#21147;!A2"/><Relationship Id="rId1" Type="http://schemas.openxmlformats.org/officeDocument/2006/relationships/hyperlink" Target="#&#25805;&#20316;&#35500;&#26126;!A2"/><Relationship Id="rId6" Type="http://schemas.openxmlformats.org/officeDocument/2006/relationships/hyperlink" Target="#&#24314;&#31689;&#27874;&#21450;!D6"/><Relationship Id="rId5" Type="http://schemas.openxmlformats.org/officeDocument/2006/relationships/hyperlink" Target="#&#36896;&#25104;&#27874;&#21450;!D6"/><Relationship Id="rId10" Type="http://schemas.openxmlformats.org/officeDocument/2006/relationships/hyperlink" Target="#&#20418;&#25968;!D6"/><Relationship Id="rId4" Type="http://schemas.openxmlformats.org/officeDocument/2006/relationships/hyperlink" Target="#flow!A2"/><Relationship Id="rId9" Type="http://schemas.openxmlformats.org/officeDocument/2006/relationships/hyperlink" Target="#DATA!A6"/></Relationships>
</file>

<file path=xl/drawings/_rels/drawing2.xml.rels><?xml version="1.0" encoding="UTF-8" standalone="yes"?>
<Relationships xmlns="http://schemas.openxmlformats.org/package/2006/relationships"><Relationship Id="rId8" Type="http://schemas.openxmlformats.org/officeDocument/2006/relationships/hyperlink" Target="#DATA!A6"/><Relationship Id="rId3" Type="http://schemas.openxmlformats.org/officeDocument/2006/relationships/hyperlink" Target="#flow!A2"/><Relationship Id="rId7" Type="http://schemas.openxmlformats.org/officeDocument/2006/relationships/hyperlink" Target="#&#29983;&#29987;&#27874;&#21450;!D6"/><Relationship Id="rId2" Type="http://schemas.openxmlformats.org/officeDocument/2006/relationships/hyperlink" Target="#&#25805;&#20316;&#35500;&#26126;!A2"/><Relationship Id="rId1" Type="http://schemas.openxmlformats.org/officeDocument/2006/relationships/hyperlink" Target="#&#22577;&#21578;&#26360;!A2"/><Relationship Id="rId6" Type="http://schemas.openxmlformats.org/officeDocument/2006/relationships/hyperlink" Target="#&#35373;&#20633;&#27874;&#21450;!D6"/><Relationship Id="rId5" Type="http://schemas.openxmlformats.org/officeDocument/2006/relationships/hyperlink" Target="#&#24314;&#31689;&#27874;&#21450;!D6"/><Relationship Id="rId10" Type="http://schemas.openxmlformats.org/officeDocument/2006/relationships/hyperlink" Target="#&#22266;&#23450;&#36039;&#26412;!A6"/><Relationship Id="rId4" Type="http://schemas.openxmlformats.org/officeDocument/2006/relationships/hyperlink" Target="#&#36896;&#25104;&#27874;&#21450;!D6"/><Relationship Id="rId9" Type="http://schemas.openxmlformats.org/officeDocument/2006/relationships/hyperlink" Target="#&#20418;&#25968;!D6"/></Relationships>
</file>

<file path=xl/drawings/_rels/drawing3.xml.rels><?xml version="1.0" encoding="UTF-8" standalone="yes"?>
<Relationships xmlns="http://schemas.openxmlformats.org/package/2006/relationships"><Relationship Id="rId8" Type="http://schemas.openxmlformats.org/officeDocument/2006/relationships/hyperlink" Target="#&#35373;&#20633;&#27874;&#21450;!D6"/><Relationship Id="rId13" Type="http://schemas.openxmlformats.org/officeDocument/2006/relationships/hyperlink" Target="#&#25805;&#20316;&#35500;&#26126;!D102"/><Relationship Id="rId3" Type="http://schemas.openxmlformats.org/officeDocument/2006/relationships/hyperlink" Target="#flow!A2"/><Relationship Id="rId7" Type="http://schemas.openxmlformats.org/officeDocument/2006/relationships/hyperlink" Target="#&#24314;&#31689;&#27874;&#21450;!D6"/><Relationship Id="rId12" Type="http://schemas.openxmlformats.org/officeDocument/2006/relationships/hyperlink" Target="#&#22266;&#23450;&#36039;&#26412;!A6"/><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36896;&#25104;&#27874;&#21450;!D6"/><Relationship Id="rId11" Type="http://schemas.openxmlformats.org/officeDocument/2006/relationships/hyperlink" Target="#&#20418;&#25968;!D6"/><Relationship Id="rId5" Type="http://schemas.openxmlformats.org/officeDocument/2006/relationships/hyperlink" Target="#&#20837;&#21147;!A2"/><Relationship Id="rId10" Type="http://schemas.openxmlformats.org/officeDocument/2006/relationships/hyperlink" Target="#DATA!A6"/><Relationship Id="rId4" Type="http://schemas.openxmlformats.org/officeDocument/2006/relationships/hyperlink" Target="#&#25805;&#20316;&#35500;&#26126;!A2"/><Relationship Id="rId9" Type="http://schemas.openxmlformats.org/officeDocument/2006/relationships/hyperlink" Target="#&#29983;&#29987;&#27874;&#21450;!D6"/></Relationships>
</file>

<file path=xl/drawings/_rels/drawing4.xml.rels><?xml version="1.0" encoding="UTF-8" standalone="yes"?>
<Relationships xmlns="http://schemas.openxmlformats.org/package/2006/relationships"><Relationship Id="rId8" Type="http://schemas.openxmlformats.org/officeDocument/2006/relationships/hyperlink" Target="#DATA!A6"/><Relationship Id="rId3" Type="http://schemas.openxmlformats.org/officeDocument/2006/relationships/hyperlink" Target="#&#20837;&#21147;!A2"/><Relationship Id="rId7" Type="http://schemas.openxmlformats.org/officeDocument/2006/relationships/hyperlink" Target="#&#29983;&#29987;&#27874;&#21450;!D6"/><Relationship Id="rId2" Type="http://schemas.openxmlformats.org/officeDocument/2006/relationships/hyperlink" Target="#&#25805;&#20316;&#35500;&#26126;!A2"/><Relationship Id="rId1" Type="http://schemas.openxmlformats.org/officeDocument/2006/relationships/hyperlink" Target="#&#36896;&#25104;&#27874;&#21450;!D6"/><Relationship Id="rId6" Type="http://schemas.openxmlformats.org/officeDocument/2006/relationships/hyperlink" Target="#&#35373;&#20633;&#27874;&#21450;!D6"/><Relationship Id="rId5" Type="http://schemas.openxmlformats.org/officeDocument/2006/relationships/hyperlink" Target="#&#24314;&#31689;&#27874;&#21450;!D6"/><Relationship Id="rId10" Type="http://schemas.openxmlformats.org/officeDocument/2006/relationships/hyperlink" Target="#&#22266;&#23450;&#36039;&#26412;!A6"/><Relationship Id="rId4" Type="http://schemas.openxmlformats.org/officeDocument/2006/relationships/hyperlink" Target="#&#22577;&#21578;&#26360;!A2"/><Relationship Id="rId9" Type="http://schemas.openxmlformats.org/officeDocument/2006/relationships/hyperlink" Target="#&#20418;&#25968;!D6"/></Relationships>
</file>

<file path=xl/drawings/_rels/drawing5.xml.rels><?xml version="1.0" encoding="UTF-8" standalone="yes"?>
<Relationships xmlns="http://schemas.openxmlformats.org/package/2006/relationships"><Relationship Id="rId8" Type="http://schemas.openxmlformats.org/officeDocument/2006/relationships/hyperlink" Target="#DATA!A6"/><Relationship Id="rId3" Type="http://schemas.openxmlformats.org/officeDocument/2006/relationships/hyperlink" Target="#&#20837;&#21147;!A2"/><Relationship Id="rId7" Type="http://schemas.openxmlformats.org/officeDocument/2006/relationships/hyperlink" Target="#&#29983;&#29987;&#27874;&#21450;!D6"/><Relationship Id="rId2" Type="http://schemas.openxmlformats.org/officeDocument/2006/relationships/hyperlink" Target="#&#25805;&#20316;&#35500;&#26126;!A2"/><Relationship Id="rId1" Type="http://schemas.openxmlformats.org/officeDocument/2006/relationships/hyperlink" Target="#&#24314;&#31689;&#27874;&#21450;!D6"/><Relationship Id="rId6" Type="http://schemas.openxmlformats.org/officeDocument/2006/relationships/hyperlink" Target="#&#35373;&#20633;&#27874;&#21450;!D6"/><Relationship Id="rId5" Type="http://schemas.openxmlformats.org/officeDocument/2006/relationships/hyperlink" Target="#flow!A2"/><Relationship Id="rId10" Type="http://schemas.openxmlformats.org/officeDocument/2006/relationships/hyperlink" Target="#&#22266;&#23450;&#36039;&#26412;!A6"/><Relationship Id="rId4" Type="http://schemas.openxmlformats.org/officeDocument/2006/relationships/hyperlink" Target="#&#22577;&#21578;&#26360;!A2"/><Relationship Id="rId9" Type="http://schemas.openxmlformats.org/officeDocument/2006/relationships/hyperlink" Target="#&#20418;&#25968;!D6"/></Relationships>
</file>

<file path=xl/drawings/_rels/drawing6.xml.rels><?xml version="1.0" encoding="UTF-8" standalone="yes"?>
<Relationships xmlns="http://schemas.openxmlformats.org/package/2006/relationships"><Relationship Id="rId8" Type="http://schemas.openxmlformats.org/officeDocument/2006/relationships/hyperlink" Target="#DATA!A6"/><Relationship Id="rId3" Type="http://schemas.openxmlformats.org/officeDocument/2006/relationships/hyperlink" Target="#&#20837;&#21147;!A2"/><Relationship Id="rId7" Type="http://schemas.openxmlformats.org/officeDocument/2006/relationships/hyperlink" Target="#&#29983;&#29987;&#27874;&#21450;!D6"/><Relationship Id="rId2" Type="http://schemas.openxmlformats.org/officeDocument/2006/relationships/hyperlink" Target="#&#25805;&#20316;&#35500;&#26126;!A2"/><Relationship Id="rId1" Type="http://schemas.openxmlformats.org/officeDocument/2006/relationships/hyperlink" Target="#&#35373;&#20633;&#27874;&#21450;!D6"/><Relationship Id="rId6" Type="http://schemas.openxmlformats.org/officeDocument/2006/relationships/hyperlink" Target="#&#36896;&#25104;&#27874;&#21450;!D6"/><Relationship Id="rId5" Type="http://schemas.openxmlformats.org/officeDocument/2006/relationships/hyperlink" Target="#flow!A2"/><Relationship Id="rId10" Type="http://schemas.openxmlformats.org/officeDocument/2006/relationships/hyperlink" Target="#&#22266;&#23450;&#36039;&#26412;!A6"/><Relationship Id="rId4" Type="http://schemas.openxmlformats.org/officeDocument/2006/relationships/hyperlink" Target="#&#22577;&#21578;&#26360;!A2"/><Relationship Id="rId9" Type="http://schemas.openxmlformats.org/officeDocument/2006/relationships/hyperlink" Target="#&#20418;&#25968;!D6"/></Relationships>
</file>

<file path=xl/drawings/_rels/drawing7.xml.rels><?xml version="1.0" encoding="UTF-8" standalone="yes"?>
<Relationships xmlns="http://schemas.openxmlformats.org/package/2006/relationships"><Relationship Id="rId8" Type="http://schemas.openxmlformats.org/officeDocument/2006/relationships/hyperlink" Target="#DATA!A6"/><Relationship Id="rId3" Type="http://schemas.openxmlformats.org/officeDocument/2006/relationships/hyperlink" Target="#&#20837;&#21147;!A2"/><Relationship Id="rId7" Type="http://schemas.openxmlformats.org/officeDocument/2006/relationships/hyperlink" Target="#&#24314;&#31689;&#27874;&#21450;!D6"/><Relationship Id="rId2" Type="http://schemas.openxmlformats.org/officeDocument/2006/relationships/hyperlink" Target="#&#25805;&#20316;&#35500;&#26126;!A2"/><Relationship Id="rId1" Type="http://schemas.openxmlformats.org/officeDocument/2006/relationships/hyperlink" Target="#&#29983;&#29987;&#27874;&#21450;!D6"/><Relationship Id="rId6" Type="http://schemas.openxmlformats.org/officeDocument/2006/relationships/hyperlink" Target="#&#36896;&#25104;&#27874;&#21450;!D6"/><Relationship Id="rId5" Type="http://schemas.openxmlformats.org/officeDocument/2006/relationships/hyperlink" Target="#flow!A2"/><Relationship Id="rId10" Type="http://schemas.openxmlformats.org/officeDocument/2006/relationships/hyperlink" Target="#&#22266;&#23450;&#36039;&#26412;!A6"/><Relationship Id="rId4" Type="http://schemas.openxmlformats.org/officeDocument/2006/relationships/hyperlink" Target="#&#22577;&#21578;&#26360;!A2"/><Relationship Id="rId9" Type="http://schemas.openxmlformats.org/officeDocument/2006/relationships/hyperlink" Target="#&#20418;&#25968;!D6"/></Relationships>
</file>

<file path=xl/drawings/_rels/drawing8.xml.rels><?xml version="1.0" encoding="UTF-8" standalone="yes"?>
<Relationships xmlns="http://schemas.openxmlformats.org/package/2006/relationships"><Relationship Id="rId8" Type="http://schemas.openxmlformats.org/officeDocument/2006/relationships/hyperlink" Target="#&#35373;&#20633;&#27874;&#21450;!D6"/><Relationship Id="rId3" Type="http://schemas.openxmlformats.org/officeDocument/2006/relationships/hyperlink" Target="#&#20837;&#21147;!A2"/><Relationship Id="rId7" Type="http://schemas.openxmlformats.org/officeDocument/2006/relationships/hyperlink" Target="#&#24314;&#31689;&#27874;&#21450;!D6"/><Relationship Id="rId2" Type="http://schemas.openxmlformats.org/officeDocument/2006/relationships/hyperlink" Target="#&#25805;&#20316;&#35500;&#26126;!A2"/><Relationship Id="rId1" Type="http://schemas.openxmlformats.org/officeDocument/2006/relationships/hyperlink" Target="#DATA!D6"/><Relationship Id="rId6" Type="http://schemas.openxmlformats.org/officeDocument/2006/relationships/hyperlink" Target="#&#36896;&#25104;&#27874;&#21450;!D6"/><Relationship Id="rId11" Type="http://schemas.openxmlformats.org/officeDocument/2006/relationships/hyperlink" Target="#&#22266;&#23450;&#36039;&#26412;!A6"/><Relationship Id="rId5" Type="http://schemas.openxmlformats.org/officeDocument/2006/relationships/hyperlink" Target="#flow!A2"/><Relationship Id="rId10" Type="http://schemas.openxmlformats.org/officeDocument/2006/relationships/hyperlink" Target="#&#20418;&#25968;!D6"/><Relationship Id="rId4" Type="http://schemas.openxmlformats.org/officeDocument/2006/relationships/hyperlink" Target="#&#22577;&#21578;&#26360;!A2"/><Relationship Id="rId9" Type="http://schemas.openxmlformats.org/officeDocument/2006/relationships/hyperlink" Target="#DATA!A6"/></Relationships>
</file>

<file path=xl/drawings/_rels/drawing9.xml.rels><?xml version="1.0" encoding="UTF-8" standalone="yes"?>
<Relationships xmlns="http://schemas.openxmlformats.org/package/2006/relationships"><Relationship Id="rId8" Type="http://schemas.openxmlformats.org/officeDocument/2006/relationships/hyperlink" Target="#&#35373;&#20633;&#27874;&#21450;!D6"/><Relationship Id="rId3" Type="http://schemas.openxmlformats.org/officeDocument/2006/relationships/hyperlink" Target="#&#20837;&#21147;!A2"/><Relationship Id="rId7" Type="http://schemas.openxmlformats.org/officeDocument/2006/relationships/hyperlink" Target="#&#24314;&#31689;&#27874;&#21450;!D6"/><Relationship Id="rId2" Type="http://schemas.openxmlformats.org/officeDocument/2006/relationships/hyperlink" Target="#&#25805;&#20316;&#35500;&#26126;!A2"/><Relationship Id="rId1" Type="http://schemas.openxmlformats.org/officeDocument/2006/relationships/hyperlink" Target="#&#20418;&#25968;!D6"/><Relationship Id="rId6" Type="http://schemas.openxmlformats.org/officeDocument/2006/relationships/hyperlink" Target="#&#36896;&#25104;&#27874;&#21450;!D6"/><Relationship Id="rId5" Type="http://schemas.openxmlformats.org/officeDocument/2006/relationships/hyperlink" Target="#flow!A2"/><Relationship Id="rId10" Type="http://schemas.openxmlformats.org/officeDocument/2006/relationships/hyperlink" Target="#&#22266;&#23450;&#36039;&#26412;!A6"/><Relationship Id="rId4" Type="http://schemas.openxmlformats.org/officeDocument/2006/relationships/hyperlink" Target="#&#22577;&#21578;&#26360;!A2"/><Relationship Id="rId9" Type="http://schemas.openxmlformats.org/officeDocument/2006/relationships/hyperlink" Target="#&#29983;&#29987;&#27874;&#21450;!D6"/></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762000</xdr:colOff>
      <xdr:row>0</xdr:row>
      <xdr:rowOff>361950</xdr:rowOff>
    </xdr:to>
    <xdr:sp macro="" textlink="">
      <xdr:nvSpPr>
        <xdr:cNvPr id="2" name="ホームベース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0</xdr:colOff>
      <xdr:row>0</xdr:row>
      <xdr:rowOff>0</xdr:rowOff>
    </xdr:from>
    <xdr:to>
      <xdr:col>7</xdr:col>
      <xdr:colOff>411479</xdr:colOff>
      <xdr:row>0</xdr:row>
      <xdr:rowOff>360000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615440" y="0"/>
          <a:ext cx="876299" cy="360000"/>
        </a:xfrm>
        <a:prstGeom prst="rect">
          <a:avLst/>
        </a:prstGeom>
        <a:solidFill>
          <a:srgbClr val="002060"/>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操作説明</a:t>
          </a:r>
        </a:p>
      </xdr:txBody>
    </xdr:sp>
    <xdr:clientData/>
  </xdr:twoCellAnchor>
  <xdr:twoCellAnchor>
    <xdr:from>
      <xdr:col>7</xdr:col>
      <xdr:colOff>403860</xdr:colOff>
      <xdr:row>0</xdr:row>
      <xdr:rowOff>0</xdr:rowOff>
    </xdr:from>
    <xdr:to>
      <xdr:col>8</xdr:col>
      <xdr:colOff>228600</xdr:colOff>
      <xdr:row>0</xdr:row>
      <xdr:rowOff>360000</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2484120" y="0"/>
          <a:ext cx="6781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8</xdr:col>
      <xdr:colOff>228600</xdr:colOff>
      <xdr:row>0</xdr:row>
      <xdr:rowOff>0</xdr:rowOff>
    </xdr:from>
    <xdr:to>
      <xdr:col>9</xdr:col>
      <xdr:colOff>388619</xdr:colOff>
      <xdr:row>0</xdr:row>
      <xdr:rowOff>360000</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3162300" y="0"/>
          <a:ext cx="77723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9</xdr:col>
      <xdr:colOff>388620</xdr:colOff>
      <xdr:row>0</xdr:row>
      <xdr:rowOff>0</xdr:rowOff>
    </xdr:from>
    <xdr:to>
      <xdr:col>10</xdr:col>
      <xdr:colOff>502920</xdr:colOff>
      <xdr:row>0</xdr:row>
      <xdr:rowOff>360000</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3939540" y="0"/>
          <a:ext cx="7315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10</xdr:col>
      <xdr:colOff>487680</xdr:colOff>
      <xdr:row>0</xdr:row>
      <xdr:rowOff>0</xdr:rowOff>
    </xdr:from>
    <xdr:to>
      <xdr:col>12</xdr:col>
      <xdr:colOff>91439</xdr:colOff>
      <xdr:row>0</xdr:row>
      <xdr:rowOff>360000</xdr:rowOff>
    </xdr:to>
    <xdr:sp macro="" textlink="">
      <xdr:nvSpPr>
        <xdr:cNvPr id="7" name="正方形/長方形 6">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4655820" y="0"/>
          <a:ext cx="83819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12</xdr:col>
      <xdr:colOff>91440</xdr:colOff>
      <xdr:row>0</xdr:row>
      <xdr:rowOff>0</xdr:rowOff>
    </xdr:from>
    <xdr:to>
      <xdr:col>13</xdr:col>
      <xdr:colOff>304800</xdr:colOff>
      <xdr:row>0</xdr:row>
      <xdr:rowOff>360000</xdr:rowOff>
    </xdr:to>
    <xdr:sp macro="" textlink="">
      <xdr:nvSpPr>
        <xdr:cNvPr id="8" name="正方形/長方形 7">
          <a:hlinkClick xmlns:r="http://schemas.openxmlformats.org/officeDocument/2006/relationships" r:id="rId5"/>
          <a:extLst>
            <a:ext uri="{FF2B5EF4-FFF2-40B4-BE49-F238E27FC236}">
              <a16:creationId xmlns:a16="http://schemas.microsoft.com/office/drawing/2014/main" id="{00000000-0008-0000-0000-000008000000}"/>
            </a:ext>
          </a:extLst>
        </xdr:cNvPr>
        <xdr:cNvSpPr/>
      </xdr:nvSpPr>
      <xdr:spPr>
        <a:xfrm>
          <a:off x="5494020" y="0"/>
          <a:ext cx="8305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13</xdr:col>
      <xdr:colOff>312420</xdr:colOff>
      <xdr:row>0</xdr:row>
      <xdr:rowOff>0</xdr:rowOff>
    </xdr:from>
    <xdr:to>
      <xdr:col>14</xdr:col>
      <xdr:colOff>563879</xdr:colOff>
      <xdr:row>0</xdr:row>
      <xdr:rowOff>360000</xdr:rowOff>
    </xdr:to>
    <xdr:sp macro="" textlink="">
      <xdr:nvSpPr>
        <xdr:cNvPr id="9" name="正方形/長方形 8">
          <a:hlinkClick xmlns:r="http://schemas.openxmlformats.org/officeDocument/2006/relationships" r:id="rId6"/>
          <a:extLst>
            <a:ext uri="{FF2B5EF4-FFF2-40B4-BE49-F238E27FC236}">
              <a16:creationId xmlns:a16="http://schemas.microsoft.com/office/drawing/2014/main" id="{00000000-0008-0000-0000-000009000000}"/>
            </a:ext>
          </a:extLst>
        </xdr:cNvPr>
        <xdr:cNvSpPr/>
      </xdr:nvSpPr>
      <xdr:spPr>
        <a:xfrm>
          <a:off x="6332220" y="0"/>
          <a:ext cx="86867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14</xdr:col>
      <xdr:colOff>556260</xdr:colOff>
      <xdr:row>0</xdr:row>
      <xdr:rowOff>0</xdr:rowOff>
    </xdr:from>
    <xdr:to>
      <xdr:col>16</xdr:col>
      <xdr:colOff>175260</xdr:colOff>
      <xdr:row>0</xdr:row>
      <xdr:rowOff>360000</xdr:rowOff>
    </xdr:to>
    <xdr:sp macro="" textlink="">
      <xdr:nvSpPr>
        <xdr:cNvPr id="10" name="正方形/長方形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7193280" y="0"/>
          <a:ext cx="8534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16</xdr:col>
      <xdr:colOff>175260</xdr:colOff>
      <xdr:row>0</xdr:row>
      <xdr:rowOff>0</xdr:rowOff>
    </xdr:from>
    <xdr:to>
      <xdr:col>17</xdr:col>
      <xdr:colOff>243839</xdr:colOff>
      <xdr:row>0</xdr:row>
      <xdr:rowOff>360000</xdr:rowOff>
    </xdr:to>
    <xdr:sp macro="" textlink="">
      <xdr:nvSpPr>
        <xdr:cNvPr id="11" name="正方形/長方形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8046720" y="0"/>
          <a:ext cx="68579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17</xdr:col>
      <xdr:colOff>243840</xdr:colOff>
      <xdr:row>0</xdr:row>
      <xdr:rowOff>0</xdr:rowOff>
    </xdr:from>
    <xdr:to>
      <xdr:col>18</xdr:col>
      <xdr:colOff>304800</xdr:colOff>
      <xdr:row>0</xdr:row>
      <xdr:rowOff>360000</xdr:rowOff>
    </xdr:to>
    <xdr:sp macro="" textlink="">
      <xdr:nvSpPr>
        <xdr:cNvPr id="12" name="正方形/長方形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8732520" y="0"/>
          <a:ext cx="6781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18</xdr:col>
      <xdr:colOff>304800</xdr:colOff>
      <xdr:row>0</xdr:row>
      <xdr:rowOff>0</xdr:rowOff>
    </xdr:from>
    <xdr:to>
      <xdr:col>19</xdr:col>
      <xdr:colOff>541019</xdr:colOff>
      <xdr:row>0</xdr:row>
      <xdr:rowOff>360000</xdr:rowOff>
    </xdr:to>
    <xdr:sp macro="" textlink="">
      <xdr:nvSpPr>
        <xdr:cNvPr id="13" name="正方形/長方形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9410700" y="0"/>
          <a:ext cx="85343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609600</xdr:colOff>
      <xdr:row>0</xdr:row>
      <xdr:rowOff>361950</xdr:rowOff>
    </xdr:to>
    <xdr:sp macro="" textlink="">
      <xdr:nvSpPr>
        <xdr:cNvPr id="2" name="ホームベース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埼玉県係数</a:t>
          </a:r>
        </a:p>
      </xdr:txBody>
    </xdr:sp>
    <xdr:clientData/>
  </xdr:twoCellAnchor>
  <xdr:twoCellAnchor>
    <xdr:from>
      <xdr:col>2</xdr:col>
      <xdr:colOff>868681</xdr:colOff>
      <xdr:row>0</xdr:row>
      <xdr:rowOff>0</xdr:rowOff>
    </xdr:from>
    <xdr:to>
      <xdr:col>2</xdr:col>
      <xdr:colOff>1699260</xdr:colOff>
      <xdr:row>0</xdr:row>
      <xdr:rowOff>358140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900-000003000000}"/>
            </a:ext>
          </a:extLst>
        </xdr:cNvPr>
        <xdr:cNvSpPr/>
      </xdr:nvSpPr>
      <xdr:spPr>
        <a:xfrm>
          <a:off x="1600201" y="0"/>
          <a:ext cx="830579" cy="35814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1691641</xdr:colOff>
      <xdr:row>0</xdr:row>
      <xdr:rowOff>0</xdr:rowOff>
    </xdr:from>
    <xdr:to>
      <xdr:col>3</xdr:col>
      <xdr:colOff>579121</xdr:colOff>
      <xdr:row>0</xdr:row>
      <xdr:rowOff>360000</xdr:rowOff>
    </xdr:to>
    <xdr:sp macro="" textlink="">
      <xdr:nvSpPr>
        <xdr:cNvPr id="4" name="正方形/長方形 3">
          <a:hlinkClick xmlns:r="http://schemas.openxmlformats.org/officeDocument/2006/relationships" r:id="rId3"/>
          <a:extLst>
            <a:ext uri="{FF2B5EF4-FFF2-40B4-BE49-F238E27FC236}">
              <a16:creationId xmlns:a16="http://schemas.microsoft.com/office/drawing/2014/main" id="{00000000-0008-0000-0900-000004000000}"/>
            </a:ext>
          </a:extLst>
        </xdr:cNvPr>
        <xdr:cNvSpPr/>
      </xdr:nvSpPr>
      <xdr:spPr>
        <a:xfrm>
          <a:off x="2423161" y="0"/>
          <a:ext cx="7620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3</xdr:col>
      <xdr:colOff>579121</xdr:colOff>
      <xdr:row>0</xdr:row>
      <xdr:rowOff>0</xdr:rowOff>
    </xdr:from>
    <xdr:to>
      <xdr:col>4</xdr:col>
      <xdr:colOff>541021</xdr:colOff>
      <xdr:row>0</xdr:row>
      <xdr:rowOff>360000</xdr:rowOff>
    </xdr:to>
    <xdr:sp macro="" textlink="">
      <xdr:nvSpPr>
        <xdr:cNvPr id="5" name="正方形/長方形 4">
          <a:hlinkClick xmlns:r="http://schemas.openxmlformats.org/officeDocument/2006/relationships" r:id="rId4"/>
          <a:extLst>
            <a:ext uri="{FF2B5EF4-FFF2-40B4-BE49-F238E27FC236}">
              <a16:creationId xmlns:a16="http://schemas.microsoft.com/office/drawing/2014/main" id="{00000000-0008-0000-0900-000005000000}"/>
            </a:ext>
          </a:extLst>
        </xdr:cNvPr>
        <xdr:cNvSpPr/>
      </xdr:nvSpPr>
      <xdr:spPr>
        <a:xfrm>
          <a:off x="3185161" y="0"/>
          <a:ext cx="8305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4</xdr:col>
      <xdr:colOff>533401</xdr:colOff>
      <xdr:row>0</xdr:row>
      <xdr:rowOff>0</xdr:rowOff>
    </xdr:from>
    <xdr:to>
      <xdr:col>5</xdr:col>
      <xdr:colOff>365761</xdr:colOff>
      <xdr:row>0</xdr:row>
      <xdr:rowOff>360000</xdr:rowOff>
    </xdr:to>
    <xdr:sp macro="" textlink="">
      <xdr:nvSpPr>
        <xdr:cNvPr id="6" name="正方形/長方形 5">
          <a:hlinkClick xmlns:r="http://schemas.openxmlformats.org/officeDocument/2006/relationships" r:id="rId5"/>
          <a:extLst>
            <a:ext uri="{FF2B5EF4-FFF2-40B4-BE49-F238E27FC236}">
              <a16:creationId xmlns:a16="http://schemas.microsoft.com/office/drawing/2014/main" id="{00000000-0008-0000-0900-000006000000}"/>
            </a:ext>
          </a:extLst>
        </xdr:cNvPr>
        <xdr:cNvSpPr/>
      </xdr:nvSpPr>
      <xdr:spPr>
        <a:xfrm>
          <a:off x="4008121" y="0"/>
          <a:ext cx="7010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5</xdr:col>
      <xdr:colOff>358140</xdr:colOff>
      <xdr:row>0</xdr:row>
      <xdr:rowOff>0</xdr:rowOff>
    </xdr:from>
    <xdr:to>
      <xdr:col>6</xdr:col>
      <xdr:colOff>381000</xdr:colOff>
      <xdr:row>0</xdr:row>
      <xdr:rowOff>360000</xdr:rowOff>
    </xdr:to>
    <xdr:sp macro="" textlink="">
      <xdr:nvSpPr>
        <xdr:cNvPr id="7" name="正方形/長方形 6">
          <a:hlinkClick xmlns:r="http://schemas.openxmlformats.org/officeDocument/2006/relationships" r:id="rId6"/>
          <a:extLst>
            <a:ext uri="{FF2B5EF4-FFF2-40B4-BE49-F238E27FC236}">
              <a16:creationId xmlns:a16="http://schemas.microsoft.com/office/drawing/2014/main" id="{00000000-0008-0000-0900-000007000000}"/>
            </a:ext>
          </a:extLst>
        </xdr:cNvPr>
        <xdr:cNvSpPr/>
      </xdr:nvSpPr>
      <xdr:spPr>
        <a:xfrm>
          <a:off x="4701540" y="0"/>
          <a:ext cx="8915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6</xdr:col>
      <xdr:colOff>381000</xdr:colOff>
      <xdr:row>0</xdr:row>
      <xdr:rowOff>0</xdr:rowOff>
    </xdr:from>
    <xdr:to>
      <xdr:col>7</xdr:col>
      <xdr:colOff>365760</xdr:colOff>
      <xdr:row>0</xdr:row>
      <xdr:rowOff>360000</xdr:rowOff>
    </xdr:to>
    <xdr:sp macro="" textlink="">
      <xdr:nvSpPr>
        <xdr:cNvPr id="8" name="正方形/長方形 7">
          <a:hlinkClick xmlns:r="http://schemas.openxmlformats.org/officeDocument/2006/relationships" r:id="rId7"/>
          <a:extLst>
            <a:ext uri="{FF2B5EF4-FFF2-40B4-BE49-F238E27FC236}">
              <a16:creationId xmlns:a16="http://schemas.microsoft.com/office/drawing/2014/main" id="{00000000-0008-0000-0900-000008000000}"/>
            </a:ext>
          </a:extLst>
        </xdr:cNvPr>
        <xdr:cNvSpPr/>
      </xdr:nvSpPr>
      <xdr:spPr>
        <a:xfrm>
          <a:off x="5593080" y="0"/>
          <a:ext cx="8534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7</xdr:col>
      <xdr:colOff>365760</xdr:colOff>
      <xdr:row>0</xdr:row>
      <xdr:rowOff>0</xdr:rowOff>
    </xdr:from>
    <xdr:to>
      <xdr:col>8</xdr:col>
      <xdr:colOff>304800</xdr:colOff>
      <xdr:row>0</xdr:row>
      <xdr:rowOff>360000</xdr:rowOff>
    </xdr:to>
    <xdr:sp macro="" textlink="">
      <xdr:nvSpPr>
        <xdr:cNvPr id="9" name="正方形/長方形 8">
          <a:hlinkClick xmlns:r="http://schemas.openxmlformats.org/officeDocument/2006/relationships" r:id="rId8"/>
          <a:extLst>
            <a:ext uri="{FF2B5EF4-FFF2-40B4-BE49-F238E27FC236}">
              <a16:creationId xmlns:a16="http://schemas.microsoft.com/office/drawing/2014/main" id="{00000000-0008-0000-0900-000009000000}"/>
            </a:ext>
          </a:extLst>
        </xdr:cNvPr>
        <xdr:cNvSpPr/>
      </xdr:nvSpPr>
      <xdr:spPr>
        <a:xfrm>
          <a:off x="6446520" y="0"/>
          <a:ext cx="8077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8</xdr:col>
      <xdr:colOff>304800</xdr:colOff>
      <xdr:row>0</xdr:row>
      <xdr:rowOff>0</xdr:rowOff>
    </xdr:from>
    <xdr:to>
      <xdr:col>9</xdr:col>
      <xdr:colOff>274320</xdr:colOff>
      <xdr:row>0</xdr:row>
      <xdr:rowOff>360000</xdr:rowOff>
    </xdr:to>
    <xdr:sp macro="" textlink="">
      <xdr:nvSpPr>
        <xdr:cNvPr id="10" name="正方形/長方形 9">
          <a:hlinkClick xmlns:r="http://schemas.openxmlformats.org/officeDocument/2006/relationships" r:id="rId9"/>
          <a:extLst>
            <a:ext uri="{FF2B5EF4-FFF2-40B4-BE49-F238E27FC236}">
              <a16:creationId xmlns:a16="http://schemas.microsoft.com/office/drawing/2014/main" id="{00000000-0008-0000-0900-00000A000000}"/>
            </a:ext>
          </a:extLst>
        </xdr:cNvPr>
        <xdr:cNvSpPr/>
      </xdr:nvSpPr>
      <xdr:spPr>
        <a:xfrm>
          <a:off x="7254240" y="0"/>
          <a:ext cx="8382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9</xdr:col>
      <xdr:colOff>266700</xdr:colOff>
      <xdr:row>0</xdr:row>
      <xdr:rowOff>0</xdr:rowOff>
    </xdr:from>
    <xdr:to>
      <xdr:col>10</xdr:col>
      <xdr:colOff>160020</xdr:colOff>
      <xdr:row>0</xdr:row>
      <xdr:rowOff>360000</xdr:rowOff>
    </xdr:to>
    <xdr:sp macro="" textlink="">
      <xdr:nvSpPr>
        <xdr:cNvPr id="11" name="正方形/長方形 10">
          <a:hlinkClick xmlns:r="http://schemas.openxmlformats.org/officeDocument/2006/relationships" r:id="rId10"/>
          <a:extLst>
            <a:ext uri="{FF2B5EF4-FFF2-40B4-BE49-F238E27FC236}">
              <a16:creationId xmlns:a16="http://schemas.microsoft.com/office/drawing/2014/main" id="{00000000-0008-0000-0900-00000B000000}"/>
            </a:ext>
          </a:extLst>
        </xdr:cNvPr>
        <xdr:cNvSpPr/>
      </xdr:nvSpPr>
      <xdr:spPr>
        <a:xfrm>
          <a:off x="8084820" y="0"/>
          <a:ext cx="7620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167640</xdr:colOff>
      <xdr:row>0</xdr:row>
      <xdr:rowOff>0</xdr:rowOff>
    </xdr:from>
    <xdr:to>
      <xdr:col>11</xdr:col>
      <xdr:colOff>99060</xdr:colOff>
      <xdr:row>0</xdr:row>
      <xdr:rowOff>360000</xdr:rowOff>
    </xdr:to>
    <xdr:sp macro="" textlink="">
      <xdr:nvSpPr>
        <xdr:cNvPr id="12" name="正方形/長方形 11">
          <a:extLst>
            <a:ext uri="{FF2B5EF4-FFF2-40B4-BE49-F238E27FC236}">
              <a16:creationId xmlns:a16="http://schemas.microsoft.com/office/drawing/2014/main" id="{00000000-0008-0000-0900-00000C000000}"/>
            </a:ext>
          </a:extLst>
        </xdr:cNvPr>
        <xdr:cNvSpPr/>
      </xdr:nvSpPr>
      <xdr:spPr>
        <a:xfrm>
          <a:off x="8854440" y="0"/>
          <a:ext cx="800100" cy="360000"/>
        </a:xfrm>
        <a:prstGeom prst="rect">
          <a:avLst/>
        </a:prstGeom>
        <a:solidFill>
          <a:schemeClr val="tx1"/>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係数</a:t>
          </a:r>
        </a:p>
      </xdr:txBody>
    </xdr:sp>
    <xdr:clientData/>
  </xdr:twoCellAnchor>
  <xdr:twoCellAnchor>
    <xdr:from>
      <xdr:col>11</xdr:col>
      <xdr:colOff>99060</xdr:colOff>
      <xdr:row>0</xdr:row>
      <xdr:rowOff>0</xdr:rowOff>
    </xdr:from>
    <xdr:to>
      <xdr:col>12</xdr:col>
      <xdr:colOff>160020</xdr:colOff>
      <xdr:row>0</xdr:row>
      <xdr:rowOff>360000</xdr:rowOff>
    </xdr:to>
    <xdr:sp macro="" textlink="">
      <xdr:nvSpPr>
        <xdr:cNvPr id="13" name="正方形/長方形 12">
          <a:hlinkClick xmlns:r="http://schemas.openxmlformats.org/officeDocument/2006/relationships" r:id="rId1"/>
          <a:extLst>
            <a:ext uri="{FF2B5EF4-FFF2-40B4-BE49-F238E27FC236}">
              <a16:creationId xmlns:a16="http://schemas.microsoft.com/office/drawing/2014/main" id="{00000000-0008-0000-0900-00000D000000}"/>
            </a:ext>
          </a:extLst>
        </xdr:cNvPr>
        <xdr:cNvSpPr/>
      </xdr:nvSpPr>
      <xdr:spPr>
        <a:xfrm>
          <a:off x="9654540" y="0"/>
          <a:ext cx="9296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21167</xdr:colOff>
      <xdr:row>20</xdr:row>
      <xdr:rowOff>137583</xdr:rowOff>
    </xdr:from>
    <xdr:to>
      <xdr:col>4</xdr:col>
      <xdr:colOff>0</xdr:colOff>
      <xdr:row>22</xdr:row>
      <xdr:rowOff>14818</xdr:rowOff>
    </xdr:to>
    <xdr:sp macro="" textlink="">
      <xdr:nvSpPr>
        <xdr:cNvPr id="3" name="右矢印 2">
          <a:extLst>
            <a:ext uri="{FF2B5EF4-FFF2-40B4-BE49-F238E27FC236}">
              <a16:creationId xmlns:a16="http://schemas.microsoft.com/office/drawing/2014/main" id="{00000000-0008-0000-0A00-000003000000}"/>
            </a:ext>
          </a:extLst>
        </xdr:cNvPr>
        <xdr:cNvSpPr/>
      </xdr:nvSpPr>
      <xdr:spPr>
        <a:xfrm>
          <a:off x="1852084" y="4445000"/>
          <a:ext cx="328083" cy="215901"/>
        </a:xfrm>
        <a:prstGeom prst="rightArrow">
          <a:avLst/>
        </a:prstGeom>
        <a:solidFill>
          <a:srgbClr val="FFCC66"/>
        </a:solidFill>
        <a:ln w="19050" cmpd="sng">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b="0" cap="none" spc="0">
            <a:ln w="317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1</xdr:col>
      <xdr:colOff>0</xdr:colOff>
      <xdr:row>0</xdr:row>
      <xdr:rowOff>0</xdr:rowOff>
    </xdr:from>
    <xdr:to>
      <xdr:col>2</xdr:col>
      <xdr:colOff>495300</xdr:colOff>
      <xdr:row>0</xdr:row>
      <xdr:rowOff>361950</xdr:rowOff>
    </xdr:to>
    <xdr:sp macro="" textlink="">
      <xdr:nvSpPr>
        <xdr:cNvPr id="16" name="ホームベース 15">
          <a:hlinkClick xmlns:r="http://schemas.openxmlformats.org/officeDocument/2006/relationships" r:id="rId1"/>
          <a:extLst>
            <a:ext uri="{FF2B5EF4-FFF2-40B4-BE49-F238E27FC236}">
              <a16:creationId xmlns:a16="http://schemas.microsoft.com/office/drawing/2014/main" id="{00000000-0008-0000-0A00-000010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r>
            <a:rPr kumimoji="1" lang="en-US" altLang="ja-JP" sz="1100"/>
            <a:t>MATRIX</a:t>
          </a:r>
          <a:endParaRPr kumimoji="1" lang="ja-JP" altLang="en-US" sz="1100"/>
        </a:p>
      </xdr:txBody>
    </xdr:sp>
    <xdr:clientData/>
  </xdr:twoCellAnchor>
  <xdr:twoCellAnchor>
    <xdr:from>
      <xdr:col>3</xdr:col>
      <xdr:colOff>30481</xdr:colOff>
      <xdr:row>0</xdr:row>
      <xdr:rowOff>0</xdr:rowOff>
    </xdr:from>
    <xdr:to>
      <xdr:col>5</xdr:col>
      <xdr:colOff>457201</xdr:colOff>
      <xdr:row>0</xdr:row>
      <xdr:rowOff>360000</xdr:rowOff>
    </xdr:to>
    <xdr:sp macro="" textlink="">
      <xdr:nvSpPr>
        <xdr:cNvPr id="17" name="正方形/長方形 16">
          <a:hlinkClick xmlns:r="http://schemas.openxmlformats.org/officeDocument/2006/relationships" r:id="rId1"/>
          <a:extLst>
            <a:ext uri="{FF2B5EF4-FFF2-40B4-BE49-F238E27FC236}">
              <a16:creationId xmlns:a16="http://schemas.microsoft.com/office/drawing/2014/main" id="{00000000-0008-0000-0A00-000011000000}"/>
            </a:ext>
          </a:extLst>
        </xdr:cNvPr>
        <xdr:cNvSpPr/>
      </xdr:nvSpPr>
      <xdr:spPr>
        <a:xfrm>
          <a:off x="1668781" y="0"/>
          <a:ext cx="8610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457201</xdr:colOff>
      <xdr:row>0</xdr:row>
      <xdr:rowOff>0</xdr:rowOff>
    </xdr:from>
    <xdr:to>
      <xdr:col>7</xdr:col>
      <xdr:colOff>388621</xdr:colOff>
      <xdr:row>0</xdr:row>
      <xdr:rowOff>360000</xdr:rowOff>
    </xdr:to>
    <xdr:sp macro="" textlink="">
      <xdr:nvSpPr>
        <xdr:cNvPr id="18" name="正方形/長方形 17">
          <a:hlinkClick xmlns:r="http://schemas.openxmlformats.org/officeDocument/2006/relationships" r:id="rId2"/>
          <a:extLst>
            <a:ext uri="{FF2B5EF4-FFF2-40B4-BE49-F238E27FC236}">
              <a16:creationId xmlns:a16="http://schemas.microsoft.com/office/drawing/2014/main" id="{00000000-0008-0000-0A00-000012000000}"/>
            </a:ext>
          </a:extLst>
        </xdr:cNvPr>
        <xdr:cNvSpPr/>
      </xdr:nvSpPr>
      <xdr:spPr>
        <a:xfrm>
          <a:off x="2529841" y="0"/>
          <a:ext cx="7315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7</xdr:col>
      <xdr:colOff>388620</xdr:colOff>
      <xdr:row>0</xdr:row>
      <xdr:rowOff>0</xdr:rowOff>
    </xdr:from>
    <xdr:to>
      <xdr:col>8</xdr:col>
      <xdr:colOff>297180</xdr:colOff>
      <xdr:row>0</xdr:row>
      <xdr:rowOff>360000</xdr:rowOff>
    </xdr:to>
    <xdr:sp macro="" textlink="">
      <xdr:nvSpPr>
        <xdr:cNvPr id="19" name="正方形/長方形 18">
          <a:hlinkClick xmlns:r="http://schemas.openxmlformats.org/officeDocument/2006/relationships" r:id="rId3"/>
          <a:extLst>
            <a:ext uri="{FF2B5EF4-FFF2-40B4-BE49-F238E27FC236}">
              <a16:creationId xmlns:a16="http://schemas.microsoft.com/office/drawing/2014/main" id="{00000000-0008-0000-0A00-000013000000}"/>
            </a:ext>
          </a:extLst>
        </xdr:cNvPr>
        <xdr:cNvSpPr/>
      </xdr:nvSpPr>
      <xdr:spPr>
        <a:xfrm>
          <a:off x="3261360" y="0"/>
          <a:ext cx="7772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8</xdr:col>
      <xdr:colOff>289560</xdr:colOff>
      <xdr:row>0</xdr:row>
      <xdr:rowOff>0</xdr:rowOff>
    </xdr:from>
    <xdr:to>
      <xdr:col>10</xdr:col>
      <xdr:colOff>22860</xdr:colOff>
      <xdr:row>0</xdr:row>
      <xdr:rowOff>360000</xdr:rowOff>
    </xdr:to>
    <xdr:sp macro="" textlink="">
      <xdr:nvSpPr>
        <xdr:cNvPr id="20" name="正方形/長方形 19">
          <a:hlinkClick xmlns:r="http://schemas.openxmlformats.org/officeDocument/2006/relationships" r:id="rId4"/>
          <a:extLst>
            <a:ext uri="{FF2B5EF4-FFF2-40B4-BE49-F238E27FC236}">
              <a16:creationId xmlns:a16="http://schemas.microsoft.com/office/drawing/2014/main" id="{00000000-0008-0000-0A00-000014000000}"/>
            </a:ext>
          </a:extLst>
        </xdr:cNvPr>
        <xdr:cNvSpPr/>
      </xdr:nvSpPr>
      <xdr:spPr>
        <a:xfrm>
          <a:off x="4030980" y="0"/>
          <a:ext cx="7162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10</xdr:col>
      <xdr:colOff>15240</xdr:colOff>
      <xdr:row>0</xdr:row>
      <xdr:rowOff>0</xdr:rowOff>
    </xdr:from>
    <xdr:to>
      <xdr:col>11</xdr:col>
      <xdr:colOff>358140</xdr:colOff>
      <xdr:row>0</xdr:row>
      <xdr:rowOff>360000</xdr:rowOff>
    </xdr:to>
    <xdr:sp macro="" textlink="">
      <xdr:nvSpPr>
        <xdr:cNvPr id="21" name="正方形/長方形 20">
          <a:hlinkClick xmlns:r="http://schemas.openxmlformats.org/officeDocument/2006/relationships" r:id="rId5"/>
          <a:extLst>
            <a:ext uri="{FF2B5EF4-FFF2-40B4-BE49-F238E27FC236}">
              <a16:creationId xmlns:a16="http://schemas.microsoft.com/office/drawing/2014/main" id="{00000000-0008-0000-0A00-000015000000}"/>
            </a:ext>
          </a:extLst>
        </xdr:cNvPr>
        <xdr:cNvSpPr/>
      </xdr:nvSpPr>
      <xdr:spPr>
        <a:xfrm>
          <a:off x="4739640" y="0"/>
          <a:ext cx="8458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11</xdr:col>
      <xdr:colOff>358141</xdr:colOff>
      <xdr:row>0</xdr:row>
      <xdr:rowOff>0</xdr:rowOff>
    </xdr:from>
    <xdr:to>
      <xdr:col>11</xdr:col>
      <xdr:colOff>1211581</xdr:colOff>
      <xdr:row>0</xdr:row>
      <xdr:rowOff>360000</xdr:rowOff>
    </xdr:to>
    <xdr:sp macro="" textlink="">
      <xdr:nvSpPr>
        <xdr:cNvPr id="22" name="正方形/長方形 21">
          <a:hlinkClick xmlns:r="http://schemas.openxmlformats.org/officeDocument/2006/relationships" r:id="rId6"/>
          <a:extLst>
            <a:ext uri="{FF2B5EF4-FFF2-40B4-BE49-F238E27FC236}">
              <a16:creationId xmlns:a16="http://schemas.microsoft.com/office/drawing/2014/main" id="{00000000-0008-0000-0A00-000016000000}"/>
            </a:ext>
          </a:extLst>
        </xdr:cNvPr>
        <xdr:cNvSpPr/>
      </xdr:nvSpPr>
      <xdr:spPr>
        <a:xfrm>
          <a:off x="5585461" y="0"/>
          <a:ext cx="8534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11</xdr:col>
      <xdr:colOff>1211580</xdr:colOff>
      <xdr:row>0</xdr:row>
      <xdr:rowOff>0</xdr:rowOff>
    </xdr:from>
    <xdr:to>
      <xdr:col>12</xdr:col>
      <xdr:colOff>304800</xdr:colOff>
      <xdr:row>0</xdr:row>
      <xdr:rowOff>360000</xdr:rowOff>
    </xdr:to>
    <xdr:sp macro="" textlink="">
      <xdr:nvSpPr>
        <xdr:cNvPr id="23" name="正方形/長方形 22">
          <a:hlinkClick xmlns:r="http://schemas.openxmlformats.org/officeDocument/2006/relationships" r:id="rId7"/>
          <a:extLst>
            <a:ext uri="{FF2B5EF4-FFF2-40B4-BE49-F238E27FC236}">
              <a16:creationId xmlns:a16="http://schemas.microsoft.com/office/drawing/2014/main" id="{00000000-0008-0000-0A00-000017000000}"/>
            </a:ext>
          </a:extLst>
        </xdr:cNvPr>
        <xdr:cNvSpPr/>
      </xdr:nvSpPr>
      <xdr:spPr>
        <a:xfrm>
          <a:off x="6438900" y="0"/>
          <a:ext cx="8382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12</xdr:col>
      <xdr:colOff>304800</xdr:colOff>
      <xdr:row>0</xdr:row>
      <xdr:rowOff>0</xdr:rowOff>
    </xdr:from>
    <xdr:to>
      <xdr:col>13</xdr:col>
      <xdr:colOff>251459</xdr:colOff>
      <xdr:row>0</xdr:row>
      <xdr:rowOff>360000</xdr:rowOff>
    </xdr:to>
    <xdr:sp macro="" textlink="">
      <xdr:nvSpPr>
        <xdr:cNvPr id="24" name="正方形/長方形 23">
          <a:hlinkClick xmlns:r="http://schemas.openxmlformats.org/officeDocument/2006/relationships" r:id="rId8"/>
          <a:extLst>
            <a:ext uri="{FF2B5EF4-FFF2-40B4-BE49-F238E27FC236}">
              <a16:creationId xmlns:a16="http://schemas.microsoft.com/office/drawing/2014/main" id="{00000000-0008-0000-0A00-000018000000}"/>
            </a:ext>
          </a:extLst>
        </xdr:cNvPr>
        <xdr:cNvSpPr/>
      </xdr:nvSpPr>
      <xdr:spPr>
        <a:xfrm>
          <a:off x="7277100" y="0"/>
          <a:ext cx="81533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13</xdr:col>
      <xdr:colOff>243840</xdr:colOff>
      <xdr:row>0</xdr:row>
      <xdr:rowOff>0</xdr:rowOff>
    </xdr:from>
    <xdr:to>
      <xdr:col>14</xdr:col>
      <xdr:colOff>167640</xdr:colOff>
      <xdr:row>0</xdr:row>
      <xdr:rowOff>360000</xdr:rowOff>
    </xdr:to>
    <xdr:sp macro="" textlink="">
      <xdr:nvSpPr>
        <xdr:cNvPr id="25" name="正方形/長方形 24">
          <a:hlinkClick xmlns:r="http://schemas.openxmlformats.org/officeDocument/2006/relationships" r:id="rId9"/>
          <a:extLst>
            <a:ext uri="{FF2B5EF4-FFF2-40B4-BE49-F238E27FC236}">
              <a16:creationId xmlns:a16="http://schemas.microsoft.com/office/drawing/2014/main" id="{00000000-0008-0000-0A00-000019000000}"/>
            </a:ext>
          </a:extLst>
        </xdr:cNvPr>
        <xdr:cNvSpPr/>
      </xdr:nvSpPr>
      <xdr:spPr>
        <a:xfrm>
          <a:off x="8084820" y="0"/>
          <a:ext cx="7924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14</xdr:col>
      <xdr:colOff>160020</xdr:colOff>
      <xdr:row>0</xdr:row>
      <xdr:rowOff>0</xdr:rowOff>
    </xdr:from>
    <xdr:to>
      <xdr:col>15</xdr:col>
      <xdr:colOff>91440</xdr:colOff>
      <xdr:row>0</xdr:row>
      <xdr:rowOff>360000</xdr:rowOff>
    </xdr:to>
    <xdr:sp macro="" textlink="">
      <xdr:nvSpPr>
        <xdr:cNvPr id="26" name="正方形/長方形 25">
          <a:hlinkClick xmlns:r="http://schemas.openxmlformats.org/officeDocument/2006/relationships" r:id="rId10"/>
          <a:extLst>
            <a:ext uri="{FF2B5EF4-FFF2-40B4-BE49-F238E27FC236}">
              <a16:creationId xmlns:a16="http://schemas.microsoft.com/office/drawing/2014/main" id="{00000000-0008-0000-0A00-00001A000000}"/>
            </a:ext>
          </a:extLst>
        </xdr:cNvPr>
        <xdr:cNvSpPr/>
      </xdr:nvSpPr>
      <xdr:spPr>
        <a:xfrm>
          <a:off x="8869680" y="0"/>
          <a:ext cx="8001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15</xdr:col>
      <xdr:colOff>91440</xdr:colOff>
      <xdr:row>0</xdr:row>
      <xdr:rowOff>0</xdr:rowOff>
    </xdr:from>
    <xdr:to>
      <xdr:col>16</xdr:col>
      <xdr:colOff>175260</xdr:colOff>
      <xdr:row>0</xdr:row>
      <xdr:rowOff>360000</xdr:rowOff>
    </xdr:to>
    <xdr:sp macro="" textlink="">
      <xdr:nvSpPr>
        <xdr:cNvPr id="27" name="正方形/長方形 26">
          <a:extLst>
            <a:ext uri="{FF2B5EF4-FFF2-40B4-BE49-F238E27FC236}">
              <a16:creationId xmlns:a16="http://schemas.microsoft.com/office/drawing/2014/main" id="{00000000-0008-0000-0A00-00001B000000}"/>
            </a:ext>
          </a:extLst>
        </xdr:cNvPr>
        <xdr:cNvSpPr/>
      </xdr:nvSpPr>
      <xdr:spPr>
        <a:xfrm>
          <a:off x="9669780" y="0"/>
          <a:ext cx="952500" cy="360000"/>
        </a:xfrm>
        <a:prstGeom prst="rect">
          <a:avLst/>
        </a:prstGeom>
        <a:solidFill>
          <a:schemeClr val="accent6">
            <a:lumMod val="50000"/>
          </a:schemeClr>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固定資本</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57150</xdr:colOff>
          <xdr:row>4</xdr:row>
          <xdr:rowOff>12700</xdr:rowOff>
        </xdr:from>
        <xdr:to>
          <xdr:col>6</xdr:col>
          <xdr:colOff>298450</xdr:colOff>
          <xdr:row>5</xdr:row>
          <xdr:rowOff>50800</xdr:rowOff>
        </xdr:to>
        <xdr:sp macro="" textlink="">
          <xdr:nvSpPr>
            <xdr:cNvPr id="5121" name="Option Button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0</xdr:rowOff>
        </xdr:from>
        <xdr:to>
          <xdr:col>6</xdr:col>
          <xdr:colOff>298450</xdr:colOff>
          <xdr:row>6</xdr:row>
          <xdr:rowOff>38100</xdr:rowOff>
        </xdr:to>
        <xdr:sp macro="" textlink="">
          <xdr:nvSpPr>
            <xdr:cNvPr id="5129" name="Option Button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xdr:row>
          <xdr:rowOff>0</xdr:rowOff>
        </xdr:from>
        <xdr:to>
          <xdr:col>6</xdr:col>
          <xdr:colOff>298450</xdr:colOff>
          <xdr:row>7</xdr:row>
          <xdr:rowOff>12700</xdr:rowOff>
        </xdr:to>
        <xdr:sp macro="" textlink="">
          <xdr:nvSpPr>
            <xdr:cNvPr id="5130" name="Option Button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7</xdr:row>
          <xdr:rowOff>0</xdr:rowOff>
        </xdr:from>
        <xdr:to>
          <xdr:col>6</xdr:col>
          <xdr:colOff>298450</xdr:colOff>
          <xdr:row>8</xdr:row>
          <xdr:rowOff>38100</xdr:rowOff>
        </xdr:to>
        <xdr:sp macro="" textlink="">
          <xdr:nvSpPr>
            <xdr:cNvPr id="5131" name="Option Button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8</xdr:row>
          <xdr:rowOff>0</xdr:rowOff>
        </xdr:from>
        <xdr:to>
          <xdr:col>6</xdr:col>
          <xdr:colOff>298450</xdr:colOff>
          <xdr:row>9</xdr:row>
          <xdr:rowOff>38100</xdr:rowOff>
        </xdr:to>
        <xdr:sp macro="" textlink="">
          <xdr:nvSpPr>
            <xdr:cNvPr id="5132" name="Option Button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9</xdr:row>
          <xdr:rowOff>0</xdr:rowOff>
        </xdr:from>
        <xdr:to>
          <xdr:col>6</xdr:col>
          <xdr:colOff>298450</xdr:colOff>
          <xdr:row>10</xdr:row>
          <xdr:rowOff>12700</xdr:rowOff>
        </xdr:to>
        <xdr:sp macro="" textlink="">
          <xdr:nvSpPr>
            <xdr:cNvPr id="5133" name="Option Button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10</xdr:row>
          <xdr:rowOff>0</xdr:rowOff>
        </xdr:from>
        <xdr:to>
          <xdr:col>6</xdr:col>
          <xdr:colOff>298450</xdr:colOff>
          <xdr:row>11</xdr:row>
          <xdr:rowOff>38100</xdr:rowOff>
        </xdr:to>
        <xdr:sp macro="" textlink="">
          <xdr:nvSpPr>
            <xdr:cNvPr id="5134" name="Option Button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11</xdr:row>
          <xdr:rowOff>0</xdr:rowOff>
        </xdr:from>
        <xdr:to>
          <xdr:col>6</xdr:col>
          <xdr:colOff>298450</xdr:colOff>
          <xdr:row>12</xdr:row>
          <xdr:rowOff>38100</xdr:rowOff>
        </xdr:to>
        <xdr:sp macro="" textlink="">
          <xdr:nvSpPr>
            <xdr:cNvPr id="5135" name="Option Button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12</xdr:row>
          <xdr:rowOff>0</xdr:rowOff>
        </xdr:from>
        <xdr:to>
          <xdr:col>6</xdr:col>
          <xdr:colOff>298450</xdr:colOff>
          <xdr:row>13</xdr:row>
          <xdr:rowOff>38100</xdr:rowOff>
        </xdr:to>
        <xdr:sp macro="" textlink="">
          <xdr:nvSpPr>
            <xdr:cNvPr id="5136" name="Option Button 16"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13</xdr:row>
          <xdr:rowOff>0</xdr:rowOff>
        </xdr:from>
        <xdr:to>
          <xdr:col>6</xdr:col>
          <xdr:colOff>298450</xdr:colOff>
          <xdr:row>14</xdr:row>
          <xdr:rowOff>38100</xdr:rowOff>
        </xdr:to>
        <xdr:sp macro="" textlink="">
          <xdr:nvSpPr>
            <xdr:cNvPr id="5137" name="Option Button 17" hidden="1">
              <a:extLst>
                <a:ext uri="{63B3BB69-23CF-44E3-9099-C40C66FF867C}">
                  <a14:compatExt spid="_x0000_s5137"/>
                </a:ext>
                <a:ext uri="{FF2B5EF4-FFF2-40B4-BE49-F238E27FC236}">
                  <a16:creationId xmlns:a16="http://schemas.microsoft.com/office/drawing/2014/main" id="{00000000-0008-0000-01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14</xdr:row>
          <xdr:rowOff>0</xdr:rowOff>
        </xdr:from>
        <xdr:to>
          <xdr:col>6</xdr:col>
          <xdr:colOff>298450</xdr:colOff>
          <xdr:row>15</xdr:row>
          <xdr:rowOff>38100</xdr:rowOff>
        </xdr:to>
        <xdr:sp macro="" textlink="">
          <xdr:nvSpPr>
            <xdr:cNvPr id="5138" name="Option Button 18"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15</xdr:row>
          <xdr:rowOff>0</xdr:rowOff>
        </xdr:from>
        <xdr:to>
          <xdr:col>6</xdr:col>
          <xdr:colOff>298450</xdr:colOff>
          <xdr:row>16</xdr:row>
          <xdr:rowOff>38100</xdr:rowOff>
        </xdr:to>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1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16</xdr:row>
          <xdr:rowOff>0</xdr:rowOff>
        </xdr:from>
        <xdr:to>
          <xdr:col>6</xdr:col>
          <xdr:colOff>298450</xdr:colOff>
          <xdr:row>17</xdr:row>
          <xdr:rowOff>38100</xdr:rowOff>
        </xdr:to>
        <xdr:sp macro="" textlink="">
          <xdr:nvSpPr>
            <xdr:cNvPr id="5140" name="Option Button 20" hidden="1">
              <a:extLst>
                <a:ext uri="{63B3BB69-23CF-44E3-9099-C40C66FF867C}">
                  <a14:compatExt spid="_x0000_s5140"/>
                </a:ext>
                <a:ext uri="{FF2B5EF4-FFF2-40B4-BE49-F238E27FC236}">
                  <a16:creationId xmlns:a16="http://schemas.microsoft.com/office/drawing/2014/main" id="{00000000-0008-0000-01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17</xdr:row>
          <xdr:rowOff>0</xdr:rowOff>
        </xdr:from>
        <xdr:to>
          <xdr:col>6</xdr:col>
          <xdr:colOff>298450</xdr:colOff>
          <xdr:row>18</xdr:row>
          <xdr:rowOff>38100</xdr:rowOff>
        </xdr:to>
        <xdr:sp macro="" textlink="">
          <xdr:nvSpPr>
            <xdr:cNvPr id="5141" name="Option Button 21"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18</xdr:row>
          <xdr:rowOff>0</xdr:rowOff>
        </xdr:from>
        <xdr:to>
          <xdr:col>6</xdr:col>
          <xdr:colOff>298450</xdr:colOff>
          <xdr:row>19</xdr:row>
          <xdr:rowOff>38100</xdr:rowOff>
        </xdr:to>
        <xdr:sp macro="" textlink="">
          <xdr:nvSpPr>
            <xdr:cNvPr id="5142" name="Option Button 22" hidden="1">
              <a:extLst>
                <a:ext uri="{63B3BB69-23CF-44E3-9099-C40C66FF867C}">
                  <a14:compatExt spid="_x0000_s5142"/>
                </a:ext>
                <a:ext uri="{FF2B5EF4-FFF2-40B4-BE49-F238E27FC236}">
                  <a16:creationId xmlns:a16="http://schemas.microsoft.com/office/drawing/2014/main" id="{00000000-0008-0000-01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19</xdr:row>
          <xdr:rowOff>0</xdr:rowOff>
        </xdr:from>
        <xdr:to>
          <xdr:col>6</xdr:col>
          <xdr:colOff>298450</xdr:colOff>
          <xdr:row>20</xdr:row>
          <xdr:rowOff>38100</xdr:rowOff>
        </xdr:to>
        <xdr:sp macro="" textlink="">
          <xdr:nvSpPr>
            <xdr:cNvPr id="5143" name="Option Button 23" hidden="1">
              <a:extLst>
                <a:ext uri="{63B3BB69-23CF-44E3-9099-C40C66FF867C}">
                  <a14:compatExt spid="_x0000_s5143"/>
                </a:ext>
                <a:ext uri="{FF2B5EF4-FFF2-40B4-BE49-F238E27FC236}">
                  <a16:creationId xmlns:a16="http://schemas.microsoft.com/office/drawing/2014/main" id="{00000000-0008-0000-01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355600</xdr:colOff>
          <xdr:row>3</xdr:row>
          <xdr:rowOff>57150</xdr:rowOff>
        </xdr:from>
        <xdr:to>
          <xdr:col>8</xdr:col>
          <xdr:colOff>0</xdr:colOff>
          <xdr:row>24</xdr:row>
          <xdr:rowOff>76200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1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ja-JP" altLang="en-US" sz="900" b="0" i="0" u="none" strike="noStrike" baseline="0">
                  <a:solidFill>
                    <a:srgbClr val="000000"/>
                  </a:solidFill>
                  <a:latin typeface="MS UI Gothic"/>
                  <a:ea typeface="MS UI Gothic"/>
                </a:rPr>
                <a:t>グループ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7</xdr:row>
          <xdr:rowOff>12700</xdr:rowOff>
        </xdr:from>
        <xdr:to>
          <xdr:col>10</xdr:col>
          <xdr:colOff>298450</xdr:colOff>
          <xdr:row>8</xdr:row>
          <xdr:rowOff>50800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1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69850</xdr:colOff>
          <xdr:row>8</xdr:row>
          <xdr:rowOff>12700</xdr:rowOff>
        </xdr:from>
        <xdr:to>
          <xdr:col>10</xdr:col>
          <xdr:colOff>298450</xdr:colOff>
          <xdr:row>9</xdr:row>
          <xdr:rowOff>50800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1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10</xdr:row>
          <xdr:rowOff>12700</xdr:rowOff>
        </xdr:from>
        <xdr:to>
          <xdr:col>10</xdr:col>
          <xdr:colOff>323850</xdr:colOff>
          <xdr:row>11</xdr:row>
          <xdr:rowOff>31750</xdr:rowOff>
        </xdr:to>
        <xdr:sp macro="" textlink="">
          <xdr:nvSpPr>
            <xdr:cNvPr id="5148" name="Option Button 28" hidden="1">
              <a:extLst>
                <a:ext uri="{63B3BB69-23CF-44E3-9099-C40C66FF867C}">
                  <a14:compatExt spid="_x0000_s5148"/>
                </a:ext>
                <a:ext uri="{FF2B5EF4-FFF2-40B4-BE49-F238E27FC236}">
                  <a16:creationId xmlns:a16="http://schemas.microsoft.com/office/drawing/2014/main" id="{00000000-0008-0000-01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9</xdr:row>
          <xdr:rowOff>76200</xdr:rowOff>
        </xdr:from>
        <xdr:to>
          <xdr:col>11</xdr:col>
          <xdr:colOff>895350</xdr:colOff>
          <xdr:row>21</xdr:row>
          <xdr:rowOff>12700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1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ja-JP" altLang="en-US" sz="900" b="0" i="0" u="none" strike="noStrike" baseline="0">
                  <a:solidFill>
                    <a:srgbClr val="000000"/>
                  </a:solidFill>
                  <a:latin typeface="MS UI Gothic"/>
                  <a:ea typeface="MS UI Gothic"/>
                </a:rPr>
                <a:t>グループ 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10</xdr:row>
          <xdr:rowOff>12700</xdr:rowOff>
        </xdr:from>
        <xdr:to>
          <xdr:col>12</xdr:col>
          <xdr:colOff>298450</xdr:colOff>
          <xdr:row>11</xdr:row>
          <xdr:rowOff>50800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1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16</xdr:row>
          <xdr:rowOff>12700</xdr:rowOff>
        </xdr:from>
        <xdr:to>
          <xdr:col>10</xdr:col>
          <xdr:colOff>323850</xdr:colOff>
          <xdr:row>17</xdr:row>
          <xdr:rowOff>31750</xdr:rowOff>
        </xdr:to>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1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16</xdr:row>
          <xdr:rowOff>0</xdr:rowOff>
        </xdr:from>
        <xdr:to>
          <xdr:col>12</xdr:col>
          <xdr:colOff>317500</xdr:colOff>
          <xdr:row>17</xdr:row>
          <xdr:rowOff>31750</xdr:rowOff>
        </xdr:to>
        <xdr:sp macro="" textlink="">
          <xdr:nvSpPr>
            <xdr:cNvPr id="5155" name="Option Button 35" hidden="1">
              <a:extLst>
                <a:ext uri="{63B3BB69-23CF-44E3-9099-C40C66FF867C}">
                  <a14:compatExt spid="_x0000_s5155"/>
                </a:ext>
                <a:ext uri="{FF2B5EF4-FFF2-40B4-BE49-F238E27FC236}">
                  <a16:creationId xmlns:a16="http://schemas.microsoft.com/office/drawing/2014/main" id="{00000000-0008-0000-01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17</xdr:row>
          <xdr:rowOff>0</xdr:rowOff>
        </xdr:from>
        <xdr:to>
          <xdr:col>12</xdr:col>
          <xdr:colOff>317500</xdr:colOff>
          <xdr:row>18</xdr:row>
          <xdr:rowOff>31750</xdr:rowOff>
        </xdr:to>
        <xdr:sp macro="" textlink="">
          <xdr:nvSpPr>
            <xdr:cNvPr id="5156" name="Option Button 36" hidden="1">
              <a:extLst>
                <a:ext uri="{63B3BB69-23CF-44E3-9099-C40C66FF867C}">
                  <a14:compatExt spid="_x0000_s5156"/>
                </a:ext>
                <a:ext uri="{FF2B5EF4-FFF2-40B4-BE49-F238E27FC236}">
                  <a16:creationId xmlns:a16="http://schemas.microsoft.com/office/drawing/2014/main" id="{00000000-0008-0000-01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18</xdr:row>
          <xdr:rowOff>0</xdr:rowOff>
        </xdr:from>
        <xdr:to>
          <xdr:col>12</xdr:col>
          <xdr:colOff>317500</xdr:colOff>
          <xdr:row>19</xdr:row>
          <xdr:rowOff>31750</xdr:rowOff>
        </xdr:to>
        <xdr:sp macro="" textlink="">
          <xdr:nvSpPr>
            <xdr:cNvPr id="5157" name="Option Button 37" hidden="1">
              <a:extLst>
                <a:ext uri="{63B3BB69-23CF-44E3-9099-C40C66FF867C}">
                  <a14:compatExt spid="_x0000_s5157"/>
                </a:ext>
                <a:ext uri="{FF2B5EF4-FFF2-40B4-BE49-F238E27FC236}">
                  <a16:creationId xmlns:a16="http://schemas.microsoft.com/office/drawing/2014/main" id="{00000000-0008-0000-01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19</xdr:row>
          <xdr:rowOff>0</xdr:rowOff>
        </xdr:from>
        <xdr:to>
          <xdr:col>12</xdr:col>
          <xdr:colOff>317500</xdr:colOff>
          <xdr:row>20</xdr:row>
          <xdr:rowOff>31750</xdr:rowOff>
        </xdr:to>
        <xdr:sp macro="" textlink="">
          <xdr:nvSpPr>
            <xdr:cNvPr id="5158" name="Option Button 38" hidden="1">
              <a:extLst>
                <a:ext uri="{63B3BB69-23CF-44E3-9099-C40C66FF867C}">
                  <a14:compatExt spid="_x0000_s5158"/>
                </a:ext>
                <a:ext uri="{FF2B5EF4-FFF2-40B4-BE49-F238E27FC236}">
                  <a16:creationId xmlns:a16="http://schemas.microsoft.com/office/drawing/2014/main" id="{00000000-0008-0000-01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1041400</xdr:colOff>
          <xdr:row>15</xdr:row>
          <xdr:rowOff>107950</xdr:rowOff>
        </xdr:from>
        <xdr:to>
          <xdr:col>14</xdr:col>
          <xdr:colOff>209550</xdr:colOff>
          <xdr:row>23</xdr:row>
          <xdr:rowOff>76200</xdr:rowOff>
        </xdr:to>
        <xdr:sp macro="" textlink="">
          <xdr:nvSpPr>
            <xdr:cNvPr id="5159" name="Group Box 39" hidden="1">
              <a:extLst>
                <a:ext uri="{63B3BB69-23CF-44E3-9099-C40C66FF867C}">
                  <a14:compatExt spid="_x0000_s5159"/>
                </a:ext>
                <a:ext uri="{FF2B5EF4-FFF2-40B4-BE49-F238E27FC236}">
                  <a16:creationId xmlns:a16="http://schemas.microsoft.com/office/drawing/2014/main" id="{00000000-0008-0000-0100-00002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ja-JP" altLang="en-US" sz="900" b="0" i="0" u="none" strike="noStrike" baseline="0">
                  <a:solidFill>
                    <a:srgbClr val="000000"/>
                  </a:solidFill>
                  <a:latin typeface="MS UI Gothic"/>
                  <a:ea typeface="MS UI Gothic"/>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20</xdr:row>
          <xdr:rowOff>0</xdr:rowOff>
        </xdr:from>
        <xdr:to>
          <xdr:col>12</xdr:col>
          <xdr:colOff>317500</xdr:colOff>
          <xdr:row>21</xdr:row>
          <xdr:rowOff>19050</xdr:rowOff>
        </xdr:to>
        <xdr:sp macro="" textlink="">
          <xdr:nvSpPr>
            <xdr:cNvPr id="5160" name="Option Button 40" hidden="1">
              <a:extLst>
                <a:ext uri="{63B3BB69-23CF-44E3-9099-C40C66FF867C}">
                  <a14:compatExt spid="_x0000_s5160"/>
                </a:ext>
                <a:ext uri="{FF2B5EF4-FFF2-40B4-BE49-F238E27FC236}">
                  <a16:creationId xmlns:a16="http://schemas.microsoft.com/office/drawing/2014/main" id="{00000000-0008-0000-01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21</xdr:row>
          <xdr:rowOff>0</xdr:rowOff>
        </xdr:from>
        <xdr:to>
          <xdr:col>12</xdr:col>
          <xdr:colOff>317500</xdr:colOff>
          <xdr:row>22</xdr:row>
          <xdr:rowOff>19050</xdr:rowOff>
        </xdr:to>
        <xdr:sp macro="" textlink="">
          <xdr:nvSpPr>
            <xdr:cNvPr id="5161" name="Option Button 41" hidden="1">
              <a:extLst>
                <a:ext uri="{63B3BB69-23CF-44E3-9099-C40C66FF867C}">
                  <a14:compatExt spid="_x0000_s5161"/>
                </a:ext>
                <a:ext uri="{FF2B5EF4-FFF2-40B4-BE49-F238E27FC236}">
                  <a16:creationId xmlns:a16="http://schemas.microsoft.com/office/drawing/2014/main" id="{00000000-0008-0000-01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0</xdr:row>
      <xdr:rowOff>0</xdr:rowOff>
    </xdr:from>
    <xdr:to>
      <xdr:col>3</xdr:col>
      <xdr:colOff>838200</xdr:colOff>
      <xdr:row>0</xdr:row>
      <xdr:rowOff>361950</xdr:rowOff>
    </xdr:to>
    <xdr:sp macro="" textlink="">
      <xdr:nvSpPr>
        <xdr:cNvPr id="32" name="ホームベース 31">
          <a:hlinkClick xmlns:r="http://schemas.openxmlformats.org/officeDocument/2006/relationships" r:id="rId1"/>
          <a:extLst>
            <a:ext uri="{FF2B5EF4-FFF2-40B4-BE49-F238E27FC236}">
              <a16:creationId xmlns:a16="http://schemas.microsoft.com/office/drawing/2014/main" id="{00000000-0008-0000-0100-000020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敷地面積の入力</a:t>
          </a:r>
        </a:p>
      </xdr:txBody>
    </xdr:sp>
    <xdr:clientData/>
  </xdr:twoCellAnchor>
  <xdr:twoCellAnchor>
    <xdr:from>
      <xdr:col>4</xdr:col>
      <xdr:colOff>68581</xdr:colOff>
      <xdr:row>0</xdr:row>
      <xdr:rowOff>0</xdr:rowOff>
    </xdr:from>
    <xdr:to>
      <xdr:col>7</xdr:col>
      <xdr:colOff>160021</xdr:colOff>
      <xdr:row>0</xdr:row>
      <xdr:rowOff>360000</xdr:rowOff>
    </xdr:to>
    <xdr:sp macro="" textlink="">
      <xdr:nvSpPr>
        <xdr:cNvPr id="33" name="正方形/長方形 32">
          <a:hlinkClick xmlns:r="http://schemas.openxmlformats.org/officeDocument/2006/relationships" r:id="rId2"/>
          <a:extLst>
            <a:ext uri="{FF2B5EF4-FFF2-40B4-BE49-F238E27FC236}">
              <a16:creationId xmlns:a16="http://schemas.microsoft.com/office/drawing/2014/main" id="{00000000-0008-0000-0100-000021000000}"/>
            </a:ext>
          </a:extLst>
        </xdr:cNvPr>
        <xdr:cNvSpPr/>
      </xdr:nvSpPr>
      <xdr:spPr>
        <a:xfrm>
          <a:off x="1562101" y="0"/>
          <a:ext cx="8763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7</xdr:col>
      <xdr:colOff>152400</xdr:colOff>
      <xdr:row>0</xdr:row>
      <xdr:rowOff>0</xdr:rowOff>
    </xdr:from>
    <xdr:to>
      <xdr:col>7</xdr:col>
      <xdr:colOff>891540</xdr:colOff>
      <xdr:row>0</xdr:row>
      <xdr:rowOff>360000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2430780" y="0"/>
          <a:ext cx="739140" cy="360000"/>
        </a:xfrm>
        <a:prstGeom prst="rect">
          <a:avLst/>
        </a:prstGeom>
        <a:solidFill>
          <a:schemeClr val="bg1"/>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入　力</a:t>
          </a:r>
        </a:p>
      </xdr:txBody>
    </xdr:sp>
    <xdr:clientData/>
  </xdr:twoCellAnchor>
  <xdr:twoCellAnchor>
    <xdr:from>
      <xdr:col>7</xdr:col>
      <xdr:colOff>883921</xdr:colOff>
      <xdr:row>0</xdr:row>
      <xdr:rowOff>0</xdr:rowOff>
    </xdr:from>
    <xdr:to>
      <xdr:col>9</xdr:col>
      <xdr:colOff>167641</xdr:colOff>
      <xdr:row>0</xdr:row>
      <xdr:rowOff>360000</xdr:rowOff>
    </xdr:to>
    <xdr:sp macro="" textlink="">
      <xdr:nvSpPr>
        <xdr:cNvPr id="35" name="正方形/長方形 34">
          <a:hlinkClick xmlns:r="http://schemas.openxmlformats.org/officeDocument/2006/relationships" r:id="rId1"/>
          <a:extLst>
            <a:ext uri="{FF2B5EF4-FFF2-40B4-BE49-F238E27FC236}">
              <a16:creationId xmlns:a16="http://schemas.microsoft.com/office/drawing/2014/main" id="{00000000-0008-0000-0100-000023000000}"/>
            </a:ext>
          </a:extLst>
        </xdr:cNvPr>
        <xdr:cNvSpPr/>
      </xdr:nvSpPr>
      <xdr:spPr>
        <a:xfrm>
          <a:off x="3162301" y="0"/>
          <a:ext cx="8153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9</xdr:col>
      <xdr:colOff>167640</xdr:colOff>
      <xdr:row>0</xdr:row>
      <xdr:rowOff>0</xdr:rowOff>
    </xdr:from>
    <xdr:to>
      <xdr:col>11</xdr:col>
      <xdr:colOff>198120</xdr:colOff>
      <xdr:row>0</xdr:row>
      <xdr:rowOff>360000</xdr:rowOff>
    </xdr:to>
    <xdr:sp macro="" textlink="">
      <xdr:nvSpPr>
        <xdr:cNvPr id="36" name="正方形/長方形 35">
          <a:hlinkClick xmlns:r="http://schemas.openxmlformats.org/officeDocument/2006/relationships" r:id="rId3"/>
          <a:extLst>
            <a:ext uri="{FF2B5EF4-FFF2-40B4-BE49-F238E27FC236}">
              <a16:creationId xmlns:a16="http://schemas.microsoft.com/office/drawing/2014/main" id="{00000000-0008-0000-0100-000024000000}"/>
            </a:ext>
          </a:extLst>
        </xdr:cNvPr>
        <xdr:cNvSpPr/>
      </xdr:nvSpPr>
      <xdr:spPr>
        <a:xfrm>
          <a:off x="3977640" y="0"/>
          <a:ext cx="7010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11</xdr:col>
      <xdr:colOff>198120</xdr:colOff>
      <xdr:row>0</xdr:row>
      <xdr:rowOff>0</xdr:rowOff>
    </xdr:from>
    <xdr:to>
      <xdr:col>12</xdr:col>
      <xdr:colOff>38100</xdr:colOff>
      <xdr:row>0</xdr:row>
      <xdr:rowOff>360000</xdr:rowOff>
    </xdr:to>
    <xdr:sp macro="" textlink="">
      <xdr:nvSpPr>
        <xdr:cNvPr id="37" name="正方形/長方形 36">
          <a:hlinkClick xmlns:r="http://schemas.openxmlformats.org/officeDocument/2006/relationships" r:id="rId4"/>
          <a:extLst>
            <a:ext uri="{FF2B5EF4-FFF2-40B4-BE49-F238E27FC236}">
              <a16:creationId xmlns:a16="http://schemas.microsoft.com/office/drawing/2014/main" id="{00000000-0008-0000-0100-000025000000}"/>
            </a:ext>
          </a:extLst>
        </xdr:cNvPr>
        <xdr:cNvSpPr/>
      </xdr:nvSpPr>
      <xdr:spPr>
        <a:xfrm>
          <a:off x="4678680" y="0"/>
          <a:ext cx="8077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12</xdr:col>
      <xdr:colOff>38100</xdr:colOff>
      <xdr:row>0</xdr:row>
      <xdr:rowOff>0</xdr:rowOff>
    </xdr:from>
    <xdr:to>
      <xdr:col>13</xdr:col>
      <xdr:colOff>586740</xdr:colOff>
      <xdr:row>0</xdr:row>
      <xdr:rowOff>360000</xdr:rowOff>
    </xdr:to>
    <xdr:sp macro="" textlink="">
      <xdr:nvSpPr>
        <xdr:cNvPr id="38" name="正方形/長方形 37">
          <a:hlinkClick xmlns:r="http://schemas.openxmlformats.org/officeDocument/2006/relationships" r:id="rId5"/>
          <a:extLst>
            <a:ext uri="{FF2B5EF4-FFF2-40B4-BE49-F238E27FC236}">
              <a16:creationId xmlns:a16="http://schemas.microsoft.com/office/drawing/2014/main" id="{00000000-0008-0000-0100-000026000000}"/>
            </a:ext>
          </a:extLst>
        </xdr:cNvPr>
        <xdr:cNvSpPr/>
      </xdr:nvSpPr>
      <xdr:spPr>
        <a:xfrm>
          <a:off x="5486400" y="0"/>
          <a:ext cx="8686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13</xdr:col>
      <xdr:colOff>586740</xdr:colOff>
      <xdr:row>0</xdr:row>
      <xdr:rowOff>0</xdr:rowOff>
    </xdr:from>
    <xdr:to>
      <xdr:col>16</xdr:col>
      <xdr:colOff>0</xdr:colOff>
      <xdr:row>0</xdr:row>
      <xdr:rowOff>360000</xdr:rowOff>
    </xdr:to>
    <xdr:sp macro="" textlink="">
      <xdr:nvSpPr>
        <xdr:cNvPr id="39" name="正方形/長方形 38">
          <a:hlinkClick xmlns:r="http://schemas.openxmlformats.org/officeDocument/2006/relationships" r:id="rId6"/>
          <a:extLst>
            <a:ext uri="{FF2B5EF4-FFF2-40B4-BE49-F238E27FC236}">
              <a16:creationId xmlns:a16="http://schemas.microsoft.com/office/drawing/2014/main" id="{00000000-0008-0000-0100-000027000000}"/>
            </a:ext>
          </a:extLst>
        </xdr:cNvPr>
        <xdr:cNvSpPr/>
      </xdr:nvSpPr>
      <xdr:spPr>
        <a:xfrm>
          <a:off x="6355080" y="0"/>
          <a:ext cx="8458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16</xdr:col>
      <xdr:colOff>0</xdr:colOff>
      <xdr:row>0</xdr:row>
      <xdr:rowOff>0</xdr:rowOff>
    </xdr:from>
    <xdr:to>
      <xdr:col>17</xdr:col>
      <xdr:colOff>502920</xdr:colOff>
      <xdr:row>0</xdr:row>
      <xdr:rowOff>360000</xdr:rowOff>
    </xdr:to>
    <xdr:sp macro="" textlink="">
      <xdr:nvSpPr>
        <xdr:cNvPr id="40" name="正方形/長方形 39">
          <a:hlinkClick xmlns:r="http://schemas.openxmlformats.org/officeDocument/2006/relationships" r:id="rId7"/>
          <a:extLst>
            <a:ext uri="{FF2B5EF4-FFF2-40B4-BE49-F238E27FC236}">
              <a16:creationId xmlns:a16="http://schemas.microsoft.com/office/drawing/2014/main" id="{00000000-0008-0000-0100-000028000000}"/>
            </a:ext>
          </a:extLst>
        </xdr:cNvPr>
        <xdr:cNvSpPr/>
      </xdr:nvSpPr>
      <xdr:spPr>
        <a:xfrm>
          <a:off x="7200900" y="0"/>
          <a:ext cx="8534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17</xdr:col>
      <xdr:colOff>502920</xdr:colOff>
      <xdr:row>0</xdr:row>
      <xdr:rowOff>0</xdr:rowOff>
    </xdr:from>
    <xdr:to>
      <xdr:col>18</xdr:col>
      <xdr:colOff>426720</xdr:colOff>
      <xdr:row>0</xdr:row>
      <xdr:rowOff>360000</xdr:rowOff>
    </xdr:to>
    <xdr:sp macro="" textlink="">
      <xdr:nvSpPr>
        <xdr:cNvPr id="41" name="正方形/長方形 40">
          <a:hlinkClick xmlns:r="http://schemas.openxmlformats.org/officeDocument/2006/relationships" r:id="rId8"/>
          <a:extLst>
            <a:ext uri="{FF2B5EF4-FFF2-40B4-BE49-F238E27FC236}">
              <a16:creationId xmlns:a16="http://schemas.microsoft.com/office/drawing/2014/main" id="{00000000-0008-0000-0100-000029000000}"/>
            </a:ext>
          </a:extLst>
        </xdr:cNvPr>
        <xdr:cNvSpPr/>
      </xdr:nvSpPr>
      <xdr:spPr>
        <a:xfrm>
          <a:off x="8054340" y="0"/>
          <a:ext cx="7239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18</xdr:col>
      <xdr:colOff>426720</xdr:colOff>
      <xdr:row>0</xdr:row>
      <xdr:rowOff>0</xdr:rowOff>
    </xdr:from>
    <xdr:to>
      <xdr:col>19</xdr:col>
      <xdr:colOff>243840</xdr:colOff>
      <xdr:row>0</xdr:row>
      <xdr:rowOff>360000</xdr:rowOff>
    </xdr:to>
    <xdr:sp macro="" textlink="">
      <xdr:nvSpPr>
        <xdr:cNvPr id="42" name="正方形/長方形 41">
          <a:hlinkClick xmlns:r="http://schemas.openxmlformats.org/officeDocument/2006/relationships" r:id="rId9"/>
          <a:extLst>
            <a:ext uri="{FF2B5EF4-FFF2-40B4-BE49-F238E27FC236}">
              <a16:creationId xmlns:a16="http://schemas.microsoft.com/office/drawing/2014/main" id="{00000000-0008-0000-0100-00002A000000}"/>
            </a:ext>
          </a:extLst>
        </xdr:cNvPr>
        <xdr:cNvSpPr/>
      </xdr:nvSpPr>
      <xdr:spPr>
        <a:xfrm>
          <a:off x="8778240" y="0"/>
          <a:ext cx="7848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19</xdr:col>
      <xdr:colOff>251460</xdr:colOff>
      <xdr:row>0</xdr:row>
      <xdr:rowOff>0</xdr:rowOff>
    </xdr:from>
    <xdr:to>
      <xdr:col>21</xdr:col>
      <xdr:colOff>655320</xdr:colOff>
      <xdr:row>0</xdr:row>
      <xdr:rowOff>360000</xdr:rowOff>
    </xdr:to>
    <xdr:sp macro="" textlink="">
      <xdr:nvSpPr>
        <xdr:cNvPr id="43" name="正方形/長方形 42">
          <a:hlinkClick xmlns:r="http://schemas.openxmlformats.org/officeDocument/2006/relationships" r:id="rId10"/>
          <a:extLst>
            <a:ext uri="{FF2B5EF4-FFF2-40B4-BE49-F238E27FC236}">
              <a16:creationId xmlns:a16="http://schemas.microsoft.com/office/drawing/2014/main" id="{00000000-0008-0000-0100-00002B000000}"/>
            </a:ext>
          </a:extLst>
        </xdr:cNvPr>
        <xdr:cNvSpPr/>
      </xdr:nvSpPr>
      <xdr:spPr>
        <a:xfrm>
          <a:off x="9570720" y="0"/>
          <a:ext cx="8686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133351</xdr:colOff>
      <xdr:row>24</xdr:row>
      <xdr:rowOff>161924</xdr:rowOff>
    </xdr:from>
    <xdr:to>
      <xdr:col>12</xdr:col>
      <xdr:colOff>783168</xdr:colOff>
      <xdr:row>44</xdr:row>
      <xdr:rowOff>9525</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138112</xdr:colOff>
      <xdr:row>45</xdr:row>
      <xdr:rowOff>166687</xdr:rowOff>
    </xdr:from>
    <xdr:to>
      <xdr:col>12</xdr:col>
      <xdr:colOff>776111</xdr:colOff>
      <xdr:row>65</xdr:row>
      <xdr:rowOff>0</xdr:rowOff>
    </xdr:to>
    <xdr:graphicFrame macro="">
      <xdr:nvGraphicFramePr>
        <xdr:cNvPr id="3" name="グラフ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0</xdr:row>
      <xdr:rowOff>0</xdr:rowOff>
    </xdr:from>
    <xdr:to>
      <xdr:col>4</xdr:col>
      <xdr:colOff>47625</xdr:colOff>
      <xdr:row>0</xdr:row>
      <xdr:rowOff>361950</xdr:rowOff>
    </xdr:to>
    <xdr:sp macro="" textlink="">
      <xdr:nvSpPr>
        <xdr:cNvPr id="4" name="ホームベース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4</xdr:col>
      <xdr:colOff>426720</xdr:colOff>
      <xdr:row>0</xdr:row>
      <xdr:rowOff>0</xdr:rowOff>
    </xdr:from>
    <xdr:to>
      <xdr:col>5</xdr:col>
      <xdr:colOff>571499</xdr:colOff>
      <xdr:row>0</xdr:row>
      <xdr:rowOff>360000</xdr:rowOff>
    </xdr:to>
    <xdr:sp macro="" textlink="">
      <xdr:nvSpPr>
        <xdr:cNvPr id="5" name="正方形/長方形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1668780" y="0"/>
          <a:ext cx="94487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563880</xdr:colOff>
      <xdr:row>0</xdr:row>
      <xdr:rowOff>0</xdr:rowOff>
    </xdr:from>
    <xdr:to>
      <xdr:col>6</xdr:col>
      <xdr:colOff>548640</xdr:colOff>
      <xdr:row>0</xdr:row>
      <xdr:rowOff>360000</xdr:rowOff>
    </xdr:to>
    <xdr:sp macro="" textlink="">
      <xdr:nvSpPr>
        <xdr:cNvPr id="6" name="正方形/長方形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2606040" y="0"/>
          <a:ext cx="7848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6</xdr:col>
      <xdr:colOff>533400</xdr:colOff>
      <xdr:row>0</xdr:row>
      <xdr:rowOff>0</xdr:rowOff>
    </xdr:from>
    <xdr:to>
      <xdr:col>7</xdr:col>
      <xdr:colOff>579119</xdr:colOff>
      <xdr:row>0</xdr:row>
      <xdr:rowOff>360000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3375660" y="0"/>
          <a:ext cx="845819" cy="360000"/>
        </a:xfrm>
        <a:prstGeom prst="rect">
          <a:avLst/>
        </a:prstGeom>
        <a:solidFill>
          <a:schemeClr val="bg1"/>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報 告 書</a:t>
          </a:r>
        </a:p>
      </xdr:txBody>
    </xdr:sp>
    <xdr:clientData/>
  </xdr:twoCellAnchor>
  <xdr:twoCellAnchor>
    <xdr:from>
      <xdr:col>7</xdr:col>
      <xdr:colOff>571500</xdr:colOff>
      <xdr:row>0</xdr:row>
      <xdr:rowOff>0</xdr:rowOff>
    </xdr:from>
    <xdr:to>
      <xdr:col>8</xdr:col>
      <xdr:colOff>525779</xdr:colOff>
      <xdr:row>0</xdr:row>
      <xdr:rowOff>360000</xdr:rowOff>
    </xdr:to>
    <xdr:sp macro="" textlink="">
      <xdr:nvSpPr>
        <xdr:cNvPr id="8" name="正方形/長方形 7">
          <a:hlinkClick xmlns:r="http://schemas.openxmlformats.org/officeDocument/2006/relationships" r:id="rId3"/>
          <a:extLst>
            <a:ext uri="{FF2B5EF4-FFF2-40B4-BE49-F238E27FC236}">
              <a16:creationId xmlns:a16="http://schemas.microsoft.com/office/drawing/2014/main" id="{00000000-0008-0000-0200-000008000000}"/>
            </a:ext>
          </a:extLst>
        </xdr:cNvPr>
        <xdr:cNvSpPr/>
      </xdr:nvSpPr>
      <xdr:spPr>
        <a:xfrm>
          <a:off x="4213860" y="0"/>
          <a:ext cx="75437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8</xdr:col>
      <xdr:colOff>525780</xdr:colOff>
      <xdr:row>0</xdr:row>
      <xdr:rowOff>0</xdr:rowOff>
    </xdr:from>
    <xdr:to>
      <xdr:col>9</xdr:col>
      <xdr:colOff>548640</xdr:colOff>
      <xdr:row>0</xdr:row>
      <xdr:rowOff>360000</xdr:rowOff>
    </xdr:to>
    <xdr:sp macro="" textlink="">
      <xdr:nvSpPr>
        <xdr:cNvPr id="9" name="正方形/長方形 8">
          <a:hlinkClick xmlns:r="http://schemas.openxmlformats.org/officeDocument/2006/relationships" r:id="rId6"/>
          <a:extLst>
            <a:ext uri="{FF2B5EF4-FFF2-40B4-BE49-F238E27FC236}">
              <a16:creationId xmlns:a16="http://schemas.microsoft.com/office/drawing/2014/main" id="{00000000-0008-0000-0200-000009000000}"/>
            </a:ext>
          </a:extLst>
        </xdr:cNvPr>
        <xdr:cNvSpPr/>
      </xdr:nvSpPr>
      <xdr:spPr>
        <a:xfrm>
          <a:off x="4968240" y="0"/>
          <a:ext cx="8229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9</xdr:col>
      <xdr:colOff>548640</xdr:colOff>
      <xdr:row>0</xdr:row>
      <xdr:rowOff>0</xdr:rowOff>
    </xdr:from>
    <xdr:to>
      <xdr:col>10</xdr:col>
      <xdr:colOff>556260</xdr:colOff>
      <xdr:row>0</xdr:row>
      <xdr:rowOff>360000</xdr:rowOff>
    </xdr:to>
    <xdr:sp macro="" textlink="">
      <xdr:nvSpPr>
        <xdr:cNvPr id="10" name="正方形/長方形 9">
          <a:hlinkClick xmlns:r="http://schemas.openxmlformats.org/officeDocument/2006/relationships" r:id="rId7"/>
          <a:extLst>
            <a:ext uri="{FF2B5EF4-FFF2-40B4-BE49-F238E27FC236}">
              <a16:creationId xmlns:a16="http://schemas.microsoft.com/office/drawing/2014/main" id="{00000000-0008-0000-0200-00000A000000}"/>
            </a:ext>
          </a:extLst>
        </xdr:cNvPr>
        <xdr:cNvSpPr/>
      </xdr:nvSpPr>
      <xdr:spPr>
        <a:xfrm>
          <a:off x="5791200" y="0"/>
          <a:ext cx="8077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10</xdr:col>
      <xdr:colOff>556260</xdr:colOff>
      <xdr:row>0</xdr:row>
      <xdr:rowOff>0</xdr:rowOff>
    </xdr:from>
    <xdr:to>
      <xdr:col>11</xdr:col>
      <xdr:colOff>594360</xdr:colOff>
      <xdr:row>0</xdr:row>
      <xdr:rowOff>360000</xdr:rowOff>
    </xdr:to>
    <xdr:sp macro="" textlink="">
      <xdr:nvSpPr>
        <xdr:cNvPr id="11" name="正方形/長方形 10">
          <a:hlinkClick xmlns:r="http://schemas.openxmlformats.org/officeDocument/2006/relationships" r:id="rId8"/>
          <a:extLst>
            <a:ext uri="{FF2B5EF4-FFF2-40B4-BE49-F238E27FC236}">
              <a16:creationId xmlns:a16="http://schemas.microsoft.com/office/drawing/2014/main" id="{00000000-0008-0000-0200-00000B000000}"/>
            </a:ext>
          </a:extLst>
        </xdr:cNvPr>
        <xdr:cNvSpPr/>
      </xdr:nvSpPr>
      <xdr:spPr>
        <a:xfrm>
          <a:off x="6598920" y="0"/>
          <a:ext cx="8382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11</xdr:col>
      <xdr:colOff>594360</xdr:colOff>
      <xdr:row>0</xdr:row>
      <xdr:rowOff>0</xdr:rowOff>
    </xdr:from>
    <xdr:to>
      <xdr:col>12</xdr:col>
      <xdr:colOff>701040</xdr:colOff>
      <xdr:row>0</xdr:row>
      <xdr:rowOff>360000</xdr:rowOff>
    </xdr:to>
    <xdr:sp macro="" textlink="">
      <xdr:nvSpPr>
        <xdr:cNvPr id="12" name="正方形/長方形 11">
          <a:hlinkClick xmlns:r="http://schemas.openxmlformats.org/officeDocument/2006/relationships" r:id="rId9"/>
          <a:extLst>
            <a:ext uri="{FF2B5EF4-FFF2-40B4-BE49-F238E27FC236}">
              <a16:creationId xmlns:a16="http://schemas.microsoft.com/office/drawing/2014/main" id="{00000000-0008-0000-0200-00000C000000}"/>
            </a:ext>
          </a:extLst>
        </xdr:cNvPr>
        <xdr:cNvSpPr/>
      </xdr:nvSpPr>
      <xdr:spPr>
        <a:xfrm>
          <a:off x="7437120" y="0"/>
          <a:ext cx="9067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12</xdr:col>
      <xdr:colOff>708660</xdr:colOff>
      <xdr:row>0</xdr:row>
      <xdr:rowOff>0</xdr:rowOff>
    </xdr:from>
    <xdr:to>
      <xdr:col>14</xdr:col>
      <xdr:colOff>518160</xdr:colOff>
      <xdr:row>0</xdr:row>
      <xdr:rowOff>360000</xdr:rowOff>
    </xdr:to>
    <xdr:sp macro="" textlink="">
      <xdr:nvSpPr>
        <xdr:cNvPr id="13" name="正方形/長方形 12">
          <a:hlinkClick xmlns:r="http://schemas.openxmlformats.org/officeDocument/2006/relationships" r:id="rId10"/>
          <a:extLst>
            <a:ext uri="{FF2B5EF4-FFF2-40B4-BE49-F238E27FC236}">
              <a16:creationId xmlns:a16="http://schemas.microsoft.com/office/drawing/2014/main" id="{00000000-0008-0000-0200-00000D000000}"/>
            </a:ext>
          </a:extLst>
        </xdr:cNvPr>
        <xdr:cNvSpPr/>
      </xdr:nvSpPr>
      <xdr:spPr>
        <a:xfrm>
          <a:off x="8351520" y="0"/>
          <a:ext cx="7924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14</xdr:col>
      <xdr:colOff>518160</xdr:colOff>
      <xdr:row>0</xdr:row>
      <xdr:rowOff>0</xdr:rowOff>
    </xdr:from>
    <xdr:to>
      <xdr:col>16</xdr:col>
      <xdr:colOff>30480</xdr:colOff>
      <xdr:row>0</xdr:row>
      <xdr:rowOff>360000</xdr:rowOff>
    </xdr:to>
    <xdr:sp macro="" textlink="">
      <xdr:nvSpPr>
        <xdr:cNvPr id="14" name="正方形/長方形 13">
          <a:hlinkClick xmlns:r="http://schemas.openxmlformats.org/officeDocument/2006/relationships" r:id="rId11"/>
          <a:extLst>
            <a:ext uri="{FF2B5EF4-FFF2-40B4-BE49-F238E27FC236}">
              <a16:creationId xmlns:a16="http://schemas.microsoft.com/office/drawing/2014/main" id="{00000000-0008-0000-0200-00000E000000}"/>
            </a:ext>
          </a:extLst>
        </xdr:cNvPr>
        <xdr:cNvSpPr/>
      </xdr:nvSpPr>
      <xdr:spPr>
        <a:xfrm>
          <a:off x="9144000" y="0"/>
          <a:ext cx="7467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16</xdr:col>
      <xdr:colOff>22860</xdr:colOff>
      <xdr:row>0</xdr:row>
      <xdr:rowOff>0</xdr:rowOff>
    </xdr:from>
    <xdr:to>
      <xdr:col>17</xdr:col>
      <xdr:colOff>335280</xdr:colOff>
      <xdr:row>0</xdr:row>
      <xdr:rowOff>360000</xdr:rowOff>
    </xdr:to>
    <xdr:sp macro="" textlink="">
      <xdr:nvSpPr>
        <xdr:cNvPr id="15" name="正方形/長方形 14">
          <a:hlinkClick xmlns:r="http://schemas.openxmlformats.org/officeDocument/2006/relationships" r:id="rId12"/>
          <a:extLst>
            <a:ext uri="{FF2B5EF4-FFF2-40B4-BE49-F238E27FC236}">
              <a16:creationId xmlns:a16="http://schemas.microsoft.com/office/drawing/2014/main" id="{00000000-0008-0000-0200-00000F000000}"/>
            </a:ext>
          </a:extLst>
        </xdr:cNvPr>
        <xdr:cNvSpPr/>
      </xdr:nvSpPr>
      <xdr:spPr>
        <a:xfrm>
          <a:off x="9883140" y="0"/>
          <a:ext cx="9296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twoCellAnchor>
    <xdr:from>
      <xdr:col>15</xdr:col>
      <xdr:colOff>381000</xdr:colOff>
      <xdr:row>6</xdr:row>
      <xdr:rowOff>9525</xdr:rowOff>
    </xdr:from>
    <xdr:to>
      <xdr:col>16</xdr:col>
      <xdr:colOff>673608</xdr:colOff>
      <xdr:row>8</xdr:row>
      <xdr:rowOff>94107</xdr:rowOff>
    </xdr:to>
    <xdr:sp macro="" textlink="">
      <xdr:nvSpPr>
        <xdr:cNvPr id="16" name="ホームベース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10544175" y="1438275"/>
          <a:ext cx="978408" cy="484632"/>
        </a:xfrm>
        <a:prstGeom prst="homePlate">
          <a:avLst/>
        </a:prstGeom>
        <a:solidFill>
          <a:srgbClr val="FFCCCC"/>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b="1">
              <a:solidFill>
                <a:srgbClr val="FF0000"/>
              </a:solidFill>
            </a:rPr>
            <a:t>留意事項</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209550</xdr:colOff>
      <xdr:row>18</xdr:row>
      <xdr:rowOff>190500</xdr:rowOff>
    </xdr:from>
    <xdr:to>
      <xdr:col>9</xdr:col>
      <xdr:colOff>219075</xdr:colOff>
      <xdr:row>18</xdr:row>
      <xdr:rowOff>190500</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a:xfrm>
          <a:off x="2276475" y="4219575"/>
          <a:ext cx="2857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209550</xdr:colOff>
      <xdr:row>18</xdr:row>
      <xdr:rowOff>181768</xdr:rowOff>
    </xdr:from>
    <xdr:to>
      <xdr:col>9</xdr:col>
      <xdr:colOff>210345</xdr:colOff>
      <xdr:row>20</xdr:row>
      <xdr:rowOff>5143</xdr:rowOff>
    </xdr:to>
    <xdr:cxnSp macro="">
      <xdr:nvCxnSpPr>
        <xdr:cNvPr id="3" name="直線矢印コネクタ 2">
          <a:extLst>
            <a:ext uri="{FF2B5EF4-FFF2-40B4-BE49-F238E27FC236}">
              <a16:creationId xmlns:a16="http://schemas.microsoft.com/office/drawing/2014/main" id="{00000000-0008-0000-0300-000003000000}"/>
            </a:ext>
          </a:extLst>
        </xdr:cNvPr>
        <xdr:cNvCxnSpPr/>
      </xdr:nvCxnSpPr>
      <xdr:spPr>
        <a:xfrm flipH="1">
          <a:off x="5124450" y="4210843"/>
          <a:ext cx="795" cy="242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24</xdr:row>
      <xdr:rowOff>9525</xdr:rowOff>
    </xdr:from>
    <xdr:to>
      <xdr:col>5</xdr:col>
      <xdr:colOff>9526</xdr:colOff>
      <xdr:row>26</xdr:row>
      <xdr:rowOff>12900</xdr:rowOff>
    </xdr:to>
    <xdr:cxnSp macro="">
      <xdr:nvCxnSpPr>
        <xdr:cNvPr id="4" name="直線矢印コネクタ 3">
          <a:extLst>
            <a:ext uri="{FF2B5EF4-FFF2-40B4-BE49-F238E27FC236}">
              <a16:creationId xmlns:a16="http://schemas.microsoft.com/office/drawing/2014/main" id="{00000000-0008-0000-0300-000004000000}"/>
            </a:ext>
          </a:extLst>
        </xdr:cNvPr>
        <xdr:cNvCxnSpPr/>
      </xdr:nvCxnSpPr>
      <xdr:spPr>
        <a:xfrm flipH="1">
          <a:off x="2962275" y="5314950"/>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29</xdr:row>
      <xdr:rowOff>1</xdr:rowOff>
    </xdr:from>
    <xdr:to>
      <xdr:col>5</xdr:col>
      <xdr:colOff>1587</xdr:colOff>
      <xdr:row>31</xdr:row>
      <xdr:rowOff>3376</xdr:rowOff>
    </xdr:to>
    <xdr:cxnSp macro="">
      <xdr:nvCxnSpPr>
        <xdr:cNvPr id="5" name="直線矢印コネクタ 4">
          <a:extLst>
            <a:ext uri="{FF2B5EF4-FFF2-40B4-BE49-F238E27FC236}">
              <a16:creationId xmlns:a16="http://schemas.microsoft.com/office/drawing/2014/main" id="{00000000-0008-0000-0300-000005000000}"/>
            </a:ext>
          </a:extLst>
        </xdr:cNvPr>
        <xdr:cNvCxnSpPr/>
      </xdr:nvCxnSpPr>
      <xdr:spPr>
        <a:xfrm rot="5400000">
          <a:off x="2737543" y="65874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35</xdr:row>
      <xdr:rowOff>794</xdr:rowOff>
    </xdr:from>
    <xdr:to>
      <xdr:col>13</xdr:col>
      <xdr:colOff>429420</xdr:colOff>
      <xdr:row>36</xdr:row>
      <xdr:rowOff>9525</xdr:rowOff>
    </xdr:to>
    <xdr:cxnSp macro="">
      <xdr:nvCxnSpPr>
        <xdr:cNvPr id="6" name="直線矢印コネクタ 5">
          <a:extLst>
            <a:ext uri="{FF2B5EF4-FFF2-40B4-BE49-F238E27FC236}">
              <a16:creationId xmlns:a16="http://schemas.microsoft.com/office/drawing/2014/main" id="{00000000-0008-0000-0300-000006000000}"/>
            </a:ext>
          </a:extLst>
        </xdr:cNvPr>
        <xdr:cNvCxnSpPr/>
      </xdr:nvCxnSpPr>
      <xdr:spPr>
        <a:xfrm flipH="1">
          <a:off x="6657975" y="7649369"/>
          <a:ext cx="795" cy="227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17</xdr:row>
      <xdr:rowOff>9525</xdr:rowOff>
    </xdr:from>
    <xdr:to>
      <xdr:col>5</xdr:col>
      <xdr:colOff>0</xdr:colOff>
      <xdr:row>18</xdr:row>
      <xdr:rowOff>195975</xdr:rowOff>
    </xdr:to>
    <xdr:cxnSp macro="">
      <xdr:nvCxnSpPr>
        <xdr:cNvPr id="7" name="直線矢印コネクタ 6">
          <a:extLst>
            <a:ext uri="{FF2B5EF4-FFF2-40B4-BE49-F238E27FC236}">
              <a16:creationId xmlns:a16="http://schemas.microsoft.com/office/drawing/2014/main" id="{00000000-0008-0000-0300-000007000000}"/>
            </a:ext>
          </a:extLst>
        </xdr:cNvPr>
        <xdr:cNvCxnSpPr/>
      </xdr:nvCxnSpPr>
      <xdr:spPr>
        <a:xfrm>
          <a:off x="2952750" y="3819525"/>
          <a:ext cx="0" cy="40552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35</xdr:row>
      <xdr:rowOff>0</xdr:rowOff>
    </xdr:from>
    <xdr:to>
      <xdr:col>13</xdr:col>
      <xdr:colOff>428625</xdr:colOff>
      <xdr:row>35</xdr:row>
      <xdr:rowOff>0</xdr:rowOff>
    </xdr:to>
    <xdr:cxnSp macro="">
      <xdr:nvCxnSpPr>
        <xdr:cNvPr id="8" name="直線コネクタ 7">
          <a:extLst>
            <a:ext uri="{FF2B5EF4-FFF2-40B4-BE49-F238E27FC236}">
              <a16:creationId xmlns:a16="http://schemas.microsoft.com/office/drawing/2014/main" id="{00000000-0008-0000-0300-000008000000}"/>
            </a:ext>
          </a:extLst>
        </xdr:cNvPr>
        <xdr:cNvCxnSpPr/>
      </xdr:nvCxnSpPr>
      <xdr:spPr>
        <a:xfrm>
          <a:off x="4924425" y="764857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209550</xdr:colOff>
      <xdr:row>18</xdr:row>
      <xdr:rowOff>191293</xdr:rowOff>
    </xdr:from>
    <xdr:to>
      <xdr:col>4</xdr:col>
      <xdr:colOff>210345</xdr:colOff>
      <xdr:row>20</xdr:row>
      <xdr:rowOff>14668</xdr:rowOff>
    </xdr:to>
    <xdr:cxnSp macro="">
      <xdr:nvCxnSpPr>
        <xdr:cNvPr id="9" name="直線矢印コネクタ 8">
          <a:extLst>
            <a:ext uri="{FF2B5EF4-FFF2-40B4-BE49-F238E27FC236}">
              <a16:creationId xmlns:a16="http://schemas.microsoft.com/office/drawing/2014/main" id="{00000000-0008-0000-0300-000009000000}"/>
            </a:ext>
          </a:extLst>
        </xdr:cNvPr>
        <xdr:cNvCxnSpPr/>
      </xdr:nvCxnSpPr>
      <xdr:spPr>
        <a:xfrm flipH="1">
          <a:off x="2276475" y="4220368"/>
          <a:ext cx="795" cy="242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34</xdr:row>
      <xdr:rowOff>0</xdr:rowOff>
    </xdr:from>
    <xdr:to>
      <xdr:col>5</xdr:col>
      <xdr:colOff>1</xdr:colOff>
      <xdr:row>36</xdr:row>
      <xdr:rowOff>3375</xdr:rowOff>
    </xdr:to>
    <xdr:cxnSp macro="">
      <xdr:nvCxnSpPr>
        <xdr:cNvPr id="10" name="直線矢印コネクタ 9">
          <a:extLst>
            <a:ext uri="{FF2B5EF4-FFF2-40B4-BE49-F238E27FC236}">
              <a16:creationId xmlns:a16="http://schemas.microsoft.com/office/drawing/2014/main" id="{00000000-0008-0000-0300-00000A000000}"/>
            </a:ext>
          </a:extLst>
        </xdr:cNvPr>
        <xdr:cNvCxnSpPr/>
      </xdr:nvCxnSpPr>
      <xdr:spPr>
        <a:xfrm>
          <a:off x="2952750" y="7439025"/>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39</xdr:row>
      <xdr:rowOff>1</xdr:rowOff>
    </xdr:from>
    <xdr:to>
      <xdr:col>5</xdr:col>
      <xdr:colOff>1587</xdr:colOff>
      <xdr:row>41</xdr:row>
      <xdr:rowOff>3376</xdr:rowOff>
    </xdr:to>
    <xdr:cxnSp macro="">
      <xdr:nvCxnSpPr>
        <xdr:cNvPr id="11" name="直線矢印コネクタ 10">
          <a:extLst>
            <a:ext uri="{FF2B5EF4-FFF2-40B4-BE49-F238E27FC236}">
              <a16:creationId xmlns:a16="http://schemas.microsoft.com/office/drawing/2014/main" id="{00000000-0008-0000-0300-00000B000000}"/>
            </a:ext>
          </a:extLst>
        </xdr:cNvPr>
        <xdr:cNvCxnSpPr/>
      </xdr:nvCxnSpPr>
      <xdr:spPr>
        <a:xfrm rot="5400000">
          <a:off x="2737543" y="87686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44</xdr:row>
      <xdr:rowOff>1</xdr:rowOff>
    </xdr:from>
    <xdr:to>
      <xdr:col>5</xdr:col>
      <xdr:colOff>1587</xdr:colOff>
      <xdr:row>46</xdr:row>
      <xdr:rowOff>3376</xdr:rowOff>
    </xdr:to>
    <xdr:cxnSp macro="">
      <xdr:nvCxnSpPr>
        <xdr:cNvPr id="12" name="直線矢印コネクタ 11">
          <a:extLst>
            <a:ext uri="{FF2B5EF4-FFF2-40B4-BE49-F238E27FC236}">
              <a16:creationId xmlns:a16="http://schemas.microsoft.com/office/drawing/2014/main" id="{00000000-0008-0000-0300-00000C000000}"/>
            </a:ext>
          </a:extLst>
        </xdr:cNvPr>
        <xdr:cNvCxnSpPr/>
      </xdr:nvCxnSpPr>
      <xdr:spPr>
        <a:xfrm rot="5400000">
          <a:off x="2737543" y="98354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49</xdr:row>
      <xdr:rowOff>1</xdr:rowOff>
    </xdr:from>
    <xdr:to>
      <xdr:col>5</xdr:col>
      <xdr:colOff>1587</xdr:colOff>
      <xdr:row>51</xdr:row>
      <xdr:rowOff>3376</xdr:rowOff>
    </xdr:to>
    <xdr:cxnSp macro="">
      <xdr:nvCxnSpPr>
        <xdr:cNvPr id="13" name="直線矢印コネクタ 12">
          <a:extLst>
            <a:ext uri="{FF2B5EF4-FFF2-40B4-BE49-F238E27FC236}">
              <a16:creationId xmlns:a16="http://schemas.microsoft.com/office/drawing/2014/main" id="{00000000-0008-0000-0300-00000D000000}"/>
            </a:ext>
          </a:extLst>
        </xdr:cNvPr>
        <xdr:cNvCxnSpPr/>
      </xdr:nvCxnSpPr>
      <xdr:spPr>
        <a:xfrm rot="5400000">
          <a:off x="2737543" y="109022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34</xdr:row>
      <xdr:rowOff>0</xdr:rowOff>
    </xdr:from>
    <xdr:to>
      <xdr:col>9</xdr:col>
      <xdr:colOff>4</xdr:colOff>
      <xdr:row>35</xdr:row>
      <xdr:rowOff>9525</xdr:rowOff>
    </xdr:to>
    <xdr:cxnSp macro="">
      <xdr:nvCxnSpPr>
        <xdr:cNvPr id="14" name="直線矢印コネクタ 13">
          <a:extLst>
            <a:ext uri="{FF2B5EF4-FFF2-40B4-BE49-F238E27FC236}">
              <a16:creationId xmlns:a16="http://schemas.microsoft.com/office/drawing/2014/main" id="{00000000-0008-0000-0300-00000E000000}"/>
            </a:ext>
          </a:extLst>
        </xdr:cNvPr>
        <xdr:cNvCxnSpPr/>
      </xdr:nvCxnSpPr>
      <xdr:spPr>
        <a:xfrm flipH="1">
          <a:off x="4914900" y="7439025"/>
          <a:ext cx="4" cy="21907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54</xdr:row>
      <xdr:rowOff>1</xdr:rowOff>
    </xdr:from>
    <xdr:to>
      <xdr:col>5</xdr:col>
      <xdr:colOff>1587</xdr:colOff>
      <xdr:row>56</xdr:row>
      <xdr:rowOff>3376</xdr:rowOff>
    </xdr:to>
    <xdr:cxnSp macro="">
      <xdr:nvCxnSpPr>
        <xdr:cNvPr id="15" name="直線矢印コネクタ 14">
          <a:extLst>
            <a:ext uri="{FF2B5EF4-FFF2-40B4-BE49-F238E27FC236}">
              <a16:creationId xmlns:a16="http://schemas.microsoft.com/office/drawing/2014/main" id="{00000000-0008-0000-0300-00000F000000}"/>
            </a:ext>
          </a:extLst>
        </xdr:cNvPr>
        <xdr:cNvCxnSpPr/>
      </xdr:nvCxnSpPr>
      <xdr:spPr>
        <a:xfrm rot="5400000">
          <a:off x="2737543" y="119690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60</xdr:row>
      <xdr:rowOff>794</xdr:rowOff>
    </xdr:from>
    <xdr:to>
      <xdr:col>13</xdr:col>
      <xdr:colOff>429420</xdr:colOff>
      <xdr:row>61</xdr:row>
      <xdr:rowOff>9525</xdr:rowOff>
    </xdr:to>
    <xdr:cxnSp macro="">
      <xdr:nvCxnSpPr>
        <xdr:cNvPr id="16" name="直線矢印コネクタ 15">
          <a:extLst>
            <a:ext uri="{FF2B5EF4-FFF2-40B4-BE49-F238E27FC236}">
              <a16:creationId xmlns:a16="http://schemas.microsoft.com/office/drawing/2014/main" id="{00000000-0008-0000-0300-000010000000}"/>
            </a:ext>
          </a:extLst>
        </xdr:cNvPr>
        <xdr:cNvCxnSpPr/>
      </xdr:nvCxnSpPr>
      <xdr:spPr>
        <a:xfrm flipH="1">
          <a:off x="6657975" y="13030994"/>
          <a:ext cx="795" cy="227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60</xdr:row>
      <xdr:rowOff>9525</xdr:rowOff>
    </xdr:from>
    <xdr:to>
      <xdr:col>13</xdr:col>
      <xdr:colOff>428625</xdr:colOff>
      <xdr:row>60</xdr:row>
      <xdr:rowOff>9525</xdr:rowOff>
    </xdr:to>
    <xdr:cxnSp macro="">
      <xdr:nvCxnSpPr>
        <xdr:cNvPr id="17" name="直線コネクタ 16">
          <a:extLst>
            <a:ext uri="{FF2B5EF4-FFF2-40B4-BE49-F238E27FC236}">
              <a16:creationId xmlns:a16="http://schemas.microsoft.com/office/drawing/2014/main" id="{00000000-0008-0000-0300-000011000000}"/>
            </a:ext>
          </a:extLst>
        </xdr:cNvPr>
        <xdr:cNvCxnSpPr/>
      </xdr:nvCxnSpPr>
      <xdr:spPr>
        <a:xfrm>
          <a:off x="4924425" y="130397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59</xdr:row>
      <xdr:rowOff>0</xdr:rowOff>
    </xdr:from>
    <xdr:to>
      <xdr:col>9</xdr:col>
      <xdr:colOff>0</xdr:colOff>
      <xdr:row>60</xdr:row>
      <xdr:rowOff>19050</xdr:rowOff>
    </xdr:to>
    <xdr:cxnSp macro="">
      <xdr:nvCxnSpPr>
        <xdr:cNvPr id="18" name="直線矢印コネクタ 17">
          <a:extLst>
            <a:ext uri="{FF2B5EF4-FFF2-40B4-BE49-F238E27FC236}">
              <a16:creationId xmlns:a16="http://schemas.microsoft.com/office/drawing/2014/main" id="{00000000-0008-0000-0300-000012000000}"/>
            </a:ext>
          </a:extLst>
        </xdr:cNvPr>
        <xdr:cNvCxnSpPr/>
      </xdr:nvCxnSpPr>
      <xdr:spPr>
        <a:xfrm>
          <a:off x="4914900" y="12820650"/>
          <a:ext cx="0" cy="2286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409575</xdr:colOff>
      <xdr:row>10</xdr:row>
      <xdr:rowOff>133350</xdr:rowOff>
    </xdr:from>
    <xdr:to>
      <xdr:col>18</xdr:col>
      <xdr:colOff>428625</xdr:colOff>
      <xdr:row>66</xdr:row>
      <xdr:rowOff>9525</xdr:rowOff>
    </xdr:to>
    <xdr:cxnSp macro="">
      <xdr:nvCxnSpPr>
        <xdr:cNvPr id="19" name="直線矢印コネクタ 18">
          <a:extLst>
            <a:ext uri="{FF2B5EF4-FFF2-40B4-BE49-F238E27FC236}">
              <a16:creationId xmlns:a16="http://schemas.microsoft.com/office/drawing/2014/main" id="{00000000-0008-0000-0300-000013000000}"/>
            </a:ext>
          </a:extLst>
        </xdr:cNvPr>
        <xdr:cNvCxnSpPr/>
      </xdr:nvCxnSpPr>
      <xdr:spPr>
        <a:xfrm>
          <a:off x="8820150" y="2447925"/>
          <a:ext cx="19050" cy="11877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228600</xdr:colOff>
      <xdr:row>16</xdr:row>
      <xdr:rowOff>28575</xdr:rowOff>
    </xdr:from>
    <xdr:to>
      <xdr:col>13</xdr:col>
      <xdr:colOff>438150</xdr:colOff>
      <xdr:row>16</xdr:row>
      <xdr:rowOff>28575</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5724525" y="3619500"/>
          <a:ext cx="942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37</xdr:row>
      <xdr:rowOff>201083</xdr:rowOff>
    </xdr:from>
    <xdr:to>
      <xdr:col>17</xdr:col>
      <xdr:colOff>84667</xdr:colOff>
      <xdr:row>37</xdr:row>
      <xdr:rowOff>201084</xdr:rowOff>
    </xdr:to>
    <xdr:cxnSp macro="">
      <xdr:nvCxnSpPr>
        <xdr:cNvPr id="21" name="直線コネクタ 20">
          <a:extLst>
            <a:ext uri="{FF2B5EF4-FFF2-40B4-BE49-F238E27FC236}">
              <a16:creationId xmlns:a16="http://schemas.microsoft.com/office/drawing/2014/main" id="{00000000-0008-0000-0300-000015000000}"/>
            </a:ext>
          </a:extLst>
        </xdr:cNvPr>
        <xdr:cNvCxnSpPr/>
      </xdr:nvCxnSpPr>
      <xdr:spPr>
        <a:xfrm>
          <a:off x="7934325" y="8278283"/>
          <a:ext cx="32279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64</xdr:row>
      <xdr:rowOff>9525</xdr:rowOff>
    </xdr:from>
    <xdr:to>
      <xdr:col>13</xdr:col>
      <xdr:colOff>447679</xdr:colOff>
      <xdr:row>65</xdr:row>
      <xdr:rowOff>9525</xdr:rowOff>
    </xdr:to>
    <xdr:cxnSp macro="">
      <xdr:nvCxnSpPr>
        <xdr:cNvPr id="22" name="直線矢印コネクタ 21">
          <a:extLst>
            <a:ext uri="{FF2B5EF4-FFF2-40B4-BE49-F238E27FC236}">
              <a16:creationId xmlns:a16="http://schemas.microsoft.com/office/drawing/2014/main" id="{00000000-0008-0000-0300-000016000000}"/>
            </a:ext>
          </a:extLst>
        </xdr:cNvPr>
        <xdr:cNvCxnSpPr/>
      </xdr:nvCxnSpPr>
      <xdr:spPr>
        <a:xfrm flipH="1">
          <a:off x="6677025" y="13896975"/>
          <a:ext cx="4" cy="2095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65</xdr:row>
      <xdr:rowOff>9525</xdr:rowOff>
    </xdr:from>
    <xdr:to>
      <xdr:col>18</xdr:col>
      <xdr:colOff>438150</xdr:colOff>
      <xdr:row>65</xdr:row>
      <xdr:rowOff>9525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6677025" y="14106525"/>
          <a:ext cx="21717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449263</xdr:colOff>
      <xdr:row>69</xdr:row>
      <xdr:rowOff>0</xdr:rowOff>
    </xdr:from>
    <xdr:to>
      <xdr:col>18</xdr:col>
      <xdr:colOff>457200</xdr:colOff>
      <xdr:row>70</xdr:row>
      <xdr:rowOff>209550</xdr:rowOff>
    </xdr:to>
    <xdr:cxnSp macro="">
      <xdr:nvCxnSpPr>
        <xdr:cNvPr id="24" name="直線矢印コネクタ 23">
          <a:extLst>
            <a:ext uri="{FF2B5EF4-FFF2-40B4-BE49-F238E27FC236}">
              <a16:creationId xmlns:a16="http://schemas.microsoft.com/office/drawing/2014/main" id="{00000000-0008-0000-0300-000018000000}"/>
            </a:ext>
          </a:extLst>
        </xdr:cNvPr>
        <xdr:cNvCxnSpPr/>
      </xdr:nvCxnSpPr>
      <xdr:spPr>
        <a:xfrm>
          <a:off x="8859838" y="14954250"/>
          <a:ext cx="7937" cy="4191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67</xdr:row>
      <xdr:rowOff>104775</xdr:rowOff>
    </xdr:from>
    <xdr:to>
      <xdr:col>16</xdr:col>
      <xdr:colOff>228600</xdr:colOff>
      <xdr:row>67</xdr:row>
      <xdr:rowOff>104775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a:off x="6677025" y="146304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438150</xdr:colOff>
      <xdr:row>67</xdr:row>
      <xdr:rowOff>95250</xdr:rowOff>
    </xdr:from>
    <xdr:to>
      <xdr:col>13</xdr:col>
      <xdr:colOff>447675</xdr:colOff>
      <xdr:row>71</xdr:row>
      <xdr:rowOff>0</xdr:rowOff>
    </xdr:to>
    <xdr:cxnSp macro="">
      <xdr:nvCxnSpPr>
        <xdr:cNvPr id="26" name="直線矢印コネクタ 25">
          <a:extLst>
            <a:ext uri="{FF2B5EF4-FFF2-40B4-BE49-F238E27FC236}">
              <a16:creationId xmlns:a16="http://schemas.microsoft.com/office/drawing/2014/main" id="{00000000-0008-0000-0300-00001A000000}"/>
            </a:ext>
          </a:extLst>
        </xdr:cNvPr>
        <xdr:cNvCxnSpPr/>
      </xdr:nvCxnSpPr>
      <xdr:spPr>
        <a:xfrm>
          <a:off x="6667500" y="14620875"/>
          <a:ext cx="9525" cy="76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10</xdr:row>
      <xdr:rowOff>0</xdr:rowOff>
    </xdr:from>
    <xdr:to>
      <xdr:col>5</xdr:col>
      <xdr:colOff>797</xdr:colOff>
      <xdr:row>11</xdr:row>
      <xdr:rowOff>209550</xdr:rowOff>
    </xdr:to>
    <xdr:cxnSp macro="">
      <xdr:nvCxnSpPr>
        <xdr:cNvPr id="27" name="直線矢印コネクタ 26">
          <a:extLst>
            <a:ext uri="{FF2B5EF4-FFF2-40B4-BE49-F238E27FC236}">
              <a16:creationId xmlns:a16="http://schemas.microsoft.com/office/drawing/2014/main" id="{00000000-0008-0000-0300-00001B000000}"/>
            </a:ext>
          </a:extLst>
        </xdr:cNvPr>
        <xdr:cNvCxnSpPr/>
      </xdr:nvCxnSpPr>
      <xdr:spPr>
        <a:xfrm flipH="1">
          <a:off x="2952750" y="2314575"/>
          <a:ext cx="797" cy="419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16</xdr:row>
      <xdr:rowOff>38100</xdr:rowOff>
    </xdr:from>
    <xdr:to>
      <xdr:col>13</xdr:col>
      <xdr:colOff>428626</xdr:colOff>
      <xdr:row>26</xdr:row>
      <xdr:rowOff>9525</xdr:rowOff>
    </xdr:to>
    <xdr:cxnSp macro="">
      <xdr:nvCxnSpPr>
        <xdr:cNvPr id="28" name="直線矢印コネクタ 27">
          <a:extLst>
            <a:ext uri="{FF2B5EF4-FFF2-40B4-BE49-F238E27FC236}">
              <a16:creationId xmlns:a16="http://schemas.microsoft.com/office/drawing/2014/main" id="{00000000-0008-0000-0300-00001C000000}"/>
            </a:ext>
          </a:extLst>
        </xdr:cNvPr>
        <xdr:cNvCxnSpPr/>
      </xdr:nvCxnSpPr>
      <xdr:spPr>
        <a:xfrm>
          <a:off x="6524625" y="3728156"/>
          <a:ext cx="1" cy="21233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xdr:row>
      <xdr:rowOff>114300</xdr:rowOff>
    </xdr:from>
    <xdr:to>
      <xdr:col>17</xdr:col>
      <xdr:colOff>148167</xdr:colOff>
      <xdr:row>27</xdr:row>
      <xdr:rowOff>116416</xdr:rowOff>
    </xdr:to>
    <xdr:cxnSp macro="">
      <xdr:nvCxnSpPr>
        <xdr:cNvPr id="29" name="直線コネクタ 28">
          <a:extLst>
            <a:ext uri="{FF2B5EF4-FFF2-40B4-BE49-F238E27FC236}">
              <a16:creationId xmlns:a16="http://schemas.microsoft.com/office/drawing/2014/main" id="{00000000-0008-0000-0300-00001D000000}"/>
            </a:ext>
          </a:extLst>
        </xdr:cNvPr>
        <xdr:cNvCxnSpPr/>
      </xdr:nvCxnSpPr>
      <xdr:spPr>
        <a:xfrm>
          <a:off x="7934325" y="6057900"/>
          <a:ext cx="386292" cy="21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137583</xdr:colOff>
      <xdr:row>27</xdr:row>
      <xdr:rowOff>127000</xdr:rowOff>
    </xdr:from>
    <xdr:to>
      <xdr:col>17</xdr:col>
      <xdr:colOff>137583</xdr:colOff>
      <xdr:row>39</xdr:row>
      <xdr:rowOff>116417</xdr:rowOff>
    </xdr:to>
    <xdr:cxnSp macro="">
      <xdr:nvCxnSpPr>
        <xdr:cNvPr id="30" name="直線矢印コネクタ 29">
          <a:extLst>
            <a:ext uri="{FF2B5EF4-FFF2-40B4-BE49-F238E27FC236}">
              <a16:creationId xmlns:a16="http://schemas.microsoft.com/office/drawing/2014/main" id="{00000000-0008-0000-0300-00001E000000}"/>
            </a:ext>
          </a:extLst>
        </xdr:cNvPr>
        <xdr:cNvCxnSpPr/>
      </xdr:nvCxnSpPr>
      <xdr:spPr>
        <a:xfrm>
          <a:off x="8310033" y="6070600"/>
          <a:ext cx="0" cy="259926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39</xdr:row>
      <xdr:rowOff>104775</xdr:rowOff>
    </xdr:from>
    <xdr:to>
      <xdr:col>17</xdr:col>
      <xdr:colOff>137583</xdr:colOff>
      <xdr:row>39</xdr:row>
      <xdr:rowOff>105834</xdr:rowOff>
    </xdr:to>
    <xdr:cxnSp macro="">
      <xdr:nvCxnSpPr>
        <xdr:cNvPr id="31" name="直線コネクタ 30">
          <a:extLst>
            <a:ext uri="{FF2B5EF4-FFF2-40B4-BE49-F238E27FC236}">
              <a16:creationId xmlns:a16="http://schemas.microsoft.com/office/drawing/2014/main" id="{00000000-0008-0000-0300-00001F000000}"/>
            </a:ext>
          </a:extLst>
        </xdr:cNvPr>
        <xdr:cNvCxnSpPr/>
      </xdr:nvCxnSpPr>
      <xdr:spPr>
        <a:xfrm>
          <a:off x="2962275" y="8658225"/>
          <a:ext cx="5347758" cy="1059"/>
        </a:xfrm>
        <a:prstGeom prst="line">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10</xdr:row>
      <xdr:rowOff>142875</xdr:rowOff>
    </xdr:from>
    <xdr:to>
      <xdr:col>18</xdr:col>
      <xdr:colOff>409575</xdr:colOff>
      <xdr:row>10</xdr:row>
      <xdr:rowOff>142875</xdr:rowOff>
    </xdr:to>
    <xdr:cxnSp macro="">
      <xdr:nvCxnSpPr>
        <xdr:cNvPr id="32" name="直線コネクタ 31">
          <a:extLst>
            <a:ext uri="{FF2B5EF4-FFF2-40B4-BE49-F238E27FC236}">
              <a16:creationId xmlns:a16="http://schemas.microsoft.com/office/drawing/2014/main" id="{00000000-0008-0000-0300-000020000000}"/>
            </a:ext>
          </a:extLst>
        </xdr:cNvPr>
        <xdr:cNvCxnSpPr/>
      </xdr:nvCxnSpPr>
      <xdr:spPr>
        <a:xfrm>
          <a:off x="2962275" y="2457450"/>
          <a:ext cx="58578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177800</xdr:colOff>
      <xdr:row>37</xdr:row>
      <xdr:rowOff>205316</xdr:rowOff>
    </xdr:from>
    <xdr:to>
      <xdr:col>18</xdr:col>
      <xdr:colOff>410633</xdr:colOff>
      <xdr:row>37</xdr:row>
      <xdr:rowOff>205316</xdr:rowOff>
    </xdr:to>
    <xdr:cxnSp macro="">
      <xdr:nvCxnSpPr>
        <xdr:cNvPr id="33" name="直線コネクタ 32">
          <a:extLst>
            <a:ext uri="{FF2B5EF4-FFF2-40B4-BE49-F238E27FC236}">
              <a16:creationId xmlns:a16="http://schemas.microsoft.com/office/drawing/2014/main" id="{00000000-0008-0000-0300-000021000000}"/>
            </a:ext>
          </a:extLst>
        </xdr:cNvPr>
        <xdr:cNvCxnSpPr/>
      </xdr:nvCxnSpPr>
      <xdr:spPr>
        <a:xfrm>
          <a:off x="7658100" y="8314266"/>
          <a:ext cx="448733"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171450</xdr:colOff>
      <xdr:row>19</xdr:row>
      <xdr:rowOff>19050</xdr:rowOff>
    </xdr:from>
    <xdr:to>
      <xdr:col>30</xdr:col>
      <xdr:colOff>180975</xdr:colOff>
      <xdr:row>19</xdr:row>
      <xdr:rowOff>19050</xdr:rowOff>
    </xdr:to>
    <xdr:cxnSp macro="">
      <xdr:nvCxnSpPr>
        <xdr:cNvPr id="34" name="直線コネクタ 33">
          <a:extLst>
            <a:ext uri="{FF2B5EF4-FFF2-40B4-BE49-F238E27FC236}">
              <a16:creationId xmlns:a16="http://schemas.microsoft.com/office/drawing/2014/main" id="{00000000-0008-0000-0300-000022000000}"/>
            </a:ext>
          </a:extLst>
        </xdr:cNvPr>
        <xdr:cNvCxnSpPr/>
      </xdr:nvCxnSpPr>
      <xdr:spPr>
        <a:xfrm>
          <a:off x="12344400" y="4257675"/>
          <a:ext cx="2857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180975</xdr:colOff>
      <xdr:row>19</xdr:row>
      <xdr:rowOff>29368</xdr:rowOff>
    </xdr:from>
    <xdr:to>
      <xdr:col>30</xdr:col>
      <xdr:colOff>181770</xdr:colOff>
      <xdr:row>19</xdr:row>
      <xdr:rowOff>209368</xdr:rowOff>
    </xdr:to>
    <xdr:cxnSp macro="">
      <xdr:nvCxnSpPr>
        <xdr:cNvPr id="35" name="直線矢印コネクタ 34">
          <a:extLst>
            <a:ext uri="{FF2B5EF4-FFF2-40B4-BE49-F238E27FC236}">
              <a16:creationId xmlns:a16="http://schemas.microsoft.com/office/drawing/2014/main" id="{00000000-0008-0000-0300-000023000000}"/>
            </a:ext>
          </a:extLst>
        </xdr:cNvPr>
        <xdr:cNvCxnSpPr/>
      </xdr:nvCxnSpPr>
      <xdr:spPr>
        <a:xfrm flipH="1">
          <a:off x="15201900" y="4267993"/>
          <a:ext cx="795" cy="18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24</xdr:row>
      <xdr:rowOff>9525</xdr:rowOff>
    </xdr:from>
    <xdr:to>
      <xdr:col>26</xdr:col>
      <xdr:colOff>9526</xdr:colOff>
      <xdr:row>26</xdr:row>
      <xdr:rowOff>12900</xdr:rowOff>
    </xdr:to>
    <xdr:cxnSp macro="">
      <xdr:nvCxnSpPr>
        <xdr:cNvPr id="36" name="直線矢印コネクタ 35">
          <a:extLst>
            <a:ext uri="{FF2B5EF4-FFF2-40B4-BE49-F238E27FC236}">
              <a16:creationId xmlns:a16="http://schemas.microsoft.com/office/drawing/2014/main" id="{00000000-0008-0000-0300-000024000000}"/>
            </a:ext>
          </a:extLst>
        </xdr:cNvPr>
        <xdr:cNvCxnSpPr/>
      </xdr:nvCxnSpPr>
      <xdr:spPr>
        <a:xfrm flipH="1">
          <a:off x="13068300" y="5314950"/>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29</xdr:row>
      <xdr:rowOff>1</xdr:rowOff>
    </xdr:from>
    <xdr:to>
      <xdr:col>26</xdr:col>
      <xdr:colOff>1587</xdr:colOff>
      <xdr:row>31</xdr:row>
      <xdr:rowOff>3376</xdr:rowOff>
    </xdr:to>
    <xdr:cxnSp macro="">
      <xdr:nvCxnSpPr>
        <xdr:cNvPr id="37" name="直線矢印コネクタ 36">
          <a:extLst>
            <a:ext uri="{FF2B5EF4-FFF2-40B4-BE49-F238E27FC236}">
              <a16:creationId xmlns:a16="http://schemas.microsoft.com/office/drawing/2014/main" id="{00000000-0008-0000-0300-000025000000}"/>
            </a:ext>
          </a:extLst>
        </xdr:cNvPr>
        <xdr:cNvCxnSpPr/>
      </xdr:nvCxnSpPr>
      <xdr:spPr>
        <a:xfrm rot="5400000">
          <a:off x="12843568" y="65874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428625</xdr:colOff>
      <xdr:row>35</xdr:row>
      <xdr:rowOff>794</xdr:rowOff>
    </xdr:from>
    <xdr:to>
      <xdr:col>34</xdr:col>
      <xdr:colOff>429420</xdr:colOff>
      <xdr:row>36</xdr:row>
      <xdr:rowOff>9525</xdr:rowOff>
    </xdr:to>
    <xdr:cxnSp macro="">
      <xdr:nvCxnSpPr>
        <xdr:cNvPr id="38" name="直線矢印コネクタ 37">
          <a:extLst>
            <a:ext uri="{FF2B5EF4-FFF2-40B4-BE49-F238E27FC236}">
              <a16:creationId xmlns:a16="http://schemas.microsoft.com/office/drawing/2014/main" id="{00000000-0008-0000-0300-000026000000}"/>
            </a:ext>
          </a:extLst>
        </xdr:cNvPr>
        <xdr:cNvCxnSpPr/>
      </xdr:nvCxnSpPr>
      <xdr:spPr>
        <a:xfrm flipH="1">
          <a:off x="16764000" y="7649369"/>
          <a:ext cx="795" cy="227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17</xdr:row>
      <xdr:rowOff>9525</xdr:rowOff>
    </xdr:from>
    <xdr:to>
      <xdr:col>26</xdr:col>
      <xdr:colOff>0</xdr:colOff>
      <xdr:row>19</xdr:row>
      <xdr:rowOff>22425</xdr:rowOff>
    </xdr:to>
    <xdr:cxnSp macro="">
      <xdr:nvCxnSpPr>
        <xdr:cNvPr id="39" name="直線矢印コネクタ 38">
          <a:extLst>
            <a:ext uri="{FF2B5EF4-FFF2-40B4-BE49-F238E27FC236}">
              <a16:creationId xmlns:a16="http://schemas.microsoft.com/office/drawing/2014/main" id="{00000000-0008-0000-0300-000027000000}"/>
            </a:ext>
          </a:extLst>
        </xdr:cNvPr>
        <xdr:cNvCxnSpPr/>
      </xdr:nvCxnSpPr>
      <xdr:spPr>
        <a:xfrm>
          <a:off x="13058775" y="3819525"/>
          <a:ext cx="0" cy="44152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9525</xdr:colOff>
      <xdr:row>35</xdr:row>
      <xdr:rowOff>0</xdr:rowOff>
    </xdr:from>
    <xdr:to>
      <xdr:col>34</xdr:col>
      <xdr:colOff>428625</xdr:colOff>
      <xdr:row>35</xdr:row>
      <xdr:rowOff>0</xdr:rowOff>
    </xdr:to>
    <xdr:cxnSp macro="">
      <xdr:nvCxnSpPr>
        <xdr:cNvPr id="40" name="直線コネクタ 39">
          <a:extLst>
            <a:ext uri="{FF2B5EF4-FFF2-40B4-BE49-F238E27FC236}">
              <a16:creationId xmlns:a16="http://schemas.microsoft.com/office/drawing/2014/main" id="{00000000-0008-0000-0300-000028000000}"/>
            </a:ext>
          </a:extLst>
        </xdr:cNvPr>
        <xdr:cNvCxnSpPr/>
      </xdr:nvCxnSpPr>
      <xdr:spPr>
        <a:xfrm>
          <a:off x="15030450" y="764857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180975</xdr:colOff>
      <xdr:row>19</xdr:row>
      <xdr:rowOff>29368</xdr:rowOff>
    </xdr:from>
    <xdr:to>
      <xdr:col>25</xdr:col>
      <xdr:colOff>181770</xdr:colOff>
      <xdr:row>19</xdr:row>
      <xdr:rowOff>209368</xdr:rowOff>
    </xdr:to>
    <xdr:cxnSp macro="">
      <xdr:nvCxnSpPr>
        <xdr:cNvPr id="41" name="直線矢印コネクタ 40">
          <a:extLst>
            <a:ext uri="{FF2B5EF4-FFF2-40B4-BE49-F238E27FC236}">
              <a16:creationId xmlns:a16="http://schemas.microsoft.com/office/drawing/2014/main" id="{00000000-0008-0000-0300-000029000000}"/>
            </a:ext>
          </a:extLst>
        </xdr:cNvPr>
        <xdr:cNvCxnSpPr/>
      </xdr:nvCxnSpPr>
      <xdr:spPr>
        <a:xfrm flipH="1">
          <a:off x="12353925" y="4267993"/>
          <a:ext cx="795" cy="18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34</xdr:row>
      <xdr:rowOff>0</xdr:rowOff>
    </xdr:from>
    <xdr:to>
      <xdr:col>26</xdr:col>
      <xdr:colOff>1</xdr:colOff>
      <xdr:row>36</xdr:row>
      <xdr:rowOff>3375</xdr:rowOff>
    </xdr:to>
    <xdr:cxnSp macro="">
      <xdr:nvCxnSpPr>
        <xdr:cNvPr id="42" name="直線矢印コネクタ 41">
          <a:extLst>
            <a:ext uri="{FF2B5EF4-FFF2-40B4-BE49-F238E27FC236}">
              <a16:creationId xmlns:a16="http://schemas.microsoft.com/office/drawing/2014/main" id="{00000000-0008-0000-0300-00002A000000}"/>
            </a:ext>
          </a:extLst>
        </xdr:cNvPr>
        <xdr:cNvCxnSpPr/>
      </xdr:nvCxnSpPr>
      <xdr:spPr>
        <a:xfrm>
          <a:off x="13058775" y="7439025"/>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39</xdr:row>
      <xdr:rowOff>1</xdr:rowOff>
    </xdr:from>
    <xdr:to>
      <xdr:col>26</xdr:col>
      <xdr:colOff>1587</xdr:colOff>
      <xdr:row>41</xdr:row>
      <xdr:rowOff>3376</xdr:rowOff>
    </xdr:to>
    <xdr:cxnSp macro="">
      <xdr:nvCxnSpPr>
        <xdr:cNvPr id="43" name="直線矢印コネクタ 42">
          <a:extLst>
            <a:ext uri="{FF2B5EF4-FFF2-40B4-BE49-F238E27FC236}">
              <a16:creationId xmlns:a16="http://schemas.microsoft.com/office/drawing/2014/main" id="{00000000-0008-0000-0300-00002B000000}"/>
            </a:ext>
          </a:extLst>
        </xdr:cNvPr>
        <xdr:cNvCxnSpPr/>
      </xdr:nvCxnSpPr>
      <xdr:spPr>
        <a:xfrm rot="5400000">
          <a:off x="12843568" y="87686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44</xdr:row>
      <xdr:rowOff>1</xdr:rowOff>
    </xdr:from>
    <xdr:to>
      <xdr:col>26</xdr:col>
      <xdr:colOff>1587</xdr:colOff>
      <xdr:row>46</xdr:row>
      <xdr:rowOff>3376</xdr:rowOff>
    </xdr:to>
    <xdr:cxnSp macro="">
      <xdr:nvCxnSpPr>
        <xdr:cNvPr id="44" name="直線矢印コネクタ 43">
          <a:extLst>
            <a:ext uri="{FF2B5EF4-FFF2-40B4-BE49-F238E27FC236}">
              <a16:creationId xmlns:a16="http://schemas.microsoft.com/office/drawing/2014/main" id="{00000000-0008-0000-0300-00002C000000}"/>
            </a:ext>
          </a:extLst>
        </xdr:cNvPr>
        <xdr:cNvCxnSpPr/>
      </xdr:nvCxnSpPr>
      <xdr:spPr>
        <a:xfrm rot="5400000">
          <a:off x="12843568" y="98354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49</xdr:row>
      <xdr:rowOff>1</xdr:rowOff>
    </xdr:from>
    <xdr:to>
      <xdr:col>26</xdr:col>
      <xdr:colOff>1587</xdr:colOff>
      <xdr:row>51</xdr:row>
      <xdr:rowOff>3376</xdr:rowOff>
    </xdr:to>
    <xdr:cxnSp macro="">
      <xdr:nvCxnSpPr>
        <xdr:cNvPr id="45" name="直線矢印コネクタ 44">
          <a:extLst>
            <a:ext uri="{FF2B5EF4-FFF2-40B4-BE49-F238E27FC236}">
              <a16:creationId xmlns:a16="http://schemas.microsoft.com/office/drawing/2014/main" id="{00000000-0008-0000-0300-00002D000000}"/>
            </a:ext>
          </a:extLst>
        </xdr:cNvPr>
        <xdr:cNvCxnSpPr/>
      </xdr:nvCxnSpPr>
      <xdr:spPr>
        <a:xfrm rot="5400000">
          <a:off x="12843568" y="109022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34</xdr:row>
      <xdr:rowOff>0</xdr:rowOff>
    </xdr:from>
    <xdr:to>
      <xdr:col>30</xdr:col>
      <xdr:colOff>4</xdr:colOff>
      <xdr:row>35</xdr:row>
      <xdr:rowOff>9525</xdr:rowOff>
    </xdr:to>
    <xdr:cxnSp macro="">
      <xdr:nvCxnSpPr>
        <xdr:cNvPr id="46" name="直線矢印コネクタ 45">
          <a:extLst>
            <a:ext uri="{FF2B5EF4-FFF2-40B4-BE49-F238E27FC236}">
              <a16:creationId xmlns:a16="http://schemas.microsoft.com/office/drawing/2014/main" id="{00000000-0008-0000-0300-00002E000000}"/>
            </a:ext>
          </a:extLst>
        </xdr:cNvPr>
        <xdr:cNvCxnSpPr/>
      </xdr:nvCxnSpPr>
      <xdr:spPr>
        <a:xfrm flipH="1">
          <a:off x="15020925" y="7439025"/>
          <a:ext cx="4" cy="21907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54</xdr:row>
      <xdr:rowOff>1</xdr:rowOff>
    </xdr:from>
    <xdr:to>
      <xdr:col>26</xdr:col>
      <xdr:colOff>1587</xdr:colOff>
      <xdr:row>56</xdr:row>
      <xdr:rowOff>3376</xdr:rowOff>
    </xdr:to>
    <xdr:cxnSp macro="">
      <xdr:nvCxnSpPr>
        <xdr:cNvPr id="47" name="直線矢印コネクタ 46">
          <a:extLst>
            <a:ext uri="{FF2B5EF4-FFF2-40B4-BE49-F238E27FC236}">
              <a16:creationId xmlns:a16="http://schemas.microsoft.com/office/drawing/2014/main" id="{00000000-0008-0000-0300-00002F000000}"/>
            </a:ext>
          </a:extLst>
        </xdr:cNvPr>
        <xdr:cNvCxnSpPr/>
      </xdr:nvCxnSpPr>
      <xdr:spPr>
        <a:xfrm rot="5400000">
          <a:off x="12843568" y="119690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428625</xdr:colOff>
      <xdr:row>60</xdr:row>
      <xdr:rowOff>794</xdr:rowOff>
    </xdr:from>
    <xdr:to>
      <xdr:col>34</xdr:col>
      <xdr:colOff>429420</xdr:colOff>
      <xdr:row>61</xdr:row>
      <xdr:rowOff>9525</xdr:rowOff>
    </xdr:to>
    <xdr:cxnSp macro="">
      <xdr:nvCxnSpPr>
        <xdr:cNvPr id="48" name="直線矢印コネクタ 47">
          <a:extLst>
            <a:ext uri="{FF2B5EF4-FFF2-40B4-BE49-F238E27FC236}">
              <a16:creationId xmlns:a16="http://schemas.microsoft.com/office/drawing/2014/main" id="{00000000-0008-0000-0300-000030000000}"/>
            </a:ext>
          </a:extLst>
        </xdr:cNvPr>
        <xdr:cNvCxnSpPr/>
      </xdr:nvCxnSpPr>
      <xdr:spPr>
        <a:xfrm flipH="1">
          <a:off x="16764000" y="13030994"/>
          <a:ext cx="795" cy="227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9525</xdr:colOff>
      <xdr:row>60</xdr:row>
      <xdr:rowOff>9525</xdr:rowOff>
    </xdr:from>
    <xdr:to>
      <xdr:col>34</xdr:col>
      <xdr:colOff>428625</xdr:colOff>
      <xdr:row>60</xdr:row>
      <xdr:rowOff>9525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15030450" y="130397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59</xdr:row>
      <xdr:rowOff>0</xdr:rowOff>
    </xdr:from>
    <xdr:to>
      <xdr:col>30</xdr:col>
      <xdr:colOff>0</xdr:colOff>
      <xdr:row>60</xdr:row>
      <xdr:rowOff>19050</xdr:rowOff>
    </xdr:to>
    <xdr:cxnSp macro="">
      <xdr:nvCxnSpPr>
        <xdr:cNvPr id="50" name="直線矢印コネクタ 49">
          <a:extLst>
            <a:ext uri="{FF2B5EF4-FFF2-40B4-BE49-F238E27FC236}">
              <a16:creationId xmlns:a16="http://schemas.microsoft.com/office/drawing/2014/main" id="{00000000-0008-0000-0300-000032000000}"/>
            </a:ext>
          </a:extLst>
        </xdr:cNvPr>
        <xdr:cNvCxnSpPr/>
      </xdr:nvCxnSpPr>
      <xdr:spPr>
        <a:xfrm>
          <a:off x="15020925" y="12820650"/>
          <a:ext cx="0" cy="2286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409575</xdr:colOff>
      <xdr:row>10</xdr:row>
      <xdr:rowOff>133350</xdr:rowOff>
    </xdr:from>
    <xdr:to>
      <xdr:col>39</xdr:col>
      <xdr:colOff>428625</xdr:colOff>
      <xdr:row>66</xdr:row>
      <xdr:rowOff>9525</xdr:rowOff>
    </xdr:to>
    <xdr:cxnSp macro="">
      <xdr:nvCxnSpPr>
        <xdr:cNvPr id="51" name="直線矢印コネクタ 50">
          <a:extLst>
            <a:ext uri="{FF2B5EF4-FFF2-40B4-BE49-F238E27FC236}">
              <a16:creationId xmlns:a16="http://schemas.microsoft.com/office/drawing/2014/main" id="{00000000-0008-0000-0300-000033000000}"/>
            </a:ext>
          </a:extLst>
        </xdr:cNvPr>
        <xdr:cNvCxnSpPr/>
      </xdr:nvCxnSpPr>
      <xdr:spPr>
        <a:xfrm>
          <a:off x="18926175" y="2447925"/>
          <a:ext cx="19050" cy="11877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228600</xdr:colOff>
      <xdr:row>16</xdr:row>
      <xdr:rowOff>28575</xdr:rowOff>
    </xdr:from>
    <xdr:to>
      <xdr:col>34</xdr:col>
      <xdr:colOff>438150</xdr:colOff>
      <xdr:row>16</xdr:row>
      <xdr:rowOff>28575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15830550" y="3619500"/>
          <a:ext cx="942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37</xdr:row>
      <xdr:rowOff>201083</xdr:rowOff>
    </xdr:from>
    <xdr:to>
      <xdr:col>38</xdr:col>
      <xdr:colOff>84667</xdr:colOff>
      <xdr:row>37</xdr:row>
      <xdr:rowOff>201084</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18040350" y="8278283"/>
          <a:ext cx="32279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64</xdr:row>
      <xdr:rowOff>9525</xdr:rowOff>
    </xdr:from>
    <xdr:to>
      <xdr:col>34</xdr:col>
      <xdr:colOff>447679</xdr:colOff>
      <xdr:row>65</xdr:row>
      <xdr:rowOff>9525</xdr:rowOff>
    </xdr:to>
    <xdr:cxnSp macro="">
      <xdr:nvCxnSpPr>
        <xdr:cNvPr id="54" name="直線矢印コネクタ 53">
          <a:extLst>
            <a:ext uri="{FF2B5EF4-FFF2-40B4-BE49-F238E27FC236}">
              <a16:creationId xmlns:a16="http://schemas.microsoft.com/office/drawing/2014/main" id="{00000000-0008-0000-0300-000036000000}"/>
            </a:ext>
          </a:extLst>
        </xdr:cNvPr>
        <xdr:cNvCxnSpPr/>
      </xdr:nvCxnSpPr>
      <xdr:spPr>
        <a:xfrm flipH="1">
          <a:off x="16783050" y="13896975"/>
          <a:ext cx="4" cy="2095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65</xdr:row>
      <xdr:rowOff>9525</xdr:rowOff>
    </xdr:from>
    <xdr:to>
      <xdr:col>39</xdr:col>
      <xdr:colOff>438150</xdr:colOff>
      <xdr:row>65</xdr:row>
      <xdr:rowOff>9525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16783050" y="14106525"/>
          <a:ext cx="21717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449263</xdr:colOff>
      <xdr:row>69</xdr:row>
      <xdr:rowOff>0</xdr:rowOff>
    </xdr:from>
    <xdr:to>
      <xdr:col>39</xdr:col>
      <xdr:colOff>457200</xdr:colOff>
      <xdr:row>70</xdr:row>
      <xdr:rowOff>209550</xdr:rowOff>
    </xdr:to>
    <xdr:cxnSp macro="">
      <xdr:nvCxnSpPr>
        <xdr:cNvPr id="56" name="直線矢印コネクタ 55">
          <a:extLst>
            <a:ext uri="{FF2B5EF4-FFF2-40B4-BE49-F238E27FC236}">
              <a16:creationId xmlns:a16="http://schemas.microsoft.com/office/drawing/2014/main" id="{00000000-0008-0000-0300-000038000000}"/>
            </a:ext>
          </a:extLst>
        </xdr:cNvPr>
        <xdr:cNvCxnSpPr/>
      </xdr:nvCxnSpPr>
      <xdr:spPr>
        <a:xfrm>
          <a:off x="18965863" y="14954250"/>
          <a:ext cx="7937" cy="4191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67</xdr:row>
      <xdr:rowOff>104775</xdr:rowOff>
    </xdr:from>
    <xdr:to>
      <xdr:col>37</xdr:col>
      <xdr:colOff>228600</xdr:colOff>
      <xdr:row>67</xdr:row>
      <xdr:rowOff>104775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16783050" y="146304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438150</xdr:colOff>
      <xdr:row>67</xdr:row>
      <xdr:rowOff>95250</xdr:rowOff>
    </xdr:from>
    <xdr:to>
      <xdr:col>34</xdr:col>
      <xdr:colOff>447675</xdr:colOff>
      <xdr:row>71</xdr:row>
      <xdr:rowOff>0</xdr:rowOff>
    </xdr:to>
    <xdr:cxnSp macro="">
      <xdr:nvCxnSpPr>
        <xdr:cNvPr id="58" name="直線矢印コネクタ 57">
          <a:extLst>
            <a:ext uri="{FF2B5EF4-FFF2-40B4-BE49-F238E27FC236}">
              <a16:creationId xmlns:a16="http://schemas.microsoft.com/office/drawing/2014/main" id="{00000000-0008-0000-0300-00003A000000}"/>
            </a:ext>
          </a:extLst>
        </xdr:cNvPr>
        <xdr:cNvCxnSpPr/>
      </xdr:nvCxnSpPr>
      <xdr:spPr>
        <a:xfrm>
          <a:off x="16773525" y="14620875"/>
          <a:ext cx="9525" cy="76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10</xdr:row>
      <xdr:rowOff>0</xdr:rowOff>
    </xdr:from>
    <xdr:to>
      <xdr:col>26</xdr:col>
      <xdr:colOff>797</xdr:colOff>
      <xdr:row>11</xdr:row>
      <xdr:rowOff>209550</xdr:rowOff>
    </xdr:to>
    <xdr:cxnSp macro="">
      <xdr:nvCxnSpPr>
        <xdr:cNvPr id="59" name="直線矢印コネクタ 58">
          <a:extLst>
            <a:ext uri="{FF2B5EF4-FFF2-40B4-BE49-F238E27FC236}">
              <a16:creationId xmlns:a16="http://schemas.microsoft.com/office/drawing/2014/main" id="{00000000-0008-0000-0300-00003B000000}"/>
            </a:ext>
          </a:extLst>
        </xdr:cNvPr>
        <xdr:cNvCxnSpPr/>
      </xdr:nvCxnSpPr>
      <xdr:spPr>
        <a:xfrm flipH="1">
          <a:off x="13058775" y="2314575"/>
          <a:ext cx="797" cy="419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428625</xdr:colOff>
      <xdr:row>16</xdr:row>
      <xdr:rowOff>38100</xdr:rowOff>
    </xdr:from>
    <xdr:to>
      <xdr:col>34</xdr:col>
      <xdr:colOff>428626</xdr:colOff>
      <xdr:row>26</xdr:row>
      <xdr:rowOff>9525</xdr:rowOff>
    </xdr:to>
    <xdr:cxnSp macro="">
      <xdr:nvCxnSpPr>
        <xdr:cNvPr id="60" name="直線矢印コネクタ 59">
          <a:extLst>
            <a:ext uri="{FF2B5EF4-FFF2-40B4-BE49-F238E27FC236}">
              <a16:creationId xmlns:a16="http://schemas.microsoft.com/office/drawing/2014/main" id="{00000000-0008-0000-0300-00003C000000}"/>
            </a:ext>
          </a:extLst>
        </xdr:cNvPr>
        <xdr:cNvCxnSpPr/>
      </xdr:nvCxnSpPr>
      <xdr:spPr>
        <a:xfrm>
          <a:off x="16764000" y="3629025"/>
          <a:ext cx="1" cy="2114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27</xdr:row>
      <xdr:rowOff>114300</xdr:rowOff>
    </xdr:from>
    <xdr:to>
      <xdr:col>38</xdr:col>
      <xdr:colOff>148167</xdr:colOff>
      <xdr:row>27</xdr:row>
      <xdr:rowOff>116416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18040350" y="6057900"/>
          <a:ext cx="386292" cy="21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137583</xdr:colOff>
      <xdr:row>27</xdr:row>
      <xdr:rowOff>127000</xdr:rowOff>
    </xdr:from>
    <xdr:to>
      <xdr:col>38</xdr:col>
      <xdr:colOff>137583</xdr:colOff>
      <xdr:row>39</xdr:row>
      <xdr:rowOff>116417</xdr:rowOff>
    </xdr:to>
    <xdr:cxnSp macro="">
      <xdr:nvCxnSpPr>
        <xdr:cNvPr id="62" name="直線矢印コネクタ 61">
          <a:extLst>
            <a:ext uri="{FF2B5EF4-FFF2-40B4-BE49-F238E27FC236}">
              <a16:creationId xmlns:a16="http://schemas.microsoft.com/office/drawing/2014/main" id="{00000000-0008-0000-0300-00003E000000}"/>
            </a:ext>
          </a:extLst>
        </xdr:cNvPr>
        <xdr:cNvCxnSpPr/>
      </xdr:nvCxnSpPr>
      <xdr:spPr>
        <a:xfrm>
          <a:off x="18416058" y="6070600"/>
          <a:ext cx="0" cy="259926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39</xdr:row>
      <xdr:rowOff>104775</xdr:rowOff>
    </xdr:from>
    <xdr:to>
      <xdr:col>38</xdr:col>
      <xdr:colOff>137583</xdr:colOff>
      <xdr:row>39</xdr:row>
      <xdr:rowOff>105834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13068300" y="8658225"/>
          <a:ext cx="5347758" cy="1059"/>
        </a:xfrm>
        <a:prstGeom prst="line">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10</xdr:row>
      <xdr:rowOff>142875</xdr:rowOff>
    </xdr:from>
    <xdr:to>
      <xdr:col>39</xdr:col>
      <xdr:colOff>409575</xdr:colOff>
      <xdr:row>10</xdr:row>
      <xdr:rowOff>142875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13068300" y="2457450"/>
          <a:ext cx="58578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184150</xdr:colOff>
      <xdr:row>37</xdr:row>
      <xdr:rowOff>192616</xdr:rowOff>
    </xdr:from>
    <xdr:to>
      <xdr:col>39</xdr:col>
      <xdr:colOff>416983</xdr:colOff>
      <xdr:row>37</xdr:row>
      <xdr:rowOff>192616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16916400" y="8301566"/>
          <a:ext cx="448733"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180975</xdr:colOff>
      <xdr:row>17</xdr:row>
      <xdr:rowOff>19050</xdr:rowOff>
    </xdr:from>
    <xdr:to>
      <xdr:col>51</xdr:col>
      <xdr:colOff>190500</xdr:colOff>
      <xdr:row>17</xdr:row>
      <xdr:rowOff>19050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22459950" y="3829050"/>
          <a:ext cx="2857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51</xdr:col>
      <xdr:colOff>180975</xdr:colOff>
      <xdr:row>17</xdr:row>
      <xdr:rowOff>19843</xdr:rowOff>
    </xdr:from>
    <xdr:to>
      <xdr:col>51</xdr:col>
      <xdr:colOff>181770</xdr:colOff>
      <xdr:row>18</xdr:row>
      <xdr:rowOff>16768</xdr:rowOff>
    </xdr:to>
    <xdr:cxnSp macro="">
      <xdr:nvCxnSpPr>
        <xdr:cNvPr id="67" name="直線矢印コネクタ 66">
          <a:extLst>
            <a:ext uri="{FF2B5EF4-FFF2-40B4-BE49-F238E27FC236}">
              <a16:creationId xmlns:a16="http://schemas.microsoft.com/office/drawing/2014/main" id="{00000000-0008-0000-0300-000043000000}"/>
            </a:ext>
          </a:extLst>
        </xdr:cNvPr>
        <xdr:cNvCxnSpPr/>
      </xdr:nvCxnSpPr>
      <xdr:spPr>
        <a:xfrm flipH="1">
          <a:off x="25307925" y="3829843"/>
          <a:ext cx="795" cy="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27</xdr:row>
      <xdr:rowOff>1</xdr:rowOff>
    </xdr:from>
    <xdr:to>
      <xdr:col>47</xdr:col>
      <xdr:colOff>1587</xdr:colOff>
      <xdr:row>29</xdr:row>
      <xdr:rowOff>3376</xdr:rowOff>
    </xdr:to>
    <xdr:cxnSp macro="">
      <xdr:nvCxnSpPr>
        <xdr:cNvPr id="68" name="直線矢印コネクタ 67">
          <a:extLst>
            <a:ext uri="{FF2B5EF4-FFF2-40B4-BE49-F238E27FC236}">
              <a16:creationId xmlns:a16="http://schemas.microsoft.com/office/drawing/2014/main" id="{00000000-0008-0000-0300-000044000000}"/>
            </a:ext>
          </a:extLst>
        </xdr:cNvPr>
        <xdr:cNvCxnSpPr/>
      </xdr:nvCxnSpPr>
      <xdr:spPr>
        <a:xfrm rot="5400000">
          <a:off x="22949593" y="615880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687917</xdr:colOff>
      <xdr:row>33</xdr:row>
      <xdr:rowOff>201083</xdr:rowOff>
    </xdr:from>
    <xdr:to>
      <xdr:col>55</xdr:col>
      <xdr:colOff>693211</xdr:colOff>
      <xdr:row>35</xdr:row>
      <xdr:rowOff>221192</xdr:rowOff>
    </xdr:to>
    <xdr:cxnSp macro="">
      <xdr:nvCxnSpPr>
        <xdr:cNvPr id="69" name="直線矢印コネクタ 68">
          <a:extLst>
            <a:ext uri="{FF2B5EF4-FFF2-40B4-BE49-F238E27FC236}">
              <a16:creationId xmlns:a16="http://schemas.microsoft.com/office/drawing/2014/main" id="{00000000-0008-0000-0300-000045000000}"/>
            </a:ext>
          </a:extLst>
        </xdr:cNvPr>
        <xdr:cNvCxnSpPr/>
      </xdr:nvCxnSpPr>
      <xdr:spPr>
        <a:xfrm>
          <a:off x="27129317" y="7421033"/>
          <a:ext cx="5294" cy="4487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0</xdr:colOff>
      <xdr:row>15</xdr:row>
      <xdr:rowOff>9525</xdr:rowOff>
    </xdr:from>
    <xdr:to>
      <xdr:col>47</xdr:col>
      <xdr:colOff>0</xdr:colOff>
      <xdr:row>17</xdr:row>
      <xdr:rowOff>12900</xdr:rowOff>
    </xdr:to>
    <xdr:cxnSp macro="">
      <xdr:nvCxnSpPr>
        <xdr:cNvPr id="70" name="直線矢印コネクタ 69">
          <a:extLst>
            <a:ext uri="{FF2B5EF4-FFF2-40B4-BE49-F238E27FC236}">
              <a16:creationId xmlns:a16="http://schemas.microsoft.com/office/drawing/2014/main" id="{00000000-0008-0000-0300-000046000000}"/>
            </a:ext>
          </a:extLst>
        </xdr:cNvPr>
        <xdr:cNvCxnSpPr/>
      </xdr:nvCxnSpPr>
      <xdr:spPr>
        <a:xfrm>
          <a:off x="23164800" y="3390900"/>
          <a:ext cx="0" cy="432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190500</xdr:colOff>
      <xdr:row>17</xdr:row>
      <xdr:rowOff>10318</xdr:rowOff>
    </xdr:from>
    <xdr:to>
      <xdr:col>46</xdr:col>
      <xdr:colOff>191295</xdr:colOff>
      <xdr:row>18</xdr:row>
      <xdr:rowOff>7243</xdr:rowOff>
    </xdr:to>
    <xdr:cxnSp macro="">
      <xdr:nvCxnSpPr>
        <xdr:cNvPr id="71" name="直線矢印コネクタ 70">
          <a:extLst>
            <a:ext uri="{FF2B5EF4-FFF2-40B4-BE49-F238E27FC236}">
              <a16:creationId xmlns:a16="http://schemas.microsoft.com/office/drawing/2014/main" id="{00000000-0008-0000-0300-000047000000}"/>
            </a:ext>
          </a:extLst>
        </xdr:cNvPr>
        <xdr:cNvCxnSpPr/>
      </xdr:nvCxnSpPr>
      <xdr:spPr>
        <a:xfrm flipH="1">
          <a:off x="22469475" y="3820318"/>
          <a:ext cx="795" cy="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0</xdr:colOff>
      <xdr:row>31</xdr:row>
      <xdr:rowOff>190500</xdr:rowOff>
    </xdr:from>
    <xdr:to>
      <xdr:col>47</xdr:col>
      <xdr:colOff>1</xdr:colOff>
      <xdr:row>35</xdr:row>
      <xdr:rowOff>206775</xdr:rowOff>
    </xdr:to>
    <xdr:cxnSp macro="">
      <xdr:nvCxnSpPr>
        <xdr:cNvPr id="72" name="直線矢印コネクタ 71">
          <a:extLst>
            <a:ext uri="{FF2B5EF4-FFF2-40B4-BE49-F238E27FC236}">
              <a16:creationId xmlns:a16="http://schemas.microsoft.com/office/drawing/2014/main" id="{00000000-0008-0000-0300-000048000000}"/>
            </a:ext>
          </a:extLst>
        </xdr:cNvPr>
        <xdr:cNvCxnSpPr/>
      </xdr:nvCxnSpPr>
      <xdr:spPr>
        <a:xfrm>
          <a:off x="23164800" y="6991350"/>
          <a:ext cx="1" cy="864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39</xdr:row>
      <xdr:rowOff>1</xdr:rowOff>
    </xdr:from>
    <xdr:to>
      <xdr:col>47</xdr:col>
      <xdr:colOff>1587</xdr:colOff>
      <xdr:row>41</xdr:row>
      <xdr:rowOff>3376</xdr:rowOff>
    </xdr:to>
    <xdr:cxnSp macro="">
      <xdr:nvCxnSpPr>
        <xdr:cNvPr id="73" name="直線矢印コネクタ 72">
          <a:extLst>
            <a:ext uri="{FF2B5EF4-FFF2-40B4-BE49-F238E27FC236}">
              <a16:creationId xmlns:a16="http://schemas.microsoft.com/office/drawing/2014/main" id="{00000000-0008-0000-0300-000049000000}"/>
            </a:ext>
          </a:extLst>
        </xdr:cNvPr>
        <xdr:cNvCxnSpPr/>
      </xdr:nvCxnSpPr>
      <xdr:spPr>
        <a:xfrm rot="5400000">
          <a:off x="22949593" y="87686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44</xdr:row>
      <xdr:rowOff>1</xdr:rowOff>
    </xdr:from>
    <xdr:to>
      <xdr:col>47</xdr:col>
      <xdr:colOff>1587</xdr:colOff>
      <xdr:row>46</xdr:row>
      <xdr:rowOff>3376</xdr:rowOff>
    </xdr:to>
    <xdr:cxnSp macro="">
      <xdr:nvCxnSpPr>
        <xdr:cNvPr id="74" name="直線矢印コネクタ 73">
          <a:extLst>
            <a:ext uri="{FF2B5EF4-FFF2-40B4-BE49-F238E27FC236}">
              <a16:creationId xmlns:a16="http://schemas.microsoft.com/office/drawing/2014/main" id="{00000000-0008-0000-0300-00004A000000}"/>
            </a:ext>
          </a:extLst>
        </xdr:cNvPr>
        <xdr:cNvCxnSpPr/>
      </xdr:nvCxnSpPr>
      <xdr:spPr>
        <a:xfrm rot="5400000">
          <a:off x="22949593" y="98354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49</xdr:row>
      <xdr:rowOff>1</xdr:rowOff>
    </xdr:from>
    <xdr:to>
      <xdr:col>47</xdr:col>
      <xdr:colOff>1587</xdr:colOff>
      <xdr:row>51</xdr:row>
      <xdr:rowOff>3376</xdr:rowOff>
    </xdr:to>
    <xdr:cxnSp macro="">
      <xdr:nvCxnSpPr>
        <xdr:cNvPr id="75" name="直線矢印コネクタ 74">
          <a:extLst>
            <a:ext uri="{FF2B5EF4-FFF2-40B4-BE49-F238E27FC236}">
              <a16:creationId xmlns:a16="http://schemas.microsoft.com/office/drawing/2014/main" id="{00000000-0008-0000-0300-00004B000000}"/>
            </a:ext>
          </a:extLst>
        </xdr:cNvPr>
        <xdr:cNvCxnSpPr/>
      </xdr:nvCxnSpPr>
      <xdr:spPr>
        <a:xfrm rot="5400000">
          <a:off x="22949593" y="109022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54</xdr:row>
      <xdr:rowOff>1</xdr:rowOff>
    </xdr:from>
    <xdr:to>
      <xdr:col>47</xdr:col>
      <xdr:colOff>1587</xdr:colOff>
      <xdr:row>56</xdr:row>
      <xdr:rowOff>3376</xdr:rowOff>
    </xdr:to>
    <xdr:cxnSp macro="">
      <xdr:nvCxnSpPr>
        <xdr:cNvPr id="76" name="直線矢印コネクタ 75">
          <a:extLst>
            <a:ext uri="{FF2B5EF4-FFF2-40B4-BE49-F238E27FC236}">
              <a16:creationId xmlns:a16="http://schemas.microsoft.com/office/drawing/2014/main" id="{00000000-0008-0000-0300-00004C000000}"/>
            </a:ext>
          </a:extLst>
        </xdr:cNvPr>
        <xdr:cNvCxnSpPr/>
      </xdr:nvCxnSpPr>
      <xdr:spPr>
        <a:xfrm rot="5400000">
          <a:off x="22949593" y="119690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428625</xdr:colOff>
      <xdr:row>60</xdr:row>
      <xdr:rowOff>794</xdr:rowOff>
    </xdr:from>
    <xdr:to>
      <xdr:col>55</xdr:col>
      <xdr:colOff>429420</xdr:colOff>
      <xdr:row>61</xdr:row>
      <xdr:rowOff>9525</xdr:rowOff>
    </xdr:to>
    <xdr:cxnSp macro="">
      <xdr:nvCxnSpPr>
        <xdr:cNvPr id="77" name="直線矢印コネクタ 76">
          <a:extLst>
            <a:ext uri="{FF2B5EF4-FFF2-40B4-BE49-F238E27FC236}">
              <a16:creationId xmlns:a16="http://schemas.microsoft.com/office/drawing/2014/main" id="{00000000-0008-0000-0300-00004D000000}"/>
            </a:ext>
          </a:extLst>
        </xdr:cNvPr>
        <xdr:cNvCxnSpPr/>
      </xdr:nvCxnSpPr>
      <xdr:spPr>
        <a:xfrm flipH="1">
          <a:off x="26870025" y="13030994"/>
          <a:ext cx="795" cy="227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51</xdr:col>
      <xdr:colOff>9525</xdr:colOff>
      <xdr:row>60</xdr:row>
      <xdr:rowOff>9525</xdr:rowOff>
    </xdr:from>
    <xdr:to>
      <xdr:col>55</xdr:col>
      <xdr:colOff>428625</xdr:colOff>
      <xdr:row>60</xdr:row>
      <xdr:rowOff>9525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5136475" y="130397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51</xdr:col>
      <xdr:colOff>0</xdr:colOff>
      <xdr:row>59</xdr:row>
      <xdr:rowOff>0</xdr:rowOff>
    </xdr:from>
    <xdr:to>
      <xdr:col>51</xdr:col>
      <xdr:colOff>0</xdr:colOff>
      <xdr:row>60</xdr:row>
      <xdr:rowOff>19050</xdr:rowOff>
    </xdr:to>
    <xdr:cxnSp macro="">
      <xdr:nvCxnSpPr>
        <xdr:cNvPr id="79" name="直線矢印コネクタ 78">
          <a:extLst>
            <a:ext uri="{FF2B5EF4-FFF2-40B4-BE49-F238E27FC236}">
              <a16:creationId xmlns:a16="http://schemas.microsoft.com/office/drawing/2014/main" id="{00000000-0008-0000-0300-00004F000000}"/>
            </a:ext>
          </a:extLst>
        </xdr:cNvPr>
        <xdr:cNvCxnSpPr/>
      </xdr:nvCxnSpPr>
      <xdr:spPr>
        <a:xfrm>
          <a:off x="25126950" y="12820650"/>
          <a:ext cx="0" cy="2286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60</xdr:col>
      <xdr:colOff>503768</xdr:colOff>
      <xdr:row>23</xdr:row>
      <xdr:rowOff>9525</xdr:rowOff>
    </xdr:from>
    <xdr:to>
      <xdr:col>60</xdr:col>
      <xdr:colOff>509059</xdr:colOff>
      <xdr:row>65</xdr:row>
      <xdr:rowOff>214875</xdr:rowOff>
    </xdr:to>
    <xdr:cxnSp macro="">
      <xdr:nvCxnSpPr>
        <xdr:cNvPr id="80" name="直線矢印コネクタ 79">
          <a:extLst>
            <a:ext uri="{FF2B5EF4-FFF2-40B4-BE49-F238E27FC236}">
              <a16:creationId xmlns:a16="http://schemas.microsoft.com/office/drawing/2014/main" id="{00000000-0008-0000-0300-000050000000}"/>
            </a:ext>
          </a:extLst>
        </xdr:cNvPr>
        <xdr:cNvCxnSpPr/>
      </xdr:nvCxnSpPr>
      <xdr:spPr>
        <a:xfrm>
          <a:off x="29126393" y="5095875"/>
          <a:ext cx="5291" cy="9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58</xdr:col>
      <xdr:colOff>0</xdr:colOff>
      <xdr:row>37</xdr:row>
      <xdr:rowOff>201083</xdr:rowOff>
    </xdr:from>
    <xdr:to>
      <xdr:col>60</xdr:col>
      <xdr:colOff>495750</xdr:colOff>
      <xdr:row>37</xdr:row>
      <xdr:rowOff>201083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28146375" y="8278283"/>
          <a:ext cx="9720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447675</xdr:colOff>
      <xdr:row>64</xdr:row>
      <xdr:rowOff>9525</xdr:rowOff>
    </xdr:from>
    <xdr:to>
      <xdr:col>55</xdr:col>
      <xdr:colOff>447679</xdr:colOff>
      <xdr:row>65</xdr:row>
      <xdr:rowOff>9525</xdr:rowOff>
    </xdr:to>
    <xdr:cxnSp macro="">
      <xdr:nvCxnSpPr>
        <xdr:cNvPr id="82" name="直線矢印コネクタ 81">
          <a:extLst>
            <a:ext uri="{FF2B5EF4-FFF2-40B4-BE49-F238E27FC236}">
              <a16:creationId xmlns:a16="http://schemas.microsoft.com/office/drawing/2014/main" id="{00000000-0008-0000-0300-000052000000}"/>
            </a:ext>
          </a:extLst>
        </xdr:cNvPr>
        <xdr:cNvCxnSpPr/>
      </xdr:nvCxnSpPr>
      <xdr:spPr>
        <a:xfrm flipH="1">
          <a:off x="26889075" y="13896975"/>
          <a:ext cx="4" cy="2095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447675</xdr:colOff>
      <xdr:row>65</xdr:row>
      <xdr:rowOff>9525</xdr:rowOff>
    </xdr:from>
    <xdr:to>
      <xdr:col>60</xdr:col>
      <xdr:colOff>498450</xdr:colOff>
      <xdr:row>65</xdr:row>
      <xdr:rowOff>9525</xdr:rowOff>
    </xdr:to>
    <xdr:cxnSp macro="">
      <xdr:nvCxnSpPr>
        <xdr:cNvPr id="83" name="直線コネクタ 82">
          <a:extLst>
            <a:ext uri="{FF2B5EF4-FFF2-40B4-BE49-F238E27FC236}">
              <a16:creationId xmlns:a16="http://schemas.microsoft.com/office/drawing/2014/main" id="{00000000-0008-0000-0300-000053000000}"/>
            </a:ext>
          </a:extLst>
        </xdr:cNvPr>
        <xdr:cNvCxnSpPr/>
      </xdr:nvCxnSpPr>
      <xdr:spPr>
        <a:xfrm>
          <a:off x="26889075" y="14106525"/>
          <a:ext cx="2232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60</xdr:col>
      <xdr:colOff>449263</xdr:colOff>
      <xdr:row>69</xdr:row>
      <xdr:rowOff>0</xdr:rowOff>
    </xdr:from>
    <xdr:to>
      <xdr:col>60</xdr:col>
      <xdr:colOff>457200</xdr:colOff>
      <xdr:row>70</xdr:row>
      <xdr:rowOff>209550</xdr:rowOff>
    </xdr:to>
    <xdr:cxnSp macro="">
      <xdr:nvCxnSpPr>
        <xdr:cNvPr id="84" name="直線矢印コネクタ 83">
          <a:extLst>
            <a:ext uri="{FF2B5EF4-FFF2-40B4-BE49-F238E27FC236}">
              <a16:creationId xmlns:a16="http://schemas.microsoft.com/office/drawing/2014/main" id="{00000000-0008-0000-0300-000054000000}"/>
            </a:ext>
          </a:extLst>
        </xdr:cNvPr>
        <xdr:cNvCxnSpPr/>
      </xdr:nvCxnSpPr>
      <xdr:spPr>
        <a:xfrm>
          <a:off x="29071888" y="14954250"/>
          <a:ext cx="7937" cy="4191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447675</xdr:colOff>
      <xdr:row>67</xdr:row>
      <xdr:rowOff>104775</xdr:rowOff>
    </xdr:from>
    <xdr:to>
      <xdr:col>58</xdr:col>
      <xdr:colOff>228600</xdr:colOff>
      <xdr:row>67</xdr:row>
      <xdr:rowOff>104775</xdr:rowOff>
    </xdr:to>
    <xdr:cxnSp macro="">
      <xdr:nvCxnSpPr>
        <xdr:cNvPr id="85" name="直線コネクタ 84">
          <a:extLst>
            <a:ext uri="{FF2B5EF4-FFF2-40B4-BE49-F238E27FC236}">
              <a16:creationId xmlns:a16="http://schemas.microsoft.com/office/drawing/2014/main" id="{00000000-0008-0000-0300-000055000000}"/>
            </a:ext>
          </a:extLst>
        </xdr:cNvPr>
        <xdr:cNvCxnSpPr/>
      </xdr:nvCxnSpPr>
      <xdr:spPr>
        <a:xfrm>
          <a:off x="26889075" y="146304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438150</xdr:colOff>
      <xdr:row>67</xdr:row>
      <xdr:rowOff>95250</xdr:rowOff>
    </xdr:from>
    <xdr:to>
      <xdr:col>55</xdr:col>
      <xdr:colOff>447675</xdr:colOff>
      <xdr:row>71</xdr:row>
      <xdr:rowOff>0</xdr:rowOff>
    </xdr:to>
    <xdr:cxnSp macro="">
      <xdr:nvCxnSpPr>
        <xdr:cNvPr id="86" name="直線矢印コネクタ 85">
          <a:extLst>
            <a:ext uri="{FF2B5EF4-FFF2-40B4-BE49-F238E27FC236}">
              <a16:creationId xmlns:a16="http://schemas.microsoft.com/office/drawing/2014/main" id="{00000000-0008-0000-0300-000056000000}"/>
            </a:ext>
          </a:extLst>
        </xdr:cNvPr>
        <xdr:cNvCxnSpPr/>
      </xdr:nvCxnSpPr>
      <xdr:spPr>
        <a:xfrm>
          <a:off x="26879550" y="14620875"/>
          <a:ext cx="9525" cy="76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0</xdr:colOff>
      <xdr:row>10</xdr:row>
      <xdr:rowOff>0</xdr:rowOff>
    </xdr:from>
    <xdr:to>
      <xdr:col>47</xdr:col>
      <xdr:colOff>797</xdr:colOff>
      <xdr:row>11</xdr:row>
      <xdr:rowOff>209550</xdr:rowOff>
    </xdr:to>
    <xdr:cxnSp macro="">
      <xdr:nvCxnSpPr>
        <xdr:cNvPr id="87" name="直線矢印コネクタ 86">
          <a:extLst>
            <a:ext uri="{FF2B5EF4-FFF2-40B4-BE49-F238E27FC236}">
              <a16:creationId xmlns:a16="http://schemas.microsoft.com/office/drawing/2014/main" id="{00000000-0008-0000-0300-000057000000}"/>
            </a:ext>
          </a:extLst>
        </xdr:cNvPr>
        <xdr:cNvCxnSpPr/>
      </xdr:nvCxnSpPr>
      <xdr:spPr>
        <a:xfrm flipH="1">
          <a:off x="23164800" y="2314575"/>
          <a:ext cx="797" cy="419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20107</xdr:colOff>
      <xdr:row>23</xdr:row>
      <xdr:rowOff>5291</xdr:rowOff>
    </xdr:from>
    <xdr:to>
      <xdr:col>60</xdr:col>
      <xdr:colOff>502282</xdr:colOff>
      <xdr:row>23</xdr:row>
      <xdr:rowOff>5291</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a:xfrm>
          <a:off x="23184907" y="5091641"/>
          <a:ext cx="5940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9525</xdr:colOff>
      <xdr:row>22</xdr:row>
      <xdr:rowOff>9525</xdr:rowOff>
    </xdr:from>
    <xdr:to>
      <xdr:col>47</xdr:col>
      <xdr:colOff>9526</xdr:colOff>
      <xdr:row>23</xdr:row>
      <xdr:rowOff>195975</xdr:rowOff>
    </xdr:to>
    <xdr:cxnSp macro="">
      <xdr:nvCxnSpPr>
        <xdr:cNvPr id="89" name="直線矢印コネクタ 88">
          <a:extLst>
            <a:ext uri="{FF2B5EF4-FFF2-40B4-BE49-F238E27FC236}">
              <a16:creationId xmlns:a16="http://schemas.microsoft.com/office/drawing/2014/main" id="{00000000-0008-0000-0300-000059000000}"/>
            </a:ext>
          </a:extLst>
        </xdr:cNvPr>
        <xdr:cNvCxnSpPr/>
      </xdr:nvCxnSpPr>
      <xdr:spPr>
        <a:xfrm flipH="1">
          <a:off x="23174325" y="4886325"/>
          <a:ext cx="1" cy="396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10583</xdr:colOff>
      <xdr:row>27</xdr:row>
      <xdr:rowOff>209550</xdr:rowOff>
    </xdr:from>
    <xdr:to>
      <xdr:col>55</xdr:col>
      <xdr:colOff>687917</xdr:colOff>
      <xdr:row>28</xdr:row>
      <xdr:rowOff>0</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a:xfrm>
          <a:off x="23175383" y="6153150"/>
          <a:ext cx="39539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52</xdr:col>
      <xdr:colOff>233891</xdr:colOff>
      <xdr:row>30</xdr:row>
      <xdr:rowOff>21167</xdr:rowOff>
    </xdr:from>
    <xdr:to>
      <xdr:col>55</xdr:col>
      <xdr:colOff>677333</xdr:colOff>
      <xdr:row>30</xdr:row>
      <xdr:rowOff>21167</xdr:rowOff>
    </xdr:to>
    <xdr:cxnSp macro="">
      <xdr:nvCxnSpPr>
        <xdr:cNvPr id="91" name="直線コネクタ 90">
          <a:extLst>
            <a:ext uri="{FF2B5EF4-FFF2-40B4-BE49-F238E27FC236}">
              <a16:creationId xmlns:a16="http://schemas.microsoft.com/office/drawing/2014/main" id="{00000000-0008-0000-0300-00005B000000}"/>
            </a:ext>
          </a:extLst>
        </xdr:cNvPr>
        <xdr:cNvCxnSpPr/>
      </xdr:nvCxnSpPr>
      <xdr:spPr>
        <a:xfrm>
          <a:off x="25941866" y="6602942"/>
          <a:ext cx="1176867"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9525</xdr:colOff>
      <xdr:row>22</xdr:row>
      <xdr:rowOff>9525</xdr:rowOff>
    </xdr:from>
    <xdr:to>
      <xdr:col>68</xdr:col>
      <xdr:colOff>9526</xdr:colOff>
      <xdr:row>24</xdr:row>
      <xdr:rowOff>12900</xdr:rowOff>
    </xdr:to>
    <xdr:cxnSp macro="">
      <xdr:nvCxnSpPr>
        <xdr:cNvPr id="92" name="直線矢印コネクタ 91">
          <a:extLst>
            <a:ext uri="{FF2B5EF4-FFF2-40B4-BE49-F238E27FC236}">
              <a16:creationId xmlns:a16="http://schemas.microsoft.com/office/drawing/2014/main" id="{00000000-0008-0000-0300-00005C000000}"/>
            </a:ext>
          </a:extLst>
        </xdr:cNvPr>
        <xdr:cNvCxnSpPr/>
      </xdr:nvCxnSpPr>
      <xdr:spPr>
        <a:xfrm flipH="1">
          <a:off x="33280350" y="4886325"/>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27</xdr:row>
      <xdr:rowOff>1</xdr:rowOff>
    </xdr:from>
    <xdr:to>
      <xdr:col>68</xdr:col>
      <xdr:colOff>1587</xdr:colOff>
      <xdr:row>29</xdr:row>
      <xdr:rowOff>3376</xdr:rowOff>
    </xdr:to>
    <xdr:cxnSp macro="">
      <xdr:nvCxnSpPr>
        <xdr:cNvPr id="93" name="直線矢印コネクタ 92">
          <a:extLst>
            <a:ext uri="{FF2B5EF4-FFF2-40B4-BE49-F238E27FC236}">
              <a16:creationId xmlns:a16="http://schemas.microsoft.com/office/drawing/2014/main" id="{00000000-0008-0000-0300-00005D000000}"/>
            </a:ext>
          </a:extLst>
        </xdr:cNvPr>
        <xdr:cNvCxnSpPr/>
      </xdr:nvCxnSpPr>
      <xdr:spPr>
        <a:xfrm rot="5400000">
          <a:off x="33055618" y="615880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687916</xdr:colOff>
      <xdr:row>33</xdr:row>
      <xdr:rowOff>201082</xdr:rowOff>
    </xdr:from>
    <xdr:to>
      <xdr:col>76</xdr:col>
      <xdr:colOff>693210</xdr:colOff>
      <xdr:row>35</xdr:row>
      <xdr:rowOff>221191</xdr:rowOff>
    </xdr:to>
    <xdr:cxnSp macro="">
      <xdr:nvCxnSpPr>
        <xdr:cNvPr id="94" name="直線矢印コネクタ 93">
          <a:extLst>
            <a:ext uri="{FF2B5EF4-FFF2-40B4-BE49-F238E27FC236}">
              <a16:creationId xmlns:a16="http://schemas.microsoft.com/office/drawing/2014/main" id="{00000000-0008-0000-0300-00005E000000}"/>
            </a:ext>
          </a:extLst>
        </xdr:cNvPr>
        <xdr:cNvCxnSpPr/>
      </xdr:nvCxnSpPr>
      <xdr:spPr>
        <a:xfrm>
          <a:off x="37235341" y="7421032"/>
          <a:ext cx="5294" cy="4487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878417</xdr:colOff>
      <xdr:row>10</xdr:row>
      <xdr:rowOff>0</xdr:rowOff>
    </xdr:from>
    <xdr:to>
      <xdr:col>67</xdr:col>
      <xdr:colOff>879476</xdr:colOff>
      <xdr:row>17</xdr:row>
      <xdr:rowOff>16575</xdr:rowOff>
    </xdr:to>
    <xdr:cxnSp macro="">
      <xdr:nvCxnSpPr>
        <xdr:cNvPr id="95" name="直線矢印コネクタ 94">
          <a:extLst>
            <a:ext uri="{FF2B5EF4-FFF2-40B4-BE49-F238E27FC236}">
              <a16:creationId xmlns:a16="http://schemas.microsoft.com/office/drawing/2014/main" id="{00000000-0008-0000-0300-00005F000000}"/>
            </a:ext>
          </a:extLst>
        </xdr:cNvPr>
        <xdr:cNvCxnSpPr/>
      </xdr:nvCxnSpPr>
      <xdr:spPr>
        <a:xfrm>
          <a:off x="33263417" y="2314575"/>
          <a:ext cx="1059" cy="151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0</xdr:colOff>
      <xdr:row>31</xdr:row>
      <xdr:rowOff>190500</xdr:rowOff>
    </xdr:from>
    <xdr:to>
      <xdr:col>68</xdr:col>
      <xdr:colOff>1</xdr:colOff>
      <xdr:row>35</xdr:row>
      <xdr:rowOff>206775</xdr:rowOff>
    </xdr:to>
    <xdr:cxnSp macro="">
      <xdr:nvCxnSpPr>
        <xdr:cNvPr id="96" name="直線矢印コネクタ 95">
          <a:extLst>
            <a:ext uri="{FF2B5EF4-FFF2-40B4-BE49-F238E27FC236}">
              <a16:creationId xmlns:a16="http://schemas.microsoft.com/office/drawing/2014/main" id="{00000000-0008-0000-0300-000060000000}"/>
            </a:ext>
          </a:extLst>
        </xdr:cNvPr>
        <xdr:cNvCxnSpPr/>
      </xdr:nvCxnSpPr>
      <xdr:spPr>
        <a:xfrm>
          <a:off x="33270825" y="6991350"/>
          <a:ext cx="1" cy="864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39</xdr:row>
      <xdr:rowOff>1</xdr:rowOff>
    </xdr:from>
    <xdr:to>
      <xdr:col>68</xdr:col>
      <xdr:colOff>1587</xdr:colOff>
      <xdr:row>41</xdr:row>
      <xdr:rowOff>3376</xdr:rowOff>
    </xdr:to>
    <xdr:cxnSp macro="">
      <xdr:nvCxnSpPr>
        <xdr:cNvPr id="97" name="直線矢印コネクタ 96">
          <a:extLst>
            <a:ext uri="{FF2B5EF4-FFF2-40B4-BE49-F238E27FC236}">
              <a16:creationId xmlns:a16="http://schemas.microsoft.com/office/drawing/2014/main" id="{00000000-0008-0000-0300-000061000000}"/>
            </a:ext>
          </a:extLst>
        </xdr:cNvPr>
        <xdr:cNvCxnSpPr/>
      </xdr:nvCxnSpPr>
      <xdr:spPr>
        <a:xfrm rot="5400000">
          <a:off x="33055618" y="87686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44</xdr:row>
      <xdr:rowOff>1</xdr:rowOff>
    </xdr:from>
    <xdr:to>
      <xdr:col>68</xdr:col>
      <xdr:colOff>1587</xdr:colOff>
      <xdr:row>46</xdr:row>
      <xdr:rowOff>3376</xdr:rowOff>
    </xdr:to>
    <xdr:cxnSp macro="">
      <xdr:nvCxnSpPr>
        <xdr:cNvPr id="98" name="直線矢印コネクタ 97">
          <a:extLst>
            <a:ext uri="{FF2B5EF4-FFF2-40B4-BE49-F238E27FC236}">
              <a16:creationId xmlns:a16="http://schemas.microsoft.com/office/drawing/2014/main" id="{00000000-0008-0000-0300-000062000000}"/>
            </a:ext>
          </a:extLst>
        </xdr:cNvPr>
        <xdr:cNvCxnSpPr/>
      </xdr:nvCxnSpPr>
      <xdr:spPr>
        <a:xfrm rot="5400000">
          <a:off x="33055618" y="98354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49</xdr:row>
      <xdr:rowOff>1</xdr:rowOff>
    </xdr:from>
    <xdr:to>
      <xdr:col>68</xdr:col>
      <xdr:colOff>1587</xdr:colOff>
      <xdr:row>51</xdr:row>
      <xdr:rowOff>3376</xdr:rowOff>
    </xdr:to>
    <xdr:cxnSp macro="">
      <xdr:nvCxnSpPr>
        <xdr:cNvPr id="99" name="直線矢印コネクタ 98">
          <a:extLst>
            <a:ext uri="{FF2B5EF4-FFF2-40B4-BE49-F238E27FC236}">
              <a16:creationId xmlns:a16="http://schemas.microsoft.com/office/drawing/2014/main" id="{00000000-0008-0000-0300-000063000000}"/>
            </a:ext>
          </a:extLst>
        </xdr:cNvPr>
        <xdr:cNvCxnSpPr/>
      </xdr:nvCxnSpPr>
      <xdr:spPr>
        <a:xfrm rot="5400000">
          <a:off x="33055618" y="109022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54</xdr:row>
      <xdr:rowOff>1</xdr:rowOff>
    </xdr:from>
    <xdr:to>
      <xdr:col>68</xdr:col>
      <xdr:colOff>1587</xdr:colOff>
      <xdr:row>56</xdr:row>
      <xdr:rowOff>3376</xdr:rowOff>
    </xdr:to>
    <xdr:cxnSp macro="">
      <xdr:nvCxnSpPr>
        <xdr:cNvPr id="100" name="直線矢印コネクタ 99">
          <a:extLst>
            <a:ext uri="{FF2B5EF4-FFF2-40B4-BE49-F238E27FC236}">
              <a16:creationId xmlns:a16="http://schemas.microsoft.com/office/drawing/2014/main" id="{00000000-0008-0000-0300-000064000000}"/>
            </a:ext>
          </a:extLst>
        </xdr:cNvPr>
        <xdr:cNvCxnSpPr/>
      </xdr:nvCxnSpPr>
      <xdr:spPr>
        <a:xfrm rot="5400000">
          <a:off x="33055618" y="119690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428625</xdr:colOff>
      <xdr:row>60</xdr:row>
      <xdr:rowOff>794</xdr:rowOff>
    </xdr:from>
    <xdr:to>
      <xdr:col>76</xdr:col>
      <xdr:colOff>429420</xdr:colOff>
      <xdr:row>61</xdr:row>
      <xdr:rowOff>9525</xdr:rowOff>
    </xdr:to>
    <xdr:cxnSp macro="">
      <xdr:nvCxnSpPr>
        <xdr:cNvPr id="101" name="直線矢印コネクタ 100">
          <a:extLst>
            <a:ext uri="{FF2B5EF4-FFF2-40B4-BE49-F238E27FC236}">
              <a16:creationId xmlns:a16="http://schemas.microsoft.com/office/drawing/2014/main" id="{00000000-0008-0000-0300-000065000000}"/>
            </a:ext>
          </a:extLst>
        </xdr:cNvPr>
        <xdr:cNvCxnSpPr/>
      </xdr:nvCxnSpPr>
      <xdr:spPr>
        <a:xfrm flipH="1">
          <a:off x="36976050" y="13030994"/>
          <a:ext cx="795" cy="227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72</xdr:col>
      <xdr:colOff>9525</xdr:colOff>
      <xdr:row>60</xdr:row>
      <xdr:rowOff>9525</xdr:rowOff>
    </xdr:from>
    <xdr:to>
      <xdr:col>76</xdr:col>
      <xdr:colOff>428625</xdr:colOff>
      <xdr:row>60</xdr:row>
      <xdr:rowOff>9525</xdr:rowOff>
    </xdr:to>
    <xdr:cxnSp macro="">
      <xdr:nvCxnSpPr>
        <xdr:cNvPr id="102" name="直線コネクタ 101">
          <a:extLst>
            <a:ext uri="{FF2B5EF4-FFF2-40B4-BE49-F238E27FC236}">
              <a16:creationId xmlns:a16="http://schemas.microsoft.com/office/drawing/2014/main" id="{00000000-0008-0000-0300-000066000000}"/>
            </a:ext>
          </a:extLst>
        </xdr:cNvPr>
        <xdr:cNvCxnSpPr/>
      </xdr:nvCxnSpPr>
      <xdr:spPr>
        <a:xfrm>
          <a:off x="35242500" y="130397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72</xdr:col>
      <xdr:colOff>0</xdr:colOff>
      <xdr:row>59</xdr:row>
      <xdr:rowOff>0</xdr:rowOff>
    </xdr:from>
    <xdr:to>
      <xdr:col>72</xdr:col>
      <xdr:colOff>0</xdr:colOff>
      <xdr:row>60</xdr:row>
      <xdr:rowOff>19050</xdr:rowOff>
    </xdr:to>
    <xdr:cxnSp macro="">
      <xdr:nvCxnSpPr>
        <xdr:cNvPr id="103" name="直線矢印コネクタ 102">
          <a:extLst>
            <a:ext uri="{FF2B5EF4-FFF2-40B4-BE49-F238E27FC236}">
              <a16:creationId xmlns:a16="http://schemas.microsoft.com/office/drawing/2014/main" id="{00000000-0008-0000-0300-000067000000}"/>
            </a:ext>
          </a:extLst>
        </xdr:cNvPr>
        <xdr:cNvCxnSpPr/>
      </xdr:nvCxnSpPr>
      <xdr:spPr>
        <a:xfrm>
          <a:off x="35232975" y="12820650"/>
          <a:ext cx="0" cy="2286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81</xdr:col>
      <xdr:colOff>412750</xdr:colOff>
      <xdr:row>23</xdr:row>
      <xdr:rowOff>0</xdr:rowOff>
    </xdr:from>
    <xdr:to>
      <xdr:col>81</xdr:col>
      <xdr:colOff>428625</xdr:colOff>
      <xdr:row>66</xdr:row>
      <xdr:rowOff>9525</xdr:rowOff>
    </xdr:to>
    <xdr:cxnSp macro="">
      <xdr:nvCxnSpPr>
        <xdr:cNvPr id="104" name="直線矢印コネクタ 103">
          <a:extLst>
            <a:ext uri="{FF2B5EF4-FFF2-40B4-BE49-F238E27FC236}">
              <a16:creationId xmlns:a16="http://schemas.microsoft.com/office/drawing/2014/main" id="{00000000-0008-0000-0300-000068000000}"/>
            </a:ext>
          </a:extLst>
        </xdr:cNvPr>
        <xdr:cNvCxnSpPr/>
      </xdr:nvCxnSpPr>
      <xdr:spPr>
        <a:xfrm>
          <a:off x="39141400" y="5086350"/>
          <a:ext cx="15875" cy="9239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79</xdr:col>
      <xdr:colOff>0</xdr:colOff>
      <xdr:row>37</xdr:row>
      <xdr:rowOff>201083</xdr:rowOff>
    </xdr:from>
    <xdr:to>
      <xdr:col>81</xdr:col>
      <xdr:colOff>423334</xdr:colOff>
      <xdr:row>37</xdr:row>
      <xdr:rowOff>201083</xdr:rowOff>
    </xdr:to>
    <xdr:cxnSp macro="">
      <xdr:nvCxnSpPr>
        <xdr:cNvPr id="105" name="直線コネクタ 104">
          <a:extLst>
            <a:ext uri="{FF2B5EF4-FFF2-40B4-BE49-F238E27FC236}">
              <a16:creationId xmlns:a16="http://schemas.microsoft.com/office/drawing/2014/main" id="{00000000-0008-0000-0300-000069000000}"/>
            </a:ext>
          </a:extLst>
        </xdr:cNvPr>
        <xdr:cNvCxnSpPr/>
      </xdr:nvCxnSpPr>
      <xdr:spPr>
        <a:xfrm>
          <a:off x="38252400" y="8278283"/>
          <a:ext cx="899584"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447675</xdr:colOff>
      <xdr:row>64</xdr:row>
      <xdr:rowOff>9525</xdr:rowOff>
    </xdr:from>
    <xdr:to>
      <xdr:col>76</xdr:col>
      <xdr:colOff>447679</xdr:colOff>
      <xdr:row>65</xdr:row>
      <xdr:rowOff>9525</xdr:rowOff>
    </xdr:to>
    <xdr:cxnSp macro="">
      <xdr:nvCxnSpPr>
        <xdr:cNvPr id="106" name="直線矢印コネクタ 105">
          <a:extLst>
            <a:ext uri="{FF2B5EF4-FFF2-40B4-BE49-F238E27FC236}">
              <a16:creationId xmlns:a16="http://schemas.microsoft.com/office/drawing/2014/main" id="{00000000-0008-0000-0300-00006A000000}"/>
            </a:ext>
          </a:extLst>
        </xdr:cNvPr>
        <xdr:cNvCxnSpPr/>
      </xdr:nvCxnSpPr>
      <xdr:spPr>
        <a:xfrm flipH="1">
          <a:off x="36995100" y="13896975"/>
          <a:ext cx="4" cy="2095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447675</xdr:colOff>
      <xdr:row>65</xdr:row>
      <xdr:rowOff>9525</xdr:rowOff>
    </xdr:from>
    <xdr:to>
      <xdr:col>81</xdr:col>
      <xdr:colOff>438150</xdr:colOff>
      <xdr:row>65</xdr:row>
      <xdr:rowOff>9525</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36995100" y="14106525"/>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81</xdr:col>
      <xdr:colOff>449263</xdr:colOff>
      <xdr:row>69</xdr:row>
      <xdr:rowOff>0</xdr:rowOff>
    </xdr:from>
    <xdr:to>
      <xdr:col>81</xdr:col>
      <xdr:colOff>457200</xdr:colOff>
      <xdr:row>70</xdr:row>
      <xdr:rowOff>209550</xdr:rowOff>
    </xdr:to>
    <xdr:cxnSp macro="">
      <xdr:nvCxnSpPr>
        <xdr:cNvPr id="108" name="直線矢印コネクタ 107">
          <a:extLst>
            <a:ext uri="{FF2B5EF4-FFF2-40B4-BE49-F238E27FC236}">
              <a16:creationId xmlns:a16="http://schemas.microsoft.com/office/drawing/2014/main" id="{00000000-0008-0000-0300-00006C000000}"/>
            </a:ext>
          </a:extLst>
        </xdr:cNvPr>
        <xdr:cNvCxnSpPr/>
      </xdr:nvCxnSpPr>
      <xdr:spPr>
        <a:xfrm>
          <a:off x="39177913" y="14954250"/>
          <a:ext cx="7937" cy="4191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447675</xdr:colOff>
      <xdr:row>67</xdr:row>
      <xdr:rowOff>104775</xdr:rowOff>
    </xdr:from>
    <xdr:to>
      <xdr:col>79</xdr:col>
      <xdr:colOff>228600</xdr:colOff>
      <xdr:row>67</xdr:row>
      <xdr:rowOff>104775</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36995100" y="146304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438150</xdr:colOff>
      <xdr:row>67</xdr:row>
      <xdr:rowOff>95250</xdr:rowOff>
    </xdr:from>
    <xdr:to>
      <xdr:col>76</xdr:col>
      <xdr:colOff>447675</xdr:colOff>
      <xdr:row>71</xdr:row>
      <xdr:rowOff>0</xdr:rowOff>
    </xdr:to>
    <xdr:cxnSp macro="">
      <xdr:nvCxnSpPr>
        <xdr:cNvPr id="110" name="直線矢印コネクタ 109">
          <a:extLst>
            <a:ext uri="{FF2B5EF4-FFF2-40B4-BE49-F238E27FC236}">
              <a16:creationId xmlns:a16="http://schemas.microsoft.com/office/drawing/2014/main" id="{00000000-0008-0000-0300-00006E000000}"/>
            </a:ext>
          </a:extLst>
        </xdr:cNvPr>
        <xdr:cNvCxnSpPr/>
      </xdr:nvCxnSpPr>
      <xdr:spPr>
        <a:xfrm>
          <a:off x="36985575" y="14620875"/>
          <a:ext cx="9525" cy="76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10583</xdr:colOff>
      <xdr:row>27</xdr:row>
      <xdr:rowOff>209550</xdr:rowOff>
    </xdr:from>
    <xdr:to>
      <xdr:col>76</xdr:col>
      <xdr:colOff>687917</xdr:colOff>
      <xdr:row>28</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33281408" y="6153150"/>
          <a:ext cx="39539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677333</xdr:colOff>
      <xdr:row>28</xdr:row>
      <xdr:rowOff>0</xdr:rowOff>
    </xdr:from>
    <xdr:to>
      <xdr:col>76</xdr:col>
      <xdr:colOff>687917</xdr:colOff>
      <xdr:row>31</xdr:row>
      <xdr:rowOff>300</xdr:rowOff>
    </xdr:to>
    <xdr:cxnSp macro="">
      <xdr:nvCxnSpPr>
        <xdr:cNvPr id="112" name="直線矢印コネクタ 111">
          <a:extLst>
            <a:ext uri="{FF2B5EF4-FFF2-40B4-BE49-F238E27FC236}">
              <a16:creationId xmlns:a16="http://schemas.microsoft.com/office/drawing/2014/main" id="{00000000-0008-0000-0300-000070000000}"/>
            </a:ext>
          </a:extLst>
        </xdr:cNvPr>
        <xdr:cNvCxnSpPr/>
      </xdr:nvCxnSpPr>
      <xdr:spPr>
        <a:xfrm>
          <a:off x="37224758" y="6153150"/>
          <a:ext cx="10584" cy="64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73</xdr:col>
      <xdr:colOff>233891</xdr:colOff>
      <xdr:row>30</xdr:row>
      <xdr:rowOff>21167</xdr:rowOff>
    </xdr:from>
    <xdr:to>
      <xdr:col>76</xdr:col>
      <xdr:colOff>677333</xdr:colOff>
      <xdr:row>30</xdr:row>
      <xdr:rowOff>21167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36047891" y="6602942"/>
          <a:ext cx="1176867"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21167</xdr:colOff>
      <xdr:row>23</xdr:row>
      <xdr:rowOff>0</xdr:rowOff>
    </xdr:from>
    <xdr:to>
      <xdr:col>81</xdr:col>
      <xdr:colOff>412750</xdr:colOff>
      <xdr:row>23</xdr:row>
      <xdr:rowOff>10583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flipV="1">
          <a:off x="33291992" y="5086350"/>
          <a:ext cx="5849408"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685800</xdr:colOff>
      <xdr:row>28</xdr:row>
      <xdr:rowOff>0</xdr:rowOff>
    </xdr:from>
    <xdr:to>
      <xdr:col>55</xdr:col>
      <xdr:colOff>695325</xdr:colOff>
      <xdr:row>31</xdr:row>
      <xdr:rowOff>9525</xdr:rowOff>
    </xdr:to>
    <xdr:cxnSp macro="">
      <xdr:nvCxnSpPr>
        <xdr:cNvPr id="115" name="直線矢印コネクタ 114">
          <a:extLst>
            <a:ext uri="{FF2B5EF4-FFF2-40B4-BE49-F238E27FC236}">
              <a16:creationId xmlns:a16="http://schemas.microsoft.com/office/drawing/2014/main" id="{00000000-0008-0000-0300-000073000000}"/>
            </a:ext>
          </a:extLst>
        </xdr:cNvPr>
        <xdr:cNvCxnSpPr/>
      </xdr:nvCxnSpPr>
      <xdr:spPr>
        <a:xfrm>
          <a:off x="27127200" y="6153150"/>
          <a:ext cx="9525" cy="657225"/>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0</xdr:row>
      <xdr:rowOff>0</xdr:rowOff>
    </xdr:from>
    <xdr:to>
      <xdr:col>2</xdr:col>
      <xdr:colOff>19050</xdr:colOff>
      <xdr:row>0</xdr:row>
      <xdr:rowOff>361950</xdr:rowOff>
    </xdr:to>
    <xdr:sp macro="" textlink="">
      <xdr:nvSpPr>
        <xdr:cNvPr id="116" name="ホームベース 115">
          <a:hlinkClick xmlns:r="http://schemas.openxmlformats.org/officeDocument/2006/relationships" r:id="rId1"/>
          <a:extLst>
            <a:ext uri="{FF2B5EF4-FFF2-40B4-BE49-F238E27FC236}">
              <a16:creationId xmlns:a16="http://schemas.microsoft.com/office/drawing/2014/main" id="{00000000-0008-0000-0300-000074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フローチャート</a:t>
          </a:r>
        </a:p>
      </xdr:txBody>
    </xdr:sp>
    <xdr:clientData/>
  </xdr:twoCellAnchor>
  <xdr:twoCellAnchor>
    <xdr:from>
      <xdr:col>2</xdr:col>
      <xdr:colOff>297181</xdr:colOff>
      <xdr:row>0</xdr:row>
      <xdr:rowOff>0</xdr:rowOff>
    </xdr:from>
    <xdr:to>
      <xdr:col>4</xdr:col>
      <xdr:colOff>510541</xdr:colOff>
      <xdr:row>0</xdr:row>
      <xdr:rowOff>360000</xdr:rowOff>
    </xdr:to>
    <xdr:sp macro="" textlink="">
      <xdr:nvSpPr>
        <xdr:cNvPr id="117" name="正方形/長方形 116">
          <a:hlinkClick xmlns:r="http://schemas.openxmlformats.org/officeDocument/2006/relationships" r:id="rId2"/>
          <a:extLst>
            <a:ext uri="{FF2B5EF4-FFF2-40B4-BE49-F238E27FC236}">
              <a16:creationId xmlns:a16="http://schemas.microsoft.com/office/drawing/2014/main" id="{00000000-0008-0000-0300-000075000000}"/>
            </a:ext>
          </a:extLst>
        </xdr:cNvPr>
        <xdr:cNvSpPr/>
      </xdr:nvSpPr>
      <xdr:spPr>
        <a:xfrm>
          <a:off x="1562101" y="0"/>
          <a:ext cx="8153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510540</xdr:colOff>
      <xdr:row>0</xdr:row>
      <xdr:rowOff>0</xdr:rowOff>
    </xdr:from>
    <xdr:to>
      <xdr:col>5</xdr:col>
      <xdr:colOff>381000</xdr:colOff>
      <xdr:row>0</xdr:row>
      <xdr:rowOff>360000</xdr:rowOff>
    </xdr:to>
    <xdr:sp macro="" textlink="">
      <xdr:nvSpPr>
        <xdr:cNvPr id="118" name="正方形/長方形 117">
          <a:hlinkClick xmlns:r="http://schemas.openxmlformats.org/officeDocument/2006/relationships" r:id="rId3"/>
          <a:extLst>
            <a:ext uri="{FF2B5EF4-FFF2-40B4-BE49-F238E27FC236}">
              <a16:creationId xmlns:a16="http://schemas.microsoft.com/office/drawing/2014/main" id="{00000000-0008-0000-0300-000076000000}"/>
            </a:ext>
          </a:extLst>
        </xdr:cNvPr>
        <xdr:cNvSpPr/>
      </xdr:nvSpPr>
      <xdr:spPr>
        <a:xfrm>
          <a:off x="2377440" y="0"/>
          <a:ext cx="6705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5</xdr:col>
      <xdr:colOff>381001</xdr:colOff>
      <xdr:row>0</xdr:row>
      <xdr:rowOff>0</xdr:rowOff>
    </xdr:from>
    <xdr:to>
      <xdr:col>8</xdr:col>
      <xdr:colOff>190501</xdr:colOff>
      <xdr:row>0</xdr:row>
      <xdr:rowOff>360000</xdr:rowOff>
    </xdr:to>
    <xdr:sp macro="" textlink="">
      <xdr:nvSpPr>
        <xdr:cNvPr id="120" name="正方形/長方形 119">
          <a:hlinkClick xmlns:r="http://schemas.openxmlformats.org/officeDocument/2006/relationships" r:id="rId4"/>
          <a:extLst>
            <a:ext uri="{FF2B5EF4-FFF2-40B4-BE49-F238E27FC236}">
              <a16:creationId xmlns:a16="http://schemas.microsoft.com/office/drawing/2014/main" id="{00000000-0008-0000-0300-000078000000}"/>
            </a:ext>
          </a:extLst>
        </xdr:cNvPr>
        <xdr:cNvSpPr/>
      </xdr:nvSpPr>
      <xdr:spPr>
        <a:xfrm>
          <a:off x="3048001" y="0"/>
          <a:ext cx="7772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8</xdr:col>
      <xdr:colOff>182881</xdr:colOff>
      <xdr:row>0</xdr:row>
      <xdr:rowOff>0</xdr:rowOff>
    </xdr:from>
    <xdr:to>
      <xdr:col>9</xdr:col>
      <xdr:colOff>99061</xdr:colOff>
      <xdr:row>0</xdr:row>
      <xdr:rowOff>360000</xdr:rowOff>
    </xdr:to>
    <xdr:sp macro="" textlink="">
      <xdr:nvSpPr>
        <xdr:cNvPr id="121" name="正方形/長方形 120">
          <a:extLst>
            <a:ext uri="{FF2B5EF4-FFF2-40B4-BE49-F238E27FC236}">
              <a16:creationId xmlns:a16="http://schemas.microsoft.com/office/drawing/2014/main" id="{00000000-0008-0000-0300-000079000000}"/>
            </a:ext>
          </a:extLst>
        </xdr:cNvPr>
        <xdr:cNvSpPr/>
      </xdr:nvSpPr>
      <xdr:spPr>
        <a:xfrm>
          <a:off x="3817621" y="0"/>
          <a:ext cx="716280" cy="360000"/>
        </a:xfrm>
        <a:prstGeom prst="rect">
          <a:avLst/>
        </a:prstGeom>
        <a:solidFill>
          <a:schemeClr val="bg1"/>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t>flow</a:t>
          </a:r>
          <a:endParaRPr kumimoji="1" lang="ja-JP" altLang="en-US" sz="1100" b="1"/>
        </a:p>
      </xdr:txBody>
    </xdr:sp>
    <xdr:clientData/>
  </xdr:twoCellAnchor>
  <xdr:twoCellAnchor>
    <xdr:from>
      <xdr:col>9</xdr:col>
      <xdr:colOff>91440</xdr:colOff>
      <xdr:row>0</xdr:row>
      <xdr:rowOff>0</xdr:rowOff>
    </xdr:from>
    <xdr:to>
      <xdr:col>12</xdr:col>
      <xdr:colOff>7619</xdr:colOff>
      <xdr:row>0</xdr:row>
      <xdr:rowOff>360000</xdr:rowOff>
    </xdr:to>
    <xdr:sp macro="" textlink="">
      <xdr:nvSpPr>
        <xdr:cNvPr id="122" name="正方形/長方形 121">
          <a:hlinkClick xmlns:r="http://schemas.openxmlformats.org/officeDocument/2006/relationships" r:id="rId1"/>
          <a:extLst>
            <a:ext uri="{FF2B5EF4-FFF2-40B4-BE49-F238E27FC236}">
              <a16:creationId xmlns:a16="http://schemas.microsoft.com/office/drawing/2014/main" id="{00000000-0008-0000-0300-00007A000000}"/>
            </a:ext>
          </a:extLst>
        </xdr:cNvPr>
        <xdr:cNvSpPr/>
      </xdr:nvSpPr>
      <xdr:spPr>
        <a:xfrm>
          <a:off x="4526280" y="0"/>
          <a:ext cx="88391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12</xdr:col>
      <xdr:colOff>7620</xdr:colOff>
      <xdr:row>0</xdr:row>
      <xdr:rowOff>0</xdr:rowOff>
    </xdr:from>
    <xdr:to>
      <xdr:col>13</xdr:col>
      <xdr:colOff>670560</xdr:colOff>
      <xdr:row>0</xdr:row>
      <xdr:rowOff>360000</xdr:rowOff>
    </xdr:to>
    <xdr:sp macro="" textlink="">
      <xdr:nvSpPr>
        <xdr:cNvPr id="123" name="正方形/長方形 122">
          <a:hlinkClick xmlns:r="http://schemas.openxmlformats.org/officeDocument/2006/relationships" r:id="rId5"/>
          <a:extLst>
            <a:ext uri="{FF2B5EF4-FFF2-40B4-BE49-F238E27FC236}">
              <a16:creationId xmlns:a16="http://schemas.microsoft.com/office/drawing/2014/main" id="{00000000-0008-0000-0300-00007B000000}"/>
            </a:ext>
          </a:extLst>
        </xdr:cNvPr>
        <xdr:cNvSpPr/>
      </xdr:nvSpPr>
      <xdr:spPr>
        <a:xfrm>
          <a:off x="5410200" y="0"/>
          <a:ext cx="8763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13</xdr:col>
      <xdr:colOff>670560</xdr:colOff>
      <xdr:row>0</xdr:row>
      <xdr:rowOff>0</xdr:rowOff>
    </xdr:from>
    <xdr:to>
      <xdr:col>15</xdr:col>
      <xdr:colOff>182880</xdr:colOff>
      <xdr:row>0</xdr:row>
      <xdr:rowOff>360000</xdr:rowOff>
    </xdr:to>
    <xdr:sp macro="" textlink="">
      <xdr:nvSpPr>
        <xdr:cNvPr id="124" name="正方形/長方形 123">
          <a:hlinkClick xmlns:r="http://schemas.openxmlformats.org/officeDocument/2006/relationships" r:id="rId6"/>
          <a:extLst>
            <a:ext uri="{FF2B5EF4-FFF2-40B4-BE49-F238E27FC236}">
              <a16:creationId xmlns:a16="http://schemas.microsoft.com/office/drawing/2014/main" id="{00000000-0008-0000-0300-00007C000000}"/>
            </a:ext>
          </a:extLst>
        </xdr:cNvPr>
        <xdr:cNvSpPr/>
      </xdr:nvSpPr>
      <xdr:spPr>
        <a:xfrm>
          <a:off x="6286500" y="0"/>
          <a:ext cx="8382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15</xdr:col>
      <xdr:colOff>175260</xdr:colOff>
      <xdr:row>0</xdr:row>
      <xdr:rowOff>0</xdr:rowOff>
    </xdr:from>
    <xdr:to>
      <xdr:col>18</xdr:col>
      <xdr:colOff>373380</xdr:colOff>
      <xdr:row>0</xdr:row>
      <xdr:rowOff>360000</xdr:rowOff>
    </xdr:to>
    <xdr:sp macro="" textlink="">
      <xdr:nvSpPr>
        <xdr:cNvPr id="125" name="正方形/長方形 124">
          <a:hlinkClick xmlns:r="http://schemas.openxmlformats.org/officeDocument/2006/relationships" r:id="rId7"/>
          <a:extLst>
            <a:ext uri="{FF2B5EF4-FFF2-40B4-BE49-F238E27FC236}">
              <a16:creationId xmlns:a16="http://schemas.microsoft.com/office/drawing/2014/main" id="{00000000-0008-0000-0300-00007D000000}"/>
            </a:ext>
          </a:extLst>
        </xdr:cNvPr>
        <xdr:cNvSpPr/>
      </xdr:nvSpPr>
      <xdr:spPr>
        <a:xfrm>
          <a:off x="7117080" y="0"/>
          <a:ext cx="8382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18</xdr:col>
      <xdr:colOff>365760</xdr:colOff>
      <xdr:row>0</xdr:row>
      <xdr:rowOff>0</xdr:rowOff>
    </xdr:from>
    <xdr:to>
      <xdr:col>19</xdr:col>
      <xdr:colOff>312420</xdr:colOff>
      <xdr:row>0</xdr:row>
      <xdr:rowOff>360000</xdr:rowOff>
    </xdr:to>
    <xdr:sp macro="" textlink="">
      <xdr:nvSpPr>
        <xdr:cNvPr id="126" name="正方形/長方形 125">
          <a:hlinkClick xmlns:r="http://schemas.openxmlformats.org/officeDocument/2006/relationships" r:id="rId8"/>
          <a:extLst>
            <a:ext uri="{FF2B5EF4-FFF2-40B4-BE49-F238E27FC236}">
              <a16:creationId xmlns:a16="http://schemas.microsoft.com/office/drawing/2014/main" id="{00000000-0008-0000-0300-00007E000000}"/>
            </a:ext>
          </a:extLst>
        </xdr:cNvPr>
        <xdr:cNvSpPr/>
      </xdr:nvSpPr>
      <xdr:spPr>
        <a:xfrm>
          <a:off x="7947660" y="0"/>
          <a:ext cx="7467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19</xdr:col>
      <xdr:colOff>312420</xdr:colOff>
      <xdr:row>0</xdr:row>
      <xdr:rowOff>0</xdr:rowOff>
    </xdr:from>
    <xdr:to>
      <xdr:col>22</xdr:col>
      <xdr:colOff>152400</xdr:colOff>
      <xdr:row>0</xdr:row>
      <xdr:rowOff>360000</xdr:rowOff>
    </xdr:to>
    <xdr:sp macro="" textlink="">
      <xdr:nvSpPr>
        <xdr:cNvPr id="127" name="正方形/長方形 126">
          <a:hlinkClick xmlns:r="http://schemas.openxmlformats.org/officeDocument/2006/relationships" r:id="rId9"/>
          <a:extLst>
            <a:ext uri="{FF2B5EF4-FFF2-40B4-BE49-F238E27FC236}">
              <a16:creationId xmlns:a16="http://schemas.microsoft.com/office/drawing/2014/main" id="{00000000-0008-0000-0300-00007F000000}"/>
            </a:ext>
          </a:extLst>
        </xdr:cNvPr>
        <xdr:cNvSpPr/>
      </xdr:nvSpPr>
      <xdr:spPr>
        <a:xfrm>
          <a:off x="8694420" y="0"/>
          <a:ext cx="6934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22</xdr:col>
      <xdr:colOff>144780</xdr:colOff>
      <xdr:row>0</xdr:row>
      <xdr:rowOff>0</xdr:rowOff>
    </xdr:from>
    <xdr:to>
      <xdr:col>22</xdr:col>
      <xdr:colOff>1021080</xdr:colOff>
      <xdr:row>0</xdr:row>
      <xdr:rowOff>360000</xdr:rowOff>
    </xdr:to>
    <xdr:sp macro="" textlink="">
      <xdr:nvSpPr>
        <xdr:cNvPr id="128" name="正方形/長方形 127">
          <a:hlinkClick xmlns:r="http://schemas.openxmlformats.org/officeDocument/2006/relationships" r:id="rId10"/>
          <a:extLst>
            <a:ext uri="{FF2B5EF4-FFF2-40B4-BE49-F238E27FC236}">
              <a16:creationId xmlns:a16="http://schemas.microsoft.com/office/drawing/2014/main" id="{00000000-0008-0000-0300-000080000000}"/>
            </a:ext>
          </a:extLst>
        </xdr:cNvPr>
        <xdr:cNvSpPr/>
      </xdr:nvSpPr>
      <xdr:spPr>
        <a:xfrm>
          <a:off x="9380220" y="0"/>
          <a:ext cx="8763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433917</xdr:colOff>
      <xdr:row>25</xdr:row>
      <xdr:rowOff>10584</xdr:rowOff>
    </xdr:from>
    <xdr:to>
      <xdr:col>3</xdr:col>
      <xdr:colOff>433917</xdr:colOff>
      <xdr:row>36</xdr:row>
      <xdr:rowOff>42333</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a:off x="2751667" y="5418667"/>
          <a:ext cx="0" cy="2148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423333</xdr:colOff>
      <xdr:row>36</xdr:row>
      <xdr:rowOff>31750</xdr:rowOff>
    </xdr:from>
    <xdr:to>
      <xdr:col>4</xdr:col>
      <xdr:colOff>508000</xdr:colOff>
      <xdr:row>36</xdr:row>
      <xdr:rowOff>31750</xdr:rowOff>
    </xdr:to>
    <xdr:cxnSp macro="">
      <xdr:nvCxnSpPr>
        <xdr:cNvPr id="5" name="直線コネクタ 4">
          <a:extLst>
            <a:ext uri="{FF2B5EF4-FFF2-40B4-BE49-F238E27FC236}">
              <a16:creationId xmlns:a16="http://schemas.microsoft.com/office/drawing/2014/main" id="{00000000-0008-0000-0400-000005000000}"/>
            </a:ext>
          </a:extLst>
        </xdr:cNvPr>
        <xdr:cNvCxnSpPr/>
      </xdr:nvCxnSpPr>
      <xdr:spPr>
        <a:xfrm>
          <a:off x="2741083" y="7556500"/>
          <a:ext cx="10477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497417</xdr:colOff>
      <xdr:row>35</xdr:row>
      <xdr:rowOff>10584</xdr:rowOff>
    </xdr:from>
    <xdr:to>
      <xdr:col>4</xdr:col>
      <xdr:colOff>497417</xdr:colOff>
      <xdr:row>36</xdr:row>
      <xdr:rowOff>31752</xdr:rowOff>
    </xdr:to>
    <xdr:cxnSp macro="">
      <xdr:nvCxnSpPr>
        <xdr:cNvPr id="7" name="直線矢印コネクタ 6">
          <a:extLst>
            <a:ext uri="{FF2B5EF4-FFF2-40B4-BE49-F238E27FC236}">
              <a16:creationId xmlns:a16="http://schemas.microsoft.com/office/drawing/2014/main" id="{00000000-0008-0000-0400-000007000000}"/>
            </a:ext>
          </a:extLst>
        </xdr:cNvPr>
        <xdr:cNvCxnSpPr/>
      </xdr:nvCxnSpPr>
      <xdr:spPr>
        <a:xfrm flipV="1">
          <a:off x="3778250" y="7323667"/>
          <a:ext cx="0" cy="232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10583</xdr:colOff>
      <xdr:row>27</xdr:row>
      <xdr:rowOff>105833</xdr:rowOff>
    </xdr:from>
    <xdr:to>
      <xdr:col>9</xdr:col>
      <xdr:colOff>0</xdr:colOff>
      <xdr:row>27</xdr:row>
      <xdr:rowOff>105833</xdr:rowOff>
    </xdr:to>
    <xdr:cxnSp macro="">
      <xdr:nvCxnSpPr>
        <xdr:cNvPr id="15" name="直線矢印コネクタ 14">
          <a:extLst>
            <a:ext uri="{FF2B5EF4-FFF2-40B4-BE49-F238E27FC236}">
              <a16:creationId xmlns:a16="http://schemas.microsoft.com/office/drawing/2014/main" id="{00000000-0008-0000-0400-00000F000000}"/>
            </a:ext>
          </a:extLst>
        </xdr:cNvPr>
        <xdr:cNvCxnSpPr/>
      </xdr:nvCxnSpPr>
      <xdr:spPr>
        <a:xfrm>
          <a:off x="7143750" y="5937250"/>
          <a:ext cx="952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10583</xdr:colOff>
      <xdr:row>28</xdr:row>
      <xdr:rowOff>105834</xdr:rowOff>
    </xdr:from>
    <xdr:to>
      <xdr:col>8</xdr:col>
      <xdr:colOff>476250</xdr:colOff>
      <xdr:row>28</xdr:row>
      <xdr:rowOff>105834</xdr:rowOff>
    </xdr:to>
    <xdr:cxnSp macro="">
      <xdr:nvCxnSpPr>
        <xdr:cNvPr id="17" name="直線コネクタ 16">
          <a:extLst>
            <a:ext uri="{FF2B5EF4-FFF2-40B4-BE49-F238E27FC236}">
              <a16:creationId xmlns:a16="http://schemas.microsoft.com/office/drawing/2014/main" id="{00000000-0008-0000-0400-000011000000}"/>
            </a:ext>
          </a:extLst>
        </xdr:cNvPr>
        <xdr:cNvCxnSpPr/>
      </xdr:nvCxnSpPr>
      <xdr:spPr>
        <a:xfrm>
          <a:off x="4254500" y="6148917"/>
          <a:ext cx="33549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455083</xdr:colOff>
      <xdr:row>27</xdr:row>
      <xdr:rowOff>105833</xdr:rowOff>
    </xdr:from>
    <xdr:to>
      <xdr:col>8</xdr:col>
      <xdr:colOff>455084</xdr:colOff>
      <xdr:row>28</xdr:row>
      <xdr:rowOff>105836</xdr:rowOff>
    </xdr:to>
    <xdr:cxnSp macro="">
      <xdr:nvCxnSpPr>
        <xdr:cNvPr id="19" name="直線コネクタ 18">
          <a:extLst>
            <a:ext uri="{FF2B5EF4-FFF2-40B4-BE49-F238E27FC236}">
              <a16:creationId xmlns:a16="http://schemas.microsoft.com/office/drawing/2014/main" id="{00000000-0008-0000-0400-000013000000}"/>
            </a:ext>
          </a:extLst>
        </xdr:cNvPr>
        <xdr:cNvCxnSpPr/>
      </xdr:nvCxnSpPr>
      <xdr:spPr>
        <a:xfrm flipH="1" flipV="1">
          <a:off x="7588250" y="5937250"/>
          <a:ext cx="1" cy="2116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27</xdr:row>
      <xdr:rowOff>105833</xdr:rowOff>
    </xdr:from>
    <xdr:to>
      <xdr:col>6</xdr:col>
      <xdr:colOff>0</xdr:colOff>
      <xdr:row>27</xdr:row>
      <xdr:rowOff>105833</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4243917" y="5937250"/>
          <a:ext cx="9630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952500</xdr:colOff>
      <xdr:row>27</xdr:row>
      <xdr:rowOff>95250</xdr:rowOff>
    </xdr:from>
    <xdr:to>
      <xdr:col>5</xdr:col>
      <xdr:colOff>952500</xdr:colOff>
      <xdr:row>28</xdr:row>
      <xdr:rowOff>105834</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a:off x="5196417" y="5926667"/>
          <a:ext cx="0" cy="222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10584</xdr:colOff>
      <xdr:row>27</xdr:row>
      <xdr:rowOff>105833</xdr:rowOff>
    </xdr:from>
    <xdr:to>
      <xdr:col>13</xdr:col>
      <xdr:colOff>0</xdr:colOff>
      <xdr:row>27</xdr:row>
      <xdr:rowOff>105833</xdr:rowOff>
    </xdr:to>
    <xdr:cxnSp macro="">
      <xdr:nvCxnSpPr>
        <xdr:cNvPr id="38" name="直線矢印コネクタ 37">
          <a:extLst>
            <a:ext uri="{FF2B5EF4-FFF2-40B4-BE49-F238E27FC236}">
              <a16:creationId xmlns:a16="http://schemas.microsoft.com/office/drawing/2014/main" id="{00000000-0008-0000-0400-000026000000}"/>
            </a:ext>
          </a:extLst>
        </xdr:cNvPr>
        <xdr:cNvCxnSpPr/>
      </xdr:nvCxnSpPr>
      <xdr:spPr>
        <a:xfrm>
          <a:off x="9069917" y="5937250"/>
          <a:ext cx="287866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455083</xdr:colOff>
      <xdr:row>30</xdr:row>
      <xdr:rowOff>10583</xdr:rowOff>
    </xdr:from>
    <xdr:to>
      <xdr:col>15</xdr:col>
      <xdr:colOff>455083</xdr:colOff>
      <xdr:row>31</xdr:row>
      <xdr:rowOff>63500</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14329833" y="6477000"/>
          <a:ext cx="0" cy="264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444500</xdr:colOff>
      <xdr:row>31</xdr:row>
      <xdr:rowOff>63500</xdr:rowOff>
    </xdr:from>
    <xdr:to>
      <xdr:col>17</xdr:col>
      <xdr:colOff>571500</xdr:colOff>
      <xdr:row>31</xdr:row>
      <xdr:rowOff>63501</xdr:rowOff>
    </xdr:to>
    <xdr:cxnSp macro="">
      <xdr:nvCxnSpPr>
        <xdr:cNvPr id="43" name="直線コネクタ 42">
          <a:extLst>
            <a:ext uri="{FF2B5EF4-FFF2-40B4-BE49-F238E27FC236}">
              <a16:creationId xmlns:a16="http://schemas.microsoft.com/office/drawing/2014/main" id="{00000000-0008-0000-0400-00002B000000}"/>
            </a:ext>
          </a:extLst>
        </xdr:cNvPr>
        <xdr:cNvCxnSpPr/>
      </xdr:nvCxnSpPr>
      <xdr:spPr>
        <a:xfrm flipV="1">
          <a:off x="14319250" y="6741583"/>
          <a:ext cx="205316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560916</xdr:colOff>
      <xdr:row>25</xdr:row>
      <xdr:rowOff>201084</xdr:rowOff>
    </xdr:from>
    <xdr:to>
      <xdr:col>17</xdr:col>
      <xdr:colOff>560916</xdr:colOff>
      <xdr:row>31</xdr:row>
      <xdr:rowOff>63500</xdr:rowOff>
    </xdr:to>
    <xdr:cxnSp macro="">
      <xdr:nvCxnSpPr>
        <xdr:cNvPr id="47" name="直線矢印コネクタ 46">
          <a:extLst>
            <a:ext uri="{FF2B5EF4-FFF2-40B4-BE49-F238E27FC236}">
              <a16:creationId xmlns:a16="http://schemas.microsoft.com/office/drawing/2014/main" id="{00000000-0008-0000-0400-00002F000000}"/>
            </a:ext>
          </a:extLst>
        </xdr:cNvPr>
        <xdr:cNvCxnSpPr/>
      </xdr:nvCxnSpPr>
      <xdr:spPr>
        <a:xfrm flipV="1">
          <a:off x="16361833" y="5609167"/>
          <a:ext cx="0" cy="11324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790575</xdr:colOff>
      <xdr:row>0</xdr:row>
      <xdr:rowOff>361950</xdr:rowOff>
    </xdr:to>
    <xdr:sp macro="" textlink="">
      <xdr:nvSpPr>
        <xdr:cNvPr id="14" name="ホームベース 13">
          <a:hlinkClick xmlns:r="http://schemas.openxmlformats.org/officeDocument/2006/relationships" r:id="rId1"/>
          <a:extLst>
            <a:ext uri="{FF2B5EF4-FFF2-40B4-BE49-F238E27FC236}">
              <a16:creationId xmlns:a16="http://schemas.microsoft.com/office/drawing/2014/main" id="{00000000-0008-0000-0400-00000E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造成波及効果</a:t>
          </a:r>
        </a:p>
      </xdr:txBody>
    </xdr:sp>
    <xdr:clientData/>
  </xdr:twoCellAnchor>
  <xdr:twoCellAnchor>
    <xdr:from>
      <xdr:col>2</xdr:col>
      <xdr:colOff>1028701</xdr:colOff>
      <xdr:row>0</xdr:row>
      <xdr:rowOff>0</xdr:rowOff>
    </xdr:from>
    <xdr:to>
      <xdr:col>3</xdr:col>
      <xdr:colOff>243841</xdr:colOff>
      <xdr:row>0</xdr:row>
      <xdr:rowOff>360000</xdr:rowOff>
    </xdr:to>
    <xdr:sp macro="" textlink="">
      <xdr:nvSpPr>
        <xdr:cNvPr id="16" name="正方形/長方形 15">
          <a:hlinkClick xmlns:r="http://schemas.openxmlformats.org/officeDocument/2006/relationships" r:id="rId2"/>
          <a:extLst>
            <a:ext uri="{FF2B5EF4-FFF2-40B4-BE49-F238E27FC236}">
              <a16:creationId xmlns:a16="http://schemas.microsoft.com/office/drawing/2014/main" id="{00000000-0008-0000-0400-000010000000}"/>
            </a:ext>
          </a:extLst>
        </xdr:cNvPr>
        <xdr:cNvSpPr/>
      </xdr:nvSpPr>
      <xdr:spPr>
        <a:xfrm>
          <a:off x="1600201" y="0"/>
          <a:ext cx="8382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243841</xdr:colOff>
      <xdr:row>0</xdr:row>
      <xdr:rowOff>0</xdr:rowOff>
    </xdr:from>
    <xdr:to>
      <xdr:col>4</xdr:col>
      <xdr:colOff>83820</xdr:colOff>
      <xdr:row>0</xdr:row>
      <xdr:rowOff>360000</xdr:rowOff>
    </xdr:to>
    <xdr:sp macro="" textlink="">
      <xdr:nvSpPr>
        <xdr:cNvPr id="18" name="正方形/長方形 17">
          <a:hlinkClick xmlns:r="http://schemas.openxmlformats.org/officeDocument/2006/relationships" r:id="rId3"/>
          <a:extLst>
            <a:ext uri="{FF2B5EF4-FFF2-40B4-BE49-F238E27FC236}">
              <a16:creationId xmlns:a16="http://schemas.microsoft.com/office/drawing/2014/main" id="{00000000-0008-0000-0400-000012000000}"/>
            </a:ext>
          </a:extLst>
        </xdr:cNvPr>
        <xdr:cNvSpPr/>
      </xdr:nvSpPr>
      <xdr:spPr>
        <a:xfrm>
          <a:off x="2438401" y="0"/>
          <a:ext cx="70865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83820</xdr:colOff>
      <xdr:row>0</xdr:row>
      <xdr:rowOff>0</xdr:rowOff>
    </xdr:from>
    <xdr:to>
      <xdr:col>5</xdr:col>
      <xdr:colOff>22861</xdr:colOff>
      <xdr:row>0</xdr:row>
      <xdr:rowOff>360000</xdr:rowOff>
    </xdr:to>
    <xdr:sp macro="" textlink="">
      <xdr:nvSpPr>
        <xdr:cNvPr id="20" name="正方形/長方形 19">
          <a:hlinkClick xmlns:r="http://schemas.openxmlformats.org/officeDocument/2006/relationships" r:id="rId4"/>
          <a:extLst>
            <a:ext uri="{FF2B5EF4-FFF2-40B4-BE49-F238E27FC236}">
              <a16:creationId xmlns:a16="http://schemas.microsoft.com/office/drawing/2014/main" id="{00000000-0008-0000-0400-000014000000}"/>
            </a:ext>
          </a:extLst>
        </xdr:cNvPr>
        <xdr:cNvSpPr/>
      </xdr:nvSpPr>
      <xdr:spPr>
        <a:xfrm>
          <a:off x="3147060" y="0"/>
          <a:ext cx="807721"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15240</xdr:colOff>
      <xdr:row>0</xdr:row>
      <xdr:rowOff>0</xdr:rowOff>
    </xdr:from>
    <xdr:to>
      <xdr:col>6</xdr:col>
      <xdr:colOff>3330</xdr:colOff>
      <xdr:row>0</xdr:row>
      <xdr:rowOff>360000</xdr:rowOff>
    </xdr:to>
    <xdr:sp macro="" textlink="">
      <xdr:nvSpPr>
        <xdr:cNvPr id="21" name="正方形/長方形 20">
          <a:hlinkClick xmlns:r="http://schemas.openxmlformats.org/officeDocument/2006/relationships" r:id="rId5"/>
          <a:extLst>
            <a:ext uri="{FF2B5EF4-FFF2-40B4-BE49-F238E27FC236}">
              <a16:creationId xmlns:a16="http://schemas.microsoft.com/office/drawing/2014/main" id="{00000000-0008-0000-0400-000015000000}"/>
            </a:ext>
          </a:extLst>
        </xdr:cNvPr>
        <xdr:cNvSpPr/>
      </xdr:nvSpPr>
      <xdr:spPr>
        <a:xfrm>
          <a:off x="3947160" y="0"/>
          <a:ext cx="85677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6</xdr:col>
      <xdr:colOff>1905</xdr:colOff>
      <xdr:row>0</xdr:row>
      <xdr:rowOff>0</xdr:rowOff>
    </xdr:from>
    <xdr:to>
      <xdr:col>7</xdr:col>
      <xdr:colOff>30480</xdr:colOff>
      <xdr:row>0</xdr:row>
      <xdr:rowOff>360000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802505" y="0"/>
          <a:ext cx="897255" cy="360000"/>
        </a:xfrm>
        <a:prstGeom prst="rect">
          <a:avLst/>
        </a:prstGeom>
        <a:solidFill>
          <a:srgbClr val="800000"/>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造成波及</a:t>
          </a:r>
        </a:p>
      </xdr:txBody>
    </xdr:sp>
    <xdr:clientData/>
  </xdr:twoCellAnchor>
  <xdr:twoCellAnchor>
    <xdr:from>
      <xdr:col>7</xdr:col>
      <xdr:colOff>0</xdr:colOff>
      <xdr:row>0</xdr:row>
      <xdr:rowOff>0</xdr:rowOff>
    </xdr:from>
    <xdr:to>
      <xdr:col>7</xdr:col>
      <xdr:colOff>838200</xdr:colOff>
      <xdr:row>0</xdr:row>
      <xdr:rowOff>360000</xdr:rowOff>
    </xdr:to>
    <xdr:sp macro="" textlink="">
      <xdr:nvSpPr>
        <xdr:cNvPr id="23" name="正方形/長方形 22">
          <a:hlinkClick xmlns:r="http://schemas.openxmlformats.org/officeDocument/2006/relationships" r:id="rId1"/>
          <a:extLst>
            <a:ext uri="{FF2B5EF4-FFF2-40B4-BE49-F238E27FC236}">
              <a16:creationId xmlns:a16="http://schemas.microsoft.com/office/drawing/2014/main" id="{00000000-0008-0000-0400-000017000000}"/>
            </a:ext>
          </a:extLst>
        </xdr:cNvPr>
        <xdr:cNvSpPr/>
      </xdr:nvSpPr>
      <xdr:spPr>
        <a:xfrm>
          <a:off x="5669280" y="0"/>
          <a:ext cx="8382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7</xdr:col>
      <xdr:colOff>838200</xdr:colOff>
      <xdr:row>0</xdr:row>
      <xdr:rowOff>0</xdr:rowOff>
    </xdr:from>
    <xdr:to>
      <xdr:col>8</xdr:col>
      <xdr:colOff>838200</xdr:colOff>
      <xdr:row>0</xdr:row>
      <xdr:rowOff>360000</xdr:rowOff>
    </xdr:to>
    <xdr:sp macro="" textlink="">
      <xdr:nvSpPr>
        <xdr:cNvPr id="24" name="正方形/長方形 23">
          <a:hlinkClick xmlns:r="http://schemas.openxmlformats.org/officeDocument/2006/relationships" r:id="rId6"/>
          <a:extLst>
            <a:ext uri="{FF2B5EF4-FFF2-40B4-BE49-F238E27FC236}">
              <a16:creationId xmlns:a16="http://schemas.microsoft.com/office/drawing/2014/main" id="{00000000-0008-0000-0400-000018000000}"/>
            </a:ext>
          </a:extLst>
        </xdr:cNvPr>
        <xdr:cNvSpPr/>
      </xdr:nvSpPr>
      <xdr:spPr>
        <a:xfrm>
          <a:off x="6507480" y="0"/>
          <a:ext cx="8686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8</xdr:col>
      <xdr:colOff>830580</xdr:colOff>
      <xdr:row>0</xdr:row>
      <xdr:rowOff>0</xdr:rowOff>
    </xdr:from>
    <xdr:to>
      <xdr:col>9</xdr:col>
      <xdr:colOff>838200</xdr:colOff>
      <xdr:row>0</xdr:row>
      <xdr:rowOff>360000</xdr:rowOff>
    </xdr:to>
    <xdr:sp macro="" textlink="">
      <xdr:nvSpPr>
        <xdr:cNvPr id="25" name="正方形/長方形 24">
          <a:hlinkClick xmlns:r="http://schemas.openxmlformats.org/officeDocument/2006/relationships" r:id="rId7"/>
          <a:extLst>
            <a:ext uri="{FF2B5EF4-FFF2-40B4-BE49-F238E27FC236}">
              <a16:creationId xmlns:a16="http://schemas.microsoft.com/office/drawing/2014/main" id="{00000000-0008-0000-0400-000019000000}"/>
            </a:ext>
          </a:extLst>
        </xdr:cNvPr>
        <xdr:cNvSpPr/>
      </xdr:nvSpPr>
      <xdr:spPr>
        <a:xfrm>
          <a:off x="7368540" y="0"/>
          <a:ext cx="8763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9</xdr:col>
      <xdr:colOff>830580</xdr:colOff>
      <xdr:row>0</xdr:row>
      <xdr:rowOff>0</xdr:rowOff>
    </xdr:from>
    <xdr:to>
      <xdr:col>10</xdr:col>
      <xdr:colOff>708660</xdr:colOff>
      <xdr:row>0</xdr:row>
      <xdr:rowOff>360000</xdr:rowOff>
    </xdr:to>
    <xdr:sp macro="" textlink="">
      <xdr:nvSpPr>
        <xdr:cNvPr id="27" name="正方形/長方形 26">
          <a:hlinkClick xmlns:r="http://schemas.openxmlformats.org/officeDocument/2006/relationships" r:id="rId8"/>
          <a:extLst>
            <a:ext uri="{FF2B5EF4-FFF2-40B4-BE49-F238E27FC236}">
              <a16:creationId xmlns:a16="http://schemas.microsoft.com/office/drawing/2014/main" id="{00000000-0008-0000-0400-00001B000000}"/>
            </a:ext>
          </a:extLst>
        </xdr:cNvPr>
        <xdr:cNvSpPr/>
      </xdr:nvSpPr>
      <xdr:spPr>
        <a:xfrm>
          <a:off x="8237220" y="0"/>
          <a:ext cx="7467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708660</xdr:colOff>
      <xdr:row>0</xdr:row>
      <xdr:rowOff>0</xdr:rowOff>
    </xdr:from>
    <xdr:to>
      <xdr:col>11</xdr:col>
      <xdr:colOff>586740</xdr:colOff>
      <xdr:row>0</xdr:row>
      <xdr:rowOff>360000</xdr:rowOff>
    </xdr:to>
    <xdr:sp macro="" textlink="">
      <xdr:nvSpPr>
        <xdr:cNvPr id="29" name="正方形/長方形 28">
          <a:hlinkClick xmlns:r="http://schemas.openxmlformats.org/officeDocument/2006/relationships" r:id="rId9"/>
          <a:extLst>
            <a:ext uri="{FF2B5EF4-FFF2-40B4-BE49-F238E27FC236}">
              <a16:creationId xmlns:a16="http://schemas.microsoft.com/office/drawing/2014/main" id="{00000000-0008-0000-0400-00001D000000}"/>
            </a:ext>
          </a:extLst>
        </xdr:cNvPr>
        <xdr:cNvSpPr/>
      </xdr:nvSpPr>
      <xdr:spPr>
        <a:xfrm>
          <a:off x="8983980" y="0"/>
          <a:ext cx="7467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586740</xdr:colOff>
      <xdr:row>0</xdr:row>
      <xdr:rowOff>0</xdr:rowOff>
    </xdr:from>
    <xdr:to>
      <xdr:col>12</xdr:col>
      <xdr:colOff>632460</xdr:colOff>
      <xdr:row>0</xdr:row>
      <xdr:rowOff>360000</xdr:rowOff>
    </xdr:to>
    <xdr:sp macro="" textlink="">
      <xdr:nvSpPr>
        <xdr:cNvPr id="30" name="正方形/長方形 29">
          <a:hlinkClick xmlns:r="http://schemas.openxmlformats.org/officeDocument/2006/relationships" r:id="rId10"/>
          <a:extLst>
            <a:ext uri="{FF2B5EF4-FFF2-40B4-BE49-F238E27FC236}">
              <a16:creationId xmlns:a16="http://schemas.microsoft.com/office/drawing/2014/main" id="{00000000-0008-0000-0400-00001E000000}"/>
            </a:ext>
          </a:extLst>
        </xdr:cNvPr>
        <xdr:cNvSpPr/>
      </xdr:nvSpPr>
      <xdr:spPr>
        <a:xfrm>
          <a:off x="9730740" y="0"/>
          <a:ext cx="9144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433917</xdr:colOff>
      <xdr:row>25</xdr:row>
      <xdr:rowOff>10584</xdr:rowOff>
    </xdr:from>
    <xdr:to>
      <xdr:col>3</xdr:col>
      <xdr:colOff>433917</xdr:colOff>
      <xdr:row>36</xdr:row>
      <xdr:rowOff>42333</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2748492" y="5373159"/>
          <a:ext cx="0" cy="21272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423333</xdr:colOff>
      <xdr:row>36</xdr:row>
      <xdr:rowOff>31750</xdr:rowOff>
    </xdr:from>
    <xdr:to>
      <xdr:col>4</xdr:col>
      <xdr:colOff>508000</xdr:colOff>
      <xdr:row>36</xdr:row>
      <xdr:rowOff>31750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2737908" y="7489825"/>
          <a:ext cx="10466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497417</xdr:colOff>
      <xdr:row>35</xdr:row>
      <xdr:rowOff>10584</xdr:rowOff>
    </xdr:from>
    <xdr:to>
      <xdr:col>4</xdr:col>
      <xdr:colOff>497417</xdr:colOff>
      <xdr:row>36</xdr:row>
      <xdr:rowOff>31752</xdr:rowOff>
    </xdr:to>
    <xdr:cxnSp macro="">
      <xdr:nvCxnSpPr>
        <xdr:cNvPr id="4" name="直線矢印コネクタ 3">
          <a:extLst>
            <a:ext uri="{FF2B5EF4-FFF2-40B4-BE49-F238E27FC236}">
              <a16:creationId xmlns:a16="http://schemas.microsoft.com/office/drawing/2014/main" id="{00000000-0008-0000-0500-000004000000}"/>
            </a:ext>
          </a:extLst>
        </xdr:cNvPr>
        <xdr:cNvCxnSpPr/>
      </xdr:nvCxnSpPr>
      <xdr:spPr>
        <a:xfrm flipV="1">
          <a:off x="3774017" y="7259109"/>
          <a:ext cx="0" cy="2307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10583</xdr:colOff>
      <xdr:row>27</xdr:row>
      <xdr:rowOff>105833</xdr:rowOff>
    </xdr:from>
    <xdr:to>
      <xdr:col>9</xdr:col>
      <xdr:colOff>0</xdr:colOff>
      <xdr:row>27</xdr:row>
      <xdr:rowOff>105833</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a:off x="7135283" y="5887508"/>
          <a:ext cx="95144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10583</xdr:colOff>
      <xdr:row>28</xdr:row>
      <xdr:rowOff>105834</xdr:rowOff>
    </xdr:from>
    <xdr:to>
      <xdr:col>8</xdr:col>
      <xdr:colOff>476250</xdr:colOff>
      <xdr:row>28</xdr:row>
      <xdr:rowOff>105834</xdr:rowOff>
    </xdr:to>
    <xdr:cxnSp macro="">
      <xdr:nvCxnSpPr>
        <xdr:cNvPr id="6" name="直線コネクタ 5">
          <a:extLst>
            <a:ext uri="{FF2B5EF4-FFF2-40B4-BE49-F238E27FC236}">
              <a16:creationId xmlns:a16="http://schemas.microsoft.com/office/drawing/2014/main" id="{00000000-0008-0000-0500-000006000000}"/>
            </a:ext>
          </a:extLst>
        </xdr:cNvPr>
        <xdr:cNvCxnSpPr/>
      </xdr:nvCxnSpPr>
      <xdr:spPr>
        <a:xfrm>
          <a:off x="4249208" y="6097059"/>
          <a:ext cx="33517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455083</xdr:colOff>
      <xdr:row>27</xdr:row>
      <xdr:rowOff>105833</xdr:rowOff>
    </xdr:from>
    <xdr:to>
      <xdr:col>8</xdr:col>
      <xdr:colOff>455084</xdr:colOff>
      <xdr:row>28</xdr:row>
      <xdr:rowOff>105836</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flipH="1" flipV="1">
          <a:off x="7579783" y="5887508"/>
          <a:ext cx="1" cy="2095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27</xdr:row>
      <xdr:rowOff>105833</xdr:rowOff>
    </xdr:from>
    <xdr:to>
      <xdr:col>6</xdr:col>
      <xdr:colOff>0</xdr:colOff>
      <xdr:row>27</xdr:row>
      <xdr:rowOff>105833</xdr:rowOff>
    </xdr:to>
    <xdr:cxnSp macro="">
      <xdr:nvCxnSpPr>
        <xdr:cNvPr id="8" name="直線コネクタ 7">
          <a:extLst>
            <a:ext uri="{FF2B5EF4-FFF2-40B4-BE49-F238E27FC236}">
              <a16:creationId xmlns:a16="http://schemas.microsoft.com/office/drawing/2014/main" id="{00000000-0008-0000-0500-000008000000}"/>
            </a:ext>
          </a:extLst>
        </xdr:cNvPr>
        <xdr:cNvCxnSpPr/>
      </xdr:nvCxnSpPr>
      <xdr:spPr>
        <a:xfrm>
          <a:off x="4238625" y="5887508"/>
          <a:ext cx="962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952500</xdr:colOff>
      <xdr:row>27</xdr:row>
      <xdr:rowOff>95250</xdr:rowOff>
    </xdr:from>
    <xdr:to>
      <xdr:col>5</xdr:col>
      <xdr:colOff>952500</xdr:colOff>
      <xdr:row>28</xdr:row>
      <xdr:rowOff>105834</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a:xfrm>
          <a:off x="5191125" y="5876925"/>
          <a:ext cx="0" cy="2201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10584</xdr:colOff>
      <xdr:row>27</xdr:row>
      <xdr:rowOff>105833</xdr:rowOff>
    </xdr:from>
    <xdr:to>
      <xdr:col>13</xdr:col>
      <xdr:colOff>0</xdr:colOff>
      <xdr:row>27</xdr:row>
      <xdr:rowOff>105833</xdr:rowOff>
    </xdr:to>
    <xdr:cxnSp macro="">
      <xdr:nvCxnSpPr>
        <xdr:cNvPr id="10" name="直線矢印コネクタ 9">
          <a:extLst>
            <a:ext uri="{FF2B5EF4-FFF2-40B4-BE49-F238E27FC236}">
              <a16:creationId xmlns:a16="http://schemas.microsoft.com/office/drawing/2014/main" id="{00000000-0008-0000-0500-00000A000000}"/>
            </a:ext>
          </a:extLst>
        </xdr:cNvPr>
        <xdr:cNvCxnSpPr/>
      </xdr:nvCxnSpPr>
      <xdr:spPr>
        <a:xfrm>
          <a:off x="9059334" y="5887508"/>
          <a:ext cx="287549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455083</xdr:colOff>
      <xdr:row>30</xdr:row>
      <xdr:rowOff>10583</xdr:rowOff>
    </xdr:from>
    <xdr:to>
      <xdr:col>15</xdr:col>
      <xdr:colOff>455083</xdr:colOff>
      <xdr:row>31</xdr:row>
      <xdr:rowOff>63500</xdr:rowOff>
    </xdr:to>
    <xdr:cxnSp macro="">
      <xdr:nvCxnSpPr>
        <xdr:cNvPr id="11" name="直線コネクタ 10">
          <a:extLst>
            <a:ext uri="{FF2B5EF4-FFF2-40B4-BE49-F238E27FC236}">
              <a16:creationId xmlns:a16="http://schemas.microsoft.com/office/drawing/2014/main" id="{00000000-0008-0000-0500-00000B000000}"/>
            </a:ext>
          </a:extLst>
        </xdr:cNvPr>
        <xdr:cNvCxnSpPr/>
      </xdr:nvCxnSpPr>
      <xdr:spPr>
        <a:xfrm>
          <a:off x="14313958" y="6420908"/>
          <a:ext cx="0" cy="262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444500</xdr:colOff>
      <xdr:row>31</xdr:row>
      <xdr:rowOff>63500</xdr:rowOff>
    </xdr:from>
    <xdr:to>
      <xdr:col>17</xdr:col>
      <xdr:colOff>571500</xdr:colOff>
      <xdr:row>31</xdr:row>
      <xdr:rowOff>63501</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flipV="1">
          <a:off x="14303375" y="6683375"/>
          <a:ext cx="20510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560916</xdr:colOff>
      <xdr:row>25</xdr:row>
      <xdr:rowOff>201084</xdr:rowOff>
    </xdr:from>
    <xdr:to>
      <xdr:col>17</xdr:col>
      <xdr:colOff>560916</xdr:colOff>
      <xdr:row>31</xdr:row>
      <xdr:rowOff>63500</xdr:rowOff>
    </xdr:to>
    <xdr:cxnSp macro="">
      <xdr:nvCxnSpPr>
        <xdr:cNvPr id="13" name="直線矢印コネクタ 12">
          <a:extLst>
            <a:ext uri="{FF2B5EF4-FFF2-40B4-BE49-F238E27FC236}">
              <a16:creationId xmlns:a16="http://schemas.microsoft.com/office/drawing/2014/main" id="{00000000-0008-0000-0500-00000D000000}"/>
            </a:ext>
          </a:extLst>
        </xdr:cNvPr>
        <xdr:cNvCxnSpPr/>
      </xdr:nvCxnSpPr>
      <xdr:spPr>
        <a:xfrm flipV="1">
          <a:off x="16343841" y="5563659"/>
          <a:ext cx="0" cy="11197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790575</xdr:colOff>
      <xdr:row>0</xdr:row>
      <xdr:rowOff>361950</xdr:rowOff>
    </xdr:to>
    <xdr:sp macro="" textlink="">
      <xdr:nvSpPr>
        <xdr:cNvPr id="14" name="ホームベース 13">
          <a:hlinkClick xmlns:r="http://schemas.openxmlformats.org/officeDocument/2006/relationships" r:id="rId1"/>
          <a:extLst>
            <a:ext uri="{FF2B5EF4-FFF2-40B4-BE49-F238E27FC236}">
              <a16:creationId xmlns:a16="http://schemas.microsoft.com/office/drawing/2014/main" id="{00000000-0008-0000-0500-00000E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建築波及効果</a:t>
          </a:r>
        </a:p>
      </xdr:txBody>
    </xdr:sp>
    <xdr:clientData/>
  </xdr:twoCellAnchor>
  <xdr:twoCellAnchor>
    <xdr:from>
      <xdr:col>2</xdr:col>
      <xdr:colOff>1097281</xdr:colOff>
      <xdr:row>0</xdr:row>
      <xdr:rowOff>0</xdr:rowOff>
    </xdr:from>
    <xdr:to>
      <xdr:col>3</xdr:col>
      <xdr:colOff>304801</xdr:colOff>
      <xdr:row>0</xdr:row>
      <xdr:rowOff>360000</xdr:rowOff>
    </xdr:to>
    <xdr:sp macro="" textlink="">
      <xdr:nvSpPr>
        <xdr:cNvPr id="15" name="正方形/長方形 14">
          <a:hlinkClick xmlns:r="http://schemas.openxmlformats.org/officeDocument/2006/relationships" r:id="rId2"/>
          <a:extLst>
            <a:ext uri="{FF2B5EF4-FFF2-40B4-BE49-F238E27FC236}">
              <a16:creationId xmlns:a16="http://schemas.microsoft.com/office/drawing/2014/main" id="{00000000-0008-0000-0500-00000F000000}"/>
            </a:ext>
          </a:extLst>
        </xdr:cNvPr>
        <xdr:cNvSpPr/>
      </xdr:nvSpPr>
      <xdr:spPr>
        <a:xfrm>
          <a:off x="1668781" y="0"/>
          <a:ext cx="8305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304801</xdr:colOff>
      <xdr:row>0</xdr:row>
      <xdr:rowOff>0</xdr:rowOff>
    </xdr:from>
    <xdr:to>
      <xdr:col>4</xdr:col>
      <xdr:colOff>152401</xdr:colOff>
      <xdr:row>0</xdr:row>
      <xdr:rowOff>360000</xdr:rowOff>
    </xdr:to>
    <xdr:sp macro="" textlink="">
      <xdr:nvSpPr>
        <xdr:cNvPr id="16" name="正方形/長方形 15">
          <a:hlinkClick xmlns:r="http://schemas.openxmlformats.org/officeDocument/2006/relationships" r:id="rId3"/>
          <a:extLst>
            <a:ext uri="{FF2B5EF4-FFF2-40B4-BE49-F238E27FC236}">
              <a16:creationId xmlns:a16="http://schemas.microsoft.com/office/drawing/2014/main" id="{00000000-0008-0000-0500-000010000000}"/>
            </a:ext>
          </a:extLst>
        </xdr:cNvPr>
        <xdr:cNvSpPr/>
      </xdr:nvSpPr>
      <xdr:spPr>
        <a:xfrm>
          <a:off x="2499361" y="0"/>
          <a:ext cx="7162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152400</xdr:colOff>
      <xdr:row>0</xdr:row>
      <xdr:rowOff>0</xdr:rowOff>
    </xdr:from>
    <xdr:to>
      <xdr:col>5</xdr:col>
      <xdr:colOff>96675</xdr:colOff>
      <xdr:row>0</xdr:row>
      <xdr:rowOff>360000</xdr:rowOff>
    </xdr:to>
    <xdr:sp macro="" textlink="">
      <xdr:nvSpPr>
        <xdr:cNvPr id="17" name="正方形/長方形 16">
          <a:hlinkClick xmlns:r="http://schemas.openxmlformats.org/officeDocument/2006/relationships" r:id="rId4"/>
          <a:extLst>
            <a:ext uri="{FF2B5EF4-FFF2-40B4-BE49-F238E27FC236}">
              <a16:creationId xmlns:a16="http://schemas.microsoft.com/office/drawing/2014/main" id="{00000000-0008-0000-0500-000011000000}"/>
            </a:ext>
          </a:extLst>
        </xdr:cNvPr>
        <xdr:cNvSpPr/>
      </xdr:nvSpPr>
      <xdr:spPr>
        <a:xfrm>
          <a:off x="3215640" y="0"/>
          <a:ext cx="812955"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95250</xdr:colOff>
      <xdr:row>0</xdr:row>
      <xdr:rowOff>0</xdr:rowOff>
    </xdr:from>
    <xdr:to>
      <xdr:col>5</xdr:col>
      <xdr:colOff>887250</xdr:colOff>
      <xdr:row>0</xdr:row>
      <xdr:rowOff>360000</xdr:rowOff>
    </xdr:to>
    <xdr:sp macro="" textlink="">
      <xdr:nvSpPr>
        <xdr:cNvPr id="18" name="正方形/長方形 17">
          <a:hlinkClick xmlns:r="http://schemas.openxmlformats.org/officeDocument/2006/relationships" r:id="rId5"/>
          <a:extLst>
            <a:ext uri="{FF2B5EF4-FFF2-40B4-BE49-F238E27FC236}">
              <a16:creationId xmlns:a16="http://schemas.microsoft.com/office/drawing/2014/main" id="{00000000-0008-0000-0500-000012000000}"/>
            </a:ext>
          </a:extLst>
        </xdr:cNvPr>
        <xdr:cNvSpPr/>
      </xdr:nvSpPr>
      <xdr:spPr>
        <a:xfrm>
          <a:off x="4448175" y="0"/>
          <a:ext cx="7920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6</xdr:col>
      <xdr:colOff>1905</xdr:colOff>
      <xdr:row>0</xdr:row>
      <xdr:rowOff>0</xdr:rowOff>
    </xdr:from>
    <xdr:to>
      <xdr:col>7</xdr:col>
      <xdr:colOff>38100</xdr:colOff>
      <xdr:row>0</xdr:row>
      <xdr:rowOff>360000</xdr:rowOff>
    </xdr:to>
    <xdr:sp macro="" textlink="">
      <xdr:nvSpPr>
        <xdr:cNvPr id="19" name="正方形/長方形 18">
          <a:hlinkClick xmlns:r="http://schemas.openxmlformats.org/officeDocument/2006/relationships" r:id="rId6"/>
          <a:extLst>
            <a:ext uri="{FF2B5EF4-FFF2-40B4-BE49-F238E27FC236}">
              <a16:creationId xmlns:a16="http://schemas.microsoft.com/office/drawing/2014/main" id="{00000000-0008-0000-0500-000013000000}"/>
            </a:ext>
          </a:extLst>
        </xdr:cNvPr>
        <xdr:cNvSpPr/>
      </xdr:nvSpPr>
      <xdr:spPr>
        <a:xfrm>
          <a:off x="4802505" y="0"/>
          <a:ext cx="904875"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7</xdr:col>
      <xdr:colOff>38100</xdr:colOff>
      <xdr:row>0</xdr:row>
      <xdr:rowOff>0</xdr:rowOff>
    </xdr:from>
    <xdr:to>
      <xdr:col>8</xdr:col>
      <xdr:colOff>129540</xdr:colOff>
      <xdr:row>0</xdr:row>
      <xdr:rowOff>360000</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5707380" y="0"/>
          <a:ext cx="960120" cy="360000"/>
        </a:xfrm>
        <a:prstGeom prst="rect">
          <a:avLst/>
        </a:prstGeom>
        <a:solidFill>
          <a:srgbClr val="800000"/>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建築波及</a:t>
          </a:r>
        </a:p>
      </xdr:txBody>
    </xdr:sp>
    <xdr:clientData/>
  </xdr:twoCellAnchor>
  <xdr:twoCellAnchor>
    <xdr:from>
      <xdr:col>8</xdr:col>
      <xdr:colOff>129540</xdr:colOff>
      <xdr:row>0</xdr:row>
      <xdr:rowOff>0</xdr:rowOff>
    </xdr:from>
    <xdr:to>
      <xdr:col>9</xdr:col>
      <xdr:colOff>160020</xdr:colOff>
      <xdr:row>0</xdr:row>
      <xdr:rowOff>360000</xdr:rowOff>
    </xdr:to>
    <xdr:sp macro="" textlink="">
      <xdr:nvSpPr>
        <xdr:cNvPr id="21" name="正方形/長方形 20">
          <a:hlinkClick xmlns:r="http://schemas.openxmlformats.org/officeDocument/2006/relationships" r:id="rId1"/>
          <a:extLst>
            <a:ext uri="{FF2B5EF4-FFF2-40B4-BE49-F238E27FC236}">
              <a16:creationId xmlns:a16="http://schemas.microsoft.com/office/drawing/2014/main" id="{00000000-0008-0000-0500-000015000000}"/>
            </a:ext>
          </a:extLst>
        </xdr:cNvPr>
        <xdr:cNvSpPr/>
      </xdr:nvSpPr>
      <xdr:spPr>
        <a:xfrm>
          <a:off x="6667500" y="0"/>
          <a:ext cx="8991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9</xdr:col>
      <xdr:colOff>160020</xdr:colOff>
      <xdr:row>0</xdr:row>
      <xdr:rowOff>0</xdr:rowOff>
    </xdr:from>
    <xdr:to>
      <xdr:col>10</xdr:col>
      <xdr:colOff>106680</xdr:colOff>
      <xdr:row>0</xdr:row>
      <xdr:rowOff>360000</xdr:rowOff>
    </xdr:to>
    <xdr:sp macro="" textlink="">
      <xdr:nvSpPr>
        <xdr:cNvPr id="22" name="正方形/長方形 21">
          <a:hlinkClick xmlns:r="http://schemas.openxmlformats.org/officeDocument/2006/relationships" r:id="rId7"/>
          <a:extLst>
            <a:ext uri="{FF2B5EF4-FFF2-40B4-BE49-F238E27FC236}">
              <a16:creationId xmlns:a16="http://schemas.microsoft.com/office/drawing/2014/main" id="{00000000-0008-0000-0500-000016000000}"/>
            </a:ext>
          </a:extLst>
        </xdr:cNvPr>
        <xdr:cNvSpPr/>
      </xdr:nvSpPr>
      <xdr:spPr>
        <a:xfrm>
          <a:off x="7566660" y="0"/>
          <a:ext cx="8153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10</xdr:col>
      <xdr:colOff>99060</xdr:colOff>
      <xdr:row>0</xdr:row>
      <xdr:rowOff>0</xdr:rowOff>
    </xdr:from>
    <xdr:to>
      <xdr:col>10</xdr:col>
      <xdr:colOff>853440</xdr:colOff>
      <xdr:row>0</xdr:row>
      <xdr:rowOff>360000</xdr:rowOff>
    </xdr:to>
    <xdr:sp macro="" textlink="">
      <xdr:nvSpPr>
        <xdr:cNvPr id="23" name="正方形/長方形 22">
          <a:hlinkClick xmlns:r="http://schemas.openxmlformats.org/officeDocument/2006/relationships" r:id="rId8"/>
          <a:extLst>
            <a:ext uri="{FF2B5EF4-FFF2-40B4-BE49-F238E27FC236}">
              <a16:creationId xmlns:a16="http://schemas.microsoft.com/office/drawing/2014/main" id="{00000000-0008-0000-0500-000017000000}"/>
            </a:ext>
          </a:extLst>
        </xdr:cNvPr>
        <xdr:cNvSpPr/>
      </xdr:nvSpPr>
      <xdr:spPr>
        <a:xfrm>
          <a:off x="8374380" y="0"/>
          <a:ext cx="7543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853440</xdr:colOff>
      <xdr:row>0</xdr:row>
      <xdr:rowOff>0</xdr:rowOff>
    </xdr:from>
    <xdr:to>
      <xdr:col>11</xdr:col>
      <xdr:colOff>769620</xdr:colOff>
      <xdr:row>0</xdr:row>
      <xdr:rowOff>360000</xdr:rowOff>
    </xdr:to>
    <xdr:sp macro="" textlink="">
      <xdr:nvSpPr>
        <xdr:cNvPr id="24" name="正方形/長方形 23">
          <a:hlinkClick xmlns:r="http://schemas.openxmlformats.org/officeDocument/2006/relationships" r:id="rId9"/>
          <a:extLst>
            <a:ext uri="{FF2B5EF4-FFF2-40B4-BE49-F238E27FC236}">
              <a16:creationId xmlns:a16="http://schemas.microsoft.com/office/drawing/2014/main" id="{00000000-0008-0000-0500-000018000000}"/>
            </a:ext>
          </a:extLst>
        </xdr:cNvPr>
        <xdr:cNvSpPr/>
      </xdr:nvSpPr>
      <xdr:spPr>
        <a:xfrm>
          <a:off x="9128760" y="0"/>
          <a:ext cx="7848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762000</xdr:colOff>
      <xdr:row>0</xdr:row>
      <xdr:rowOff>0</xdr:rowOff>
    </xdr:from>
    <xdr:to>
      <xdr:col>12</xdr:col>
      <xdr:colOff>838200</xdr:colOff>
      <xdr:row>0</xdr:row>
      <xdr:rowOff>360000</xdr:rowOff>
    </xdr:to>
    <xdr:sp macro="" textlink="">
      <xdr:nvSpPr>
        <xdr:cNvPr id="25" name="正方形/長方形 24">
          <a:hlinkClick xmlns:r="http://schemas.openxmlformats.org/officeDocument/2006/relationships" r:id="rId10"/>
          <a:extLst>
            <a:ext uri="{FF2B5EF4-FFF2-40B4-BE49-F238E27FC236}">
              <a16:creationId xmlns:a16="http://schemas.microsoft.com/office/drawing/2014/main" id="{00000000-0008-0000-0500-000019000000}"/>
            </a:ext>
          </a:extLst>
        </xdr:cNvPr>
        <xdr:cNvSpPr/>
      </xdr:nvSpPr>
      <xdr:spPr>
        <a:xfrm>
          <a:off x="9906000" y="0"/>
          <a:ext cx="9448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455083</xdr:colOff>
      <xdr:row>30</xdr:row>
      <xdr:rowOff>10583</xdr:rowOff>
    </xdr:from>
    <xdr:to>
      <xdr:col>15</xdr:col>
      <xdr:colOff>455083</xdr:colOff>
      <xdr:row>31</xdr:row>
      <xdr:rowOff>63500</xdr:rowOff>
    </xdr:to>
    <xdr:cxnSp macro="">
      <xdr:nvCxnSpPr>
        <xdr:cNvPr id="11" name="直線コネクタ 10">
          <a:extLst>
            <a:ext uri="{FF2B5EF4-FFF2-40B4-BE49-F238E27FC236}">
              <a16:creationId xmlns:a16="http://schemas.microsoft.com/office/drawing/2014/main" id="{00000000-0008-0000-0600-00000B000000}"/>
            </a:ext>
          </a:extLst>
        </xdr:cNvPr>
        <xdr:cNvCxnSpPr/>
      </xdr:nvCxnSpPr>
      <xdr:spPr>
        <a:xfrm>
          <a:off x="14313958" y="6420908"/>
          <a:ext cx="0" cy="262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444500</xdr:colOff>
      <xdr:row>31</xdr:row>
      <xdr:rowOff>63500</xdr:rowOff>
    </xdr:from>
    <xdr:to>
      <xdr:col>17</xdr:col>
      <xdr:colOff>571500</xdr:colOff>
      <xdr:row>31</xdr:row>
      <xdr:rowOff>63501</xdr:rowOff>
    </xdr:to>
    <xdr:cxnSp macro="">
      <xdr:nvCxnSpPr>
        <xdr:cNvPr id="12" name="直線コネクタ 11">
          <a:extLst>
            <a:ext uri="{FF2B5EF4-FFF2-40B4-BE49-F238E27FC236}">
              <a16:creationId xmlns:a16="http://schemas.microsoft.com/office/drawing/2014/main" id="{00000000-0008-0000-0600-00000C000000}"/>
            </a:ext>
          </a:extLst>
        </xdr:cNvPr>
        <xdr:cNvCxnSpPr/>
      </xdr:nvCxnSpPr>
      <xdr:spPr>
        <a:xfrm flipV="1">
          <a:off x="14303375" y="6683375"/>
          <a:ext cx="20510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560916</xdr:colOff>
      <xdr:row>25</xdr:row>
      <xdr:rowOff>201084</xdr:rowOff>
    </xdr:from>
    <xdr:to>
      <xdr:col>17</xdr:col>
      <xdr:colOff>560916</xdr:colOff>
      <xdr:row>31</xdr:row>
      <xdr:rowOff>63500</xdr:rowOff>
    </xdr:to>
    <xdr:cxnSp macro="">
      <xdr:nvCxnSpPr>
        <xdr:cNvPr id="13" name="直線矢印コネクタ 12">
          <a:extLst>
            <a:ext uri="{FF2B5EF4-FFF2-40B4-BE49-F238E27FC236}">
              <a16:creationId xmlns:a16="http://schemas.microsoft.com/office/drawing/2014/main" id="{00000000-0008-0000-0600-00000D000000}"/>
            </a:ext>
          </a:extLst>
        </xdr:cNvPr>
        <xdr:cNvCxnSpPr/>
      </xdr:nvCxnSpPr>
      <xdr:spPr>
        <a:xfrm flipV="1">
          <a:off x="16343841" y="5563659"/>
          <a:ext cx="0" cy="11197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790575</xdr:colOff>
      <xdr:row>0</xdr:row>
      <xdr:rowOff>361950</xdr:rowOff>
    </xdr:to>
    <xdr:sp macro="" textlink="">
      <xdr:nvSpPr>
        <xdr:cNvPr id="20" name="ホームベース 19">
          <a:hlinkClick xmlns:r="http://schemas.openxmlformats.org/officeDocument/2006/relationships" r:id="rId1"/>
          <a:extLst>
            <a:ext uri="{FF2B5EF4-FFF2-40B4-BE49-F238E27FC236}">
              <a16:creationId xmlns:a16="http://schemas.microsoft.com/office/drawing/2014/main" id="{00000000-0008-0000-0600-000014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設備波及効果</a:t>
          </a:r>
        </a:p>
      </xdr:txBody>
    </xdr:sp>
    <xdr:clientData/>
  </xdr:twoCellAnchor>
  <xdr:twoCellAnchor>
    <xdr:from>
      <xdr:col>2</xdr:col>
      <xdr:colOff>937261</xdr:colOff>
      <xdr:row>0</xdr:row>
      <xdr:rowOff>0</xdr:rowOff>
    </xdr:from>
    <xdr:to>
      <xdr:col>3</xdr:col>
      <xdr:colOff>419101</xdr:colOff>
      <xdr:row>0</xdr:row>
      <xdr:rowOff>360000</xdr:rowOff>
    </xdr:to>
    <xdr:sp macro="" textlink="">
      <xdr:nvSpPr>
        <xdr:cNvPr id="21" name="正方形/長方形 20">
          <a:hlinkClick xmlns:r="http://schemas.openxmlformats.org/officeDocument/2006/relationships" r:id="rId2"/>
          <a:extLst>
            <a:ext uri="{FF2B5EF4-FFF2-40B4-BE49-F238E27FC236}">
              <a16:creationId xmlns:a16="http://schemas.microsoft.com/office/drawing/2014/main" id="{00000000-0008-0000-0600-000015000000}"/>
            </a:ext>
          </a:extLst>
        </xdr:cNvPr>
        <xdr:cNvSpPr/>
      </xdr:nvSpPr>
      <xdr:spPr>
        <a:xfrm>
          <a:off x="1508761" y="0"/>
          <a:ext cx="9296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411481</xdr:colOff>
      <xdr:row>0</xdr:row>
      <xdr:rowOff>0</xdr:rowOff>
    </xdr:from>
    <xdr:to>
      <xdr:col>4</xdr:col>
      <xdr:colOff>297181</xdr:colOff>
      <xdr:row>0</xdr:row>
      <xdr:rowOff>360000</xdr:rowOff>
    </xdr:to>
    <xdr:sp macro="" textlink="">
      <xdr:nvSpPr>
        <xdr:cNvPr id="22" name="正方形/長方形 21">
          <a:hlinkClick xmlns:r="http://schemas.openxmlformats.org/officeDocument/2006/relationships" r:id="rId3"/>
          <a:extLst>
            <a:ext uri="{FF2B5EF4-FFF2-40B4-BE49-F238E27FC236}">
              <a16:creationId xmlns:a16="http://schemas.microsoft.com/office/drawing/2014/main" id="{00000000-0008-0000-0600-000016000000}"/>
            </a:ext>
          </a:extLst>
        </xdr:cNvPr>
        <xdr:cNvSpPr/>
      </xdr:nvSpPr>
      <xdr:spPr>
        <a:xfrm>
          <a:off x="2430781" y="0"/>
          <a:ext cx="7543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289561</xdr:colOff>
      <xdr:row>0</xdr:row>
      <xdr:rowOff>0</xdr:rowOff>
    </xdr:from>
    <xdr:to>
      <xdr:col>5</xdr:col>
      <xdr:colOff>228601</xdr:colOff>
      <xdr:row>0</xdr:row>
      <xdr:rowOff>360000</xdr:rowOff>
    </xdr:to>
    <xdr:sp macro="" textlink="">
      <xdr:nvSpPr>
        <xdr:cNvPr id="23" name="正方形/長方形 22">
          <a:hlinkClick xmlns:r="http://schemas.openxmlformats.org/officeDocument/2006/relationships" r:id="rId4"/>
          <a:extLst>
            <a:ext uri="{FF2B5EF4-FFF2-40B4-BE49-F238E27FC236}">
              <a16:creationId xmlns:a16="http://schemas.microsoft.com/office/drawing/2014/main" id="{00000000-0008-0000-0600-000017000000}"/>
            </a:ext>
          </a:extLst>
        </xdr:cNvPr>
        <xdr:cNvSpPr/>
      </xdr:nvSpPr>
      <xdr:spPr>
        <a:xfrm>
          <a:off x="3177541" y="0"/>
          <a:ext cx="8077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228601</xdr:colOff>
      <xdr:row>0</xdr:row>
      <xdr:rowOff>0</xdr:rowOff>
    </xdr:from>
    <xdr:to>
      <xdr:col>6</xdr:col>
      <xdr:colOff>45721</xdr:colOff>
      <xdr:row>0</xdr:row>
      <xdr:rowOff>360000</xdr:rowOff>
    </xdr:to>
    <xdr:sp macro="" textlink="">
      <xdr:nvSpPr>
        <xdr:cNvPr id="24" name="正方形/長方形 23">
          <a:hlinkClick xmlns:r="http://schemas.openxmlformats.org/officeDocument/2006/relationships" r:id="rId5"/>
          <a:extLst>
            <a:ext uri="{FF2B5EF4-FFF2-40B4-BE49-F238E27FC236}">
              <a16:creationId xmlns:a16="http://schemas.microsoft.com/office/drawing/2014/main" id="{00000000-0008-0000-0600-000018000000}"/>
            </a:ext>
          </a:extLst>
        </xdr:cNvPr>
        <xdr:cNvSpPr/>
      </xdr:nvSpPr>
      <xdr:spPr>
        <a:xfrm>
          <a:off x="3985261" y="0"/>
          <a:ext cx="6858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6</xdr:col>
      <xdr:colOff>45720</xdr:colOff>
      <xdr:row>0</xdr:row>
      <xdr:rowOff>0</xdr:rowOff>
    </xdr:from>
    <xdr:to>
      <xdr:col>6</xdr:col>
      <xdr:colOff>868200</xdr:colOff>
      <xdr:row>0</xdr:row>
      <xdr:rowOff>360000</xdr:rowOff>
    </xdr:to>
    <xdr:sp macro="" textlink="">
      <xdr:nvSpPr>
        <xdr:cNvPr id="25" name="正方形/長方形 24">
          <a:hlinkClick xmlns:r="http://schemas.openxmlformats.org/officeDocument/2006/relationships" r:id="rId6"/>
          <a:extLst>
            <a:ext uri="{FF2B5EF4-FFF2-40B4-BE49-F238E27FC236}">
              <a16:creationId xmlns:a16="http://schemas.microsoft.com/office/drawing/2014/main" id="{00000000-0008-0000-0600-000019000000}"/>
            </a:ext>
          </a:extLst>
        </xdr:cNvPr>
        <xdr:cNvSpPr/>
      </xdr:nvSpPr>
      <xdr:spPr>
        <a:xfrm>
          <a:off x="4671060" y="0"/>
          <a:ext cx="8224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6</xdr:col>
      <xdr:colOff>866775</xdr:colOff>
      <xdr:row>0</xdr:row>
      <xdr:rowOff>0</xdr:rowOff>
    </xdr:from>
    <xdr:to>
      <xdr:col>7</xdr:col>
      <xdr:colOff>861060</xdr:colOff>
      <xdr:row>0</xdr:row>
      <xdr:rowOff>360000</xdr:rowOff>
    </xdr:to>
    <xdr:sp macro="" textlink="">
      <xdr:nvSpPr>
        <xdr:cNvPr id="26" name="正方形/長方形 25">
          <a:hlinkClick xmlns:r="http://schemas.openxmlformats.org/officeDocument/2006/relationships" r:id="rId7"/>
          <a:extLst>
            <a:ext uri="{FF2B5EF4-FFF2-40B4-BE49-F238E27FC236}">
              <a16:creationId xmlns:a16="http://schemas.microsoft.com/office/drawing/2014/main" id="{00000000-0008-0000-0600-00001A000000}"/>
            </a:ext>
          </a:extLst>
        </xdr:cNvPr>
        <xdr:cNvSpPr/>
      </xdr:nvSpPr>
      <xdr:spPr>
        <a:xfrm>
          <a:off x="5492115" y="0"/>
          <a:ext cx="862965"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7</xdr:col>
      <xdr:colOff>861060</xdr:colOff>
      <xdr:row>0</xdr:row>
      <xdr:rowOff>0</xdr:rowOff>
    </xdr:from>
    <xdr:to>
      <xdr:col>9</xdr:col>
      <xdr:colOff>15240</xdr:colOff>
      <xdr:row>0</xdr:row>
      <xdr:rowOff>360000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6355080" y="0"/>
          <a:ext cx="891540" cy="360000"/>
        </a:xfrm>
        <a:prstGeom prst="rect">
          <a:avLst/>
        </a:prstGeom>
        <a:solidFill>
          <a:srgbClr val="800000"/>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設備波及</a:t>
          </a:r>
        </a:p>
      </xdr:txBody>
    </xdr:sp>
    <xdr:clientData/>
  </xdr:twoCellAnchor>
  <xdr:twoCellAnchor>
    <xdr:from>
      <xdr:col>9</xdr:col>
      <xdr:colOff>15240</xdr:colOff>
      <xdr:row>0</xdr:row>
      <xdr:rowOff>0</xdr:rowOff>
    </xdr:from>
    <xdr:to>
      <xdr:col>10</xdr:col>
      <xdr:colOff>15240</xdr:colOff>
      <xdr:row>0</xdr:row>
      <xdr:rowOff>360000</xdr:rowOff>
    </xdr:to>
    <xdr:sp macro="" textlink="">
      <xdr:nvSpPr>
        <xdr:cNvPr id="28" name="正方形/長方形 27">
          <a:hlinkClick xmlns:r="http://schemas.openxmlformats.org/officeDocument/2006/relationships" r:id="rId1"/>
          <a:extLst>
            <a:ext uri="{FF2B5EF4-FFF2-40B4-BE49-F238E27FC236}">
              <a16:creationId xmlns:a16="http://schemas.microsoft.com/office/drawing/2014/main" id="{00000000-0008-0000-0600-00001C000000}"/>
            </a:ext>
          </a:extLst>
        </xdr:cNvPr>
        <xdr:cNvSpPr/>
      </xdr:nvSpPr>
      <xdr:spPr>
        <a:xfrm>
          <a:off x="7246620" y="0"/>
          <a:ext cx="8686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10</xdr:col>
      <xdr:colOff>15240</xdr:colOff>
      <xdr:row>0</xdr:row>
      <xdr:rowOff>0</xdr:rowOff>
    </xdr:from>
    <xdr:to>
      <xdr:col>10</xdr:col>
      <xdr:colOff>792480</xdr:colOff>
      <xdr:row>0</xdr:row>
      <xdr:rowOff>360000</xdr:rowOff>
    </xdr:to>
    <xdr:sp macro="" textlink="">
      <xdr:nvSpPr>
        <xdr:cNvPr id="29" name="正方形/長方形 28">
          <a:hlinkClick xmlns:r="http://schemas.openxmlformats.org/officeDocument/2006/relationships" r:id="rId8"/>
          <a:extLst>
            <a:ext uri="{FF2B5EF4-FFF2-40B4-BE49-F238E27FC236}">
              <a16:creationId xmlns:a16="http://schemas.microsoft.com/office/drawing/2014/main" id="{00000000-0008-0000-0600-00001D000000}"/>
            </a:ext>
          </a:extLst>
        </xdr:cNvPr>
        <xdr:cNvSpPr/>
      </xdr:nvSpPr>
      <xdr:spPr>
        <a:xfrm>
          <a:off x="8115300" y="0"/>
          <a:ext cx="7772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792480</xdr:colOff>
      <xdr:row>0</xdr:row>
      <xdr:rowOff>0</xdr:rowOff>
    </xdr:from>
    <xdr:to>
      <xdr:col>11</xdr:col>
      <xdr:colOff>716280</xdr:colOff>
      <xdr:row>0</xdr:row>
      <xdr:rowOff>360000</xdr:rowOff>
    </xdr:to>
    <xdr:sp macro="" textlink="">
      <xdr:nvSpPr>
        <xdr:cNvPr id="30" name="正方形/長方形 29">
          <a:hlinkClick xmlns:r="http://schemas.openxmlformats.org/officeDocument/2006/relationships" r:id="rId9"/>
          <a:extLst>
            <a:ext uri="{FF2B5EF4-FFF2-40B4-BE49-F238E27FC236}">
              <a16:creationId xmlns:a16="http://schemas.microsoft.com/office/drawing/2014/main" id="{00000000-0008-0000-0600-00001E000000}"/>
            </a:ext>
          </a:extLst>
        </xdr:cNvPr>
        <xdr:cNvSpPr/>
      </xdr:nvSpPr>
      <xdr:spPr>
        <a:xfrm>
          <a:off x="8892540" y="0"/>
          <a:ext cx="7924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723900</xdr:colOff>
      <xdr:row>0</xdr:row>
      <xdr:rowOff>0</xdr:rowOff>
    </xdr:from>
    <xdr:to>
      <xdr:col>12</xdr:col>
      <xdr:colOff>792480</xdr:colOff>
      <xdr:row>0</xdr:row>
      <xdr:rowOff>360000</xdr:rowOff>
    </xdr:to>
    <xdr:sp macro="" textlink="">
      <xdr:nvSpPr>
        <xdr:cNvPr id="31" name="正方形/長方形 30">
          <a:hlinkClick xmlns:r="http://schemas.openxmlformats.org/officeDocument/2006/relationships" r:id="rId10"/>
          <a:extLst>
            <a:ext uri="{FF2B5EF4-FFF2-40B4-BE49-F238E27FC236}">
              <a16:creationId xmlns:a16="http://schemas.microsoft.com/office/drawing/2014/main" id="{00000000-0008-0000-0600-00001F000000}"/>
            </a:ext>
          </a:extLst>
        </xdr:cNvPr>
        <xdr:cNvSpPr/>
      </xdr:nvSpPr>
      <xdr:spPr>
        <a:xfrm>
          <a:off x="9692640" y="0"/>
          <a:ext cx="9372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455083</xdr:colOff>
      <xdr:row>30</xdr:row>
      <xdr:rowOff>10583</xdr:rowOff>
    </xdr:from>
    <xdr:to>
      <xdr:col>12</xdr:col>
      <xdr:colOff>455083</xdr:colOff>
      <xdr:row>31</xdr:row>
      <xdr:rowOff>63500</xdr:rowOff>
    </xdr:to>
    <xdr:cxnSp macro="">
      <xdr:nvCxnSpPr>
        <xdr:cNvPr id="14" name="直線コネクタ 13">
          <a:extLst>
            <a:ext uri="{FF2B5EF4-FFF2-40B4-BE49-F238E27FC236}">
              <a16:creationId xmlns:a16="http://schemas.microsoft.com/office/drawing/2014/main" id="{00000000-0008-0000-0700-00000E000000}"/>
            </a:ext>
          </a:extLst>
        </xdr:cNvPr>
        <xdr:cNvCxnSpPr/>
      </xdr:nvCxnSpPr>
      <xdr:spPr>
        <a:xfrm>
          <a:off x="14313958" y="6420908"/>
          <a:ext cx="0" cy="262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444500</xdr:colOff>
      <xdr:row>31</xdr:row>
      <xdr:rowOff>63500</xdr:rowOff>
    </xdr:from>
    <xdr:to>
      <xdr:col>14</xdr:col>
      <xdr:colOff>571500</xdr:colOff>
      <xdr:row>31</xdr:row>
      <xdr:rowOff>63501</xdr:rowOff>
    </xdr:to>
    <xdr:cxnSp macro="">
      <xdr:nvCxnSpPr>
        <xdr:cNvPr id="15" name="直線コネクタ 14">
          <a:extLst>
            <a:ext uri="{FF2B5EF4-FFF2-40B4-BE49-F238E27FC236}">
              <a16:creationId xmlns:a16="http://schemas.microsoft.com/office/drawing/2014/main" id="{00000000-0008-0000-0700-00000F000000}"/>
            </a:ext>
          </a:extLst>
        </xdr:cNvPr>
        <xdr:cNvCxnSpPr/>
      </xdr:nvCxnSpPr>
      <xdr:spPr>
        <a:xfrm flipV="1">
          <a:off x="14303375" y="6683375"/>
          <a:ext cx="20510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560916</xdr:colOff>
      <xdr:row>25</xdr:row>
      <xdr:rowOff>201084</xdr:rowOff>
    </xdr:from>
    <xdr:to>
      <xdr:col>14</xdr:col>
      <xdr:colOff>560916</xdr:colOff>
      <xdr:row>31</xdr:row>
      <xdr:rowOff>63500</xdr:rowOff>
    </xdr:to>
    <xdr:cxnSp macro="">
      <xdr:nvCxnSpPr>
        <xdr:cNvPr id="16" name="直線矢印コネクタ 15">
          <a:extLst>
            <a:ext uri="{FF2B5EF4-FFF2-40B4-BE49-F238E27FC236}">
              <a16:creationId xmlns:a16="http://schemas.microsoft.com/office/drawing/2014/main" id="{00000000-0008-0000-0700-000010000000}"/>
            </a:ext>
          </a:extLst>
        </xdr:cNvPr>
        <xdr:cNvCxnSpPr/>
      </xdr:nvCxnSpPr>
      <xdr:spPr>
        <a:xfrm flipV="1">
          <a:off x="16343841" y="5563659"/>
          <a:ext cx="0" cy="11197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790575</xdr:colOff>
      <xdr:row>0</xdr:row>
      <xdr:rowOff>361950</xdr:rowOff>
    </xdr:to>
    <xdr:sp macro="" textlink="">
      <xdr:nvSpPr>
        <xdr:cNvPr id="20" name="ホームベース 19">
          <a:hlinkClick xmlns:r="http://schemas.openxmlformats.org/officeDocument/2006/relationships" r:id="rId1"/>
          <a:extLst>
            <a:ext uri="{FF2B5EF4-FFF2-40B4-BE49-F238E27FC236}">
              <a16:creationId xmlns:a16="http://schemas.microsoft.com/office/drawing/2014/main" id="{00000000-0008-0000-0700-000014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生産波及効果</a:t>
          </a:r>
        </a:p>
      </xdr:txBody>
    </xdr:sp>
    <xdr:clientData/>
  </xdr:twoCellAnchor>
  <xdr:twoCellAnchor>
    <xdr:from>
      <xdr:col>2</xdr:col>
      <xdr:colOff>1028701</xdr:colOff>
      <xdr:row>0</xdr:row>
      <xdr:rowOff>0</xdr:rowOff>
    </xdr:from>
    <xdr:to>
      <xdr:col>3</xdr:col>
      <xdr:colOff>434341</xdr:colOff>
      <xdr:row>0</xdr:row>
      <xdr:rowOff>360000</xdr:rowOff>
    </xdr:to>
    <xdr:sp macro="" textlink="">
      <xdr:nvSpPr>
        <xdr:cNvPr id="21" name="正方形/長方形 20">
          <a:hlinkClick xmlns:r="http://schemas.openxmlformats.org/officeDocument/2006/relationships" r:id="rId2"/>
          <a:extLst>
            <a:ext uri="{FF2B5EF4-FFF2-40B4-BE49-F238E27FC236}">
              <a16:creationId xmlns:a16="http://schemas.microsoft.com/office/drawing/2014/main" id="{00000000-0008-0000-0700-000015000000}"/>
            </a:ext>
          </a:extLst>
        </xdr:cNvPr>
        <xdr:cNvSpPr/>
      </xdr:nvSpPr>
      <xdr:spPr>
        <a:xfrm>
          <a:off x="1600201" y="0"/>
          <a:ext cx="8534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434341</xdr:colOff>
      <xdr:row>0</xdr:row>
      <xdr:rowOff>0</xdr:rowOff>
    </xdr:from>
    <xdr:to>
      <xdr:col>4</xdr:col>
      <xdr:colOff>350521</xdr:colOff>
      <xdr:row>0</xdr:row>
      <xdr:rowOff>360000</xdr:rowOff>
    </xdr:to>
    <xdr:sp macro="" textlink="">
      <xdr:nvSpPr>
        <xdr:cNvPr id="22" name="正方形/長方形 21">
          <a:hlinkClick xmlns:r="http://schemas.openxmlformats.org/officeDocument/2006/relationships" r:id="rId3"/>
          <a:extLst>
            <a:ext uri="{FF2B5EF4-FFF2-40B4-BE49-F238E27FC236}">
              <a16:creationId xmlns:a16="http://schemas.microsoft.com/office/drawing/2014/main" id="{00000000-0008-0000-0700-000016000000}"/>
            </a:ext>
          </a:extLst>
        </xdr:cNvPr>
        <xdr:cNvSpPr/>
      </xdr:nvSpPr>
      <xdr:spPr>
        <a:xfrm>
          <a:off x="2453641" y="0"/>
          <a:ext cx="7848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350521</xdr:colOff>
      <xdr:row>0</xdr:row>
      <xdr:rowOff>0</xdr:rowOff>
    </xdr:from>
    <xdr:to>
      <xdr:col>5</xdr:col>
      <xdr:colOff>220981</xdr:colOff>
      <xdr:row>0</xdr:row>
      <xdr:rowOff>360000</xdr:rowOff>
    </xdr:to>
    <xdr:sp macro="" textlink="">
      <xdr:nvSpPr>
        <xdr:cNvPr id="23" name="正方形/長方形 22">
          <a:hlinkClick xmlns:r="http://schemas.openxmlformats.org/officeDocument/2006/relationships" r:id="rId4"/>
          <a:extLst>
            <a:ext uri="{FF2B5EF4-FFF2-40B4-BE49-F238E27FC236}">
              <a16:creationId xmlns:a16="http://schemas.microsoft.com/office/drawing/2014/main" id="{00000000-0008-0000-0700-000017000000}"/>
            </a:ext>
          </a:extLst>
        </xdr:cNvPr>
        <xdr:cNvSpPr/>
      </xdr:nvSpPr>
      <xdr:spPr>
        <a:xfrm>
          <a:off x="3238501" y="0"/>
          <a:ext cx="7391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220980</xdr:colOff>
      <xdr:row>0</xdr:row>
      <xdr:rowOff>0</xdr:rowOff>
    </xdr:from>
    <xdr:to>
      <xdr:col>6</xdr:col>
      <xdr:colOff>115725</xdr:colOff>
      <xdr:row>0</xdr:row>
      <xdr:rowOff>360000</xdr:rowOff>
    </xdr:to>
    <xdr:sp macro="" textlink="">
      <xdr:nvSpPr>
        <xdr:cNvPr id="24" name="正方形/長方形 23">
          <a:hlinkClick xmlns:r="http://schemas.openxmlformats.org/officeDocument/2006/relationships" r:id="rId5"/>
          <a:extLst>
            <a:ext uri="{FF2B5EF4-FFF2-40B4-BE49-F238E27FC236}">
              <a16:creationId xmlns:a16="http://schemas.microsoft.com/office/drawing/2014/main" id="{00000000-0008-0000-0700-000018000000}"/>
            </a:ext>
          </a:extLst>
        </xdr:cNvPr>
        <xdr:cNvSpPr/>
      </xdr:nvSpPr>
      <xdr:spPr>
        <a:xfrm>
          <a:off x="3977640" y="0"/>
          <a:ext cx="763425"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t>flow</a:t>
          </a:r>
          <a:endParaRPr kumimoji="1" lang="ja-JP" altLang="en-US" sz="1100" b="0"/>
        </a:p>
      </xdr:txBody>
    </xdr:sp>
    <xdr:clientData/>
  </xdr:twoCellAnchor>
  <xdr:twoCellAnchor>
    <xdr:from>
      <xdr:col>6</xdr:col>
      <xdr:colOff>114300</xdr:colOff>
      <xdr:row>0</xdr:row>
      <xdr:rowOff>0</xdr:rowOff>
    </xdr:from>
    <xdr:to>
      <xdr:col>7</xdr:col>
      <xdr:colOff>53340</xdr:colOff>
      <xdr:row>0</xdr:row>
      <xdr:rowOff>360000</xdr:rowOff>
    </xdr:to>
    <xdr:sp macro="" textlink="">
      <xdr:nvSpPr>
        <xdr:cNvPr id="25" name="正方形/長方形 24">
          <a:hlinkClick xmlns:r="http://schemas.openxmlformats.org/officeDocument/2006/relationships" r:id="rId6"/>
          <a:extLst>
            <a:ext uri="{FF2B5EF4-FFF2-40B4-BE49-F238E27FC236}">
              <a16:creationId xmlns:a16="http://schemas.microsoft.com/office/drawing/2014/main" id="{00000000-0008-0000-0700-000019000000}"/>
            </a:ext>
          </a:extLst>
        </xdr:cNvPr>
        <xdr:cNvSpPr/>
      </xdr:nvSpPr>
      <xdr:spPr>
        <a:xfrm>
          <a:off x="4739640" y="0"/>
          <a:ext cx="8077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7</xdr:col>
      <xdr:colOff>53340</xdr:colOff>
      <xdr:row>0</xdr:row>
      <xdr:rowOff>0</xdr:rowOff>
    </xdr:from>
    <xdr:to>
      <xdr:col>8</xdr:col>
      <xdr:colOff>22860</xdr:colOff>
      <xdr:row>0</xdr:row>
      <xdr:rowOff>360000</xdr:rowOff>
    </xdr:to>
    <xdr:sp macro="" textlink="">
      <xdr:nvSpPr>
        <xdr:cNvPr id="26" name="正方形/長方形 25">
          <a:hlinkClick xmlns:r="http://schemas.openxmlformats.org/officeDocument/2006/relationships" r:id="rId7"/>
          <a:extLst>
            <a:ext uri="{FF2B5EF4-FFF2-40B4-BE49-F238E27FC236}">
              <a16:creationId xmlns:a16="http://schemas.microsoft.com/office/drawing/2014/main" id="{00000000-0008-0000-0700-00001A000000}"/>
            </a:ext>
          </a:extLst>
        </xdr:cNvPr>
        <xdr:cNvSpPr/>
      </xdr:nvSpPr>
      <xdr:spPr>
        <a:xfrm>
          <a:off x="5547360" y="0"/>
          <a:ext cx="8382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8</xdr:col>
      <xdr:colOff>22860</xdr:colOff>
      <xdr:row>0</xdr:row>
      <xdr:rowOff>0</xdr:rowOff>
    </xdr:from>
    <xdr:to>
      <xdr:col>9</xdr:col>
      <xdr:colOff>7620</xdr:colOff>
      <xdr:row>0</xdr:row>
      <xdr:rowOff>360000</xdr:rowOff>
    </xdr:to>
    <xdr:sp macro="" textlink="">
      <xdr:nvSpPr>
        <xdr:cNvPr id="27" name="正方形/長方形 26">
          <a:hlinkClick xmlns:r="http://schemas.openxmlformats.org/officeDocument/2006/relationships" r:id="rId8"/>
          <a:extLst>
            <a:ext uri="{FF2B5EF4-FFF2-40B4-BE49-F238E27FC236}">
              <a16:creationId xmlns:a16="http://schemas.microsoft.com/office/drawing/2014/main" id="{00000000-0008-0000-0700-00001B000000}"/>
            </a:ext>
          </a:extLst>
        </xdr:cNvPr>
        <xdr:cNvSpPr/>
      </xdr:nvSpPr>
      <xdr:spPr>
        <a:xfrm>
          <a:off x="6385560" y="0"/>
          <a:ext cx="8534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9</xdr:col>
      <xdr:colOff>0</xdr:colOff>
      <xdr:row>0</xdr:row>
      <xdr:rowOff>0</xdr:rowOff>
    </xdr:from>
    <xdr:to>
      <xdr:col>9</xdr:col>
      <xdr:colOff>822960</xdr:colOff>
      <xdr:row>0</xdr:row>
      <xdr:rowOff>360000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7231380" y="0"/>
          <a:ext cx="822960" cy="360000"/>
        </a:xfrm>
        <a:prstGeom prst="rect">
          <a:avLst/>
        </a:prstGeom>
        <a:solidFill>
          <a:srgbClr val="800000"/>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生産波及</a:t>
          </a:r>
        </a:p>
      </xdr:txBody>
    </xdr:sp>
    <xdr:clientData/>
  </xdr:twoCellAnchor>
  <xdr:twoCellAnchor>
    <xdr:from>
      <xdr:col>9</xdr:col>
      <xdr:colOff>822960</xdr:colOff>
      <xdr:row>0</xdr:row>
      <xdr:rowOff>0</xdr:rowOff>
    </xdr:from>
    <xdr:to>
      <xdr:col>10</xdr:col>
      <xdr:colOff>739140</xdr:colOff>
      <xdr:row>0</xdr:row>
      <xdr:rowOff>360000</xdr:rowOff>
    </xdr:to>
    <xdr:sp macro="" textlink="">
      <xdr:nvSpPr>
        <xdr:cNvPr id="29" name="正方形/長方形 28">
          <a:hlinkClick xmlns:r="http://schemas.openxmlformats.org/officeDocument/2006/relationships" r:id="rId9"/>
          <a:extLst>
            <a:ext uri="{FF2B5EF4-FFF2-40B4-BE49-F238E27FC236}">
              <a16:creationId xmlns:a16="http://schemas.microsoft.com/office/drawing/2014/main" id="{00000000-0008-0000-0700-00001D000000}"/>
            </a:ext>
          </a:extLst>
        </xdr:cNvPr>
        <xdr:cNvSpPr/>
      </xdr:nvSpPr>
      <xdr:spPr>
        <a:xfrm>
          <a:off x="8054340" y="0"/>
          <a:ext cx="7848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723900</xdr:colOff>
      <xdr:row>0</xdr:row>
      <xdr:rowOff>0</xdr:rowOff>
    </xdr:from>
    <xdr:to>
      <xdr:col>11</xdr:col>
      <xdr:colOff>624840</xdr:colOff>
      <xdr:row>0</xdr:row>
      <xdr:rowOff>360000</xdr:rowOff>
    </xdr:to>
    <xdr:sp macro="" textlink="">
      <xdr:nvSpPr>
        <xdr:cNvPr id="30" name="正方形/長方形 29">
          <a:hlinkClick xmlns:r="http://schemas.openxmlformats.org/officeDocument/2006/relationships" r:id="rId10"/>
          <a:extLst>
            <a:ext uri="{FF2B5EF4-FFF2-40B4-BE49-F238E27FC236}">
              <a16:creationId xmlns:a16="http://schemas.microsoft.com/office/drawing/2014/main" id="{00000000-0008-0000-0700-00001E000000}"/>
            </a:ext>
          </a:extLst>
        </xdr:cNvPr>
        <xdr:cNvSpPr/>
      </xdr:nvSpPr>
      <xdr:spPr>
        <a:xfrm>
          <a:off x="8823960" y="0"/>
          <a:ext cx="7696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617220</xdr:colOff>
      <xdr:row>0</xdr:row>
      <xdr:rowOff>0</xdr:rowOff>
    </xdr:from>
    <xdr:to>
      <xdr:col>12</xdr:col>
      <xdr:colOff>655320</xdr:colOff>
      <xdr:row>0</xdr:row>
      <xdr:rowOff>360000</xdr:rowOff>
    </xdr:to>
    <xdr:sp macro="" textlink="">
      <xdr:nvSpPr>
        <xdr:cNvPr id="31" name="正方形/長方形 30">
          <a:hlinkClick xmlns:r="http://schemas.openxmlformats.org/officeDocument/2006/relationships" r:id="rId11"/>
          <a:extLst>
            <a:ext uri="{FF2B5EF4-FFF2-40B4-BE49-F238E27FC236}">
              <a16:creationId xmlns:a16="http://schemas.microsoft.com/office/drawing/2014/main" id="{00000000-0008-0000-0700-00001F000000}"/>
            </a:ext>
          </a:extLst>
        </xdr:cNvPr>
        <xdr:cNvSpPr/>
      </xdr:nvSpPr>
      <xdr:spPr>
        <a:xfrm>
          <a:off x="9585960" y="0"/>
          <a:ext cx="9067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42</xdr:col>
      <xdr:colOff>447675</xdr:colOff>
      <xdr:row>7</xdr:row>
      <xdr:rowOff>0</xdr:rowOff>
    </xdr:from>
    <xdr:to>
      <xdr:col>42</xdr:col>
      <xdr:colOff>447675</xdr:colOff>
      <xdr:row>10</xdr:row>
      <xdr:rowOff>161925</xdr:rowOff>
    </xdr:to>
    <xdr:cxnSp macro="">
      <xdr:nvCxnSpPr>
        <xdr:cNvPr id="3" name="直線矢印コネクタ 2">
          <a:extLst>
            <a:ext uri="{FF2B5EF4-FFF2-40B4-BE49-F238E27FC236}">
              <a16:creationId xmlns:a16="http://schemas.microsoft.com/office/drawing/2014/main" id="{00000000-0008-0000-0800-000003000000}"/>
            </a:ext>
          </a:extLst>
        </xdr:cNvPr>
        <xdr:cNvCxnSpPr/>
      </xdr:nvCxnSpPr>
      <xdr:spPr>
        <a:xfrm>
          <a:off x="37785675" y="1381125"/>
          <a:ext cx="0" cy="6762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514350</xdr:colOff>
      <xdr:row>5</xdr:row>
      <xdr:rowOff>161925</xdr:rowOff>
    </xdr:from>
    <xdr:to>
      <xdr:col>42</xdr:col>
      <xdr:colOff>457200</xdr:colOff>
      <xdr:row>8</xdr:row>
      <xdr:rowOff>19050</xdr:rowOff>
    </xdr:to>
    <xdr:cxnSp macro="">
      <xdr:nvCxnSpPr>
        <xdr:cNvPr id="6" name="カギ線コネクタ 5">
          <a:extLst>
            <a:ext uri="{FF2B5EF4-FFF2-40B4-BE49-F238E27FC236}">
              <a16:creationId xmlns:a16="http://schemas.microsoft.com/office/drawing/2014/main" id="{00000000-0008-0000-0800-000006000000}"/>
            </a:ext>
          </a:extLst>
        </xdr:cNvPr>
        <xdr:cNvCxnSpPr/>
      </xdr:nvCxnSpPr>
      <xdr:spPr>
        <a:xfrm>
          <a:off x="34004250" y="1200150"/>
          <a:ext cx="3790950" cy="371475"/>
        </a:xfrm>
        <a:prstGeom prst="bentConnector3">
          <a:avLst>
            <a:gd name="adj1" fmla="val 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476250</xdr:colOff>
      <xdr:row>6</xdr:row>
      <xdr:rowOff>0</xdr:rowOff>
    </xdr:from>
    <xdr:to>
      <xdr:col>39</xdr:col>
      <xdr:colOff>476250</xdr:colOff>
      <xdr:row>8</xdr:row>
      <xdr:rowOff>17100</xdr:rowOff>
    </xdr:to>
    <xdr:cxnSp macro="">
      <xdr:nvCxnSpPr>
        <xdr:cNvPr id="9" name="直線コネクタ 8">
          <a:extLst>
            <a:ext uri="{FF2B5EF4-FFF2-40B4-BE49-F238E27FC236}">
              <a16:creationId xmlns:a16="http://schemas.microsoft.com/office/drawing/2014/main" id="{00000000-0008-0000-0800-000009000000}"/>
            </a:ext>
          </a:extLst>
        </xdr:cNvPr>
        <xdr:cNvCxnSpPr/>
      </xdr:nvCxnSpPr>
      <xdr:spPr>
        <a:xfrm>
          <a:off x="34928175" y="1209675"/>
          <a:ext cx="0" cy="36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828675</xdr:colOff>
      <xdr:row>0</xdr:row>
      <xdr:rowOff>361950</xdr:rowOff>
    </xdr:to>
    <xdr:sp macro="" textlink="">
      <xdr:nvSpPr>
        <xdr:cNvPr id="5" name="ホームベース 4">
          <a:hlinkClick xmlns:r="http://schemas.openxmlformats.org/officeDocument/2006/relationships" r:id="rId1"/>
          <a:extLst>
            <a:ext uri="{FF2B5EF4-FFF2-40B4-BE49-F238E27FC236}">
              <a16:creationId xmlns:a16="http://schemas.microsoft.com/office/drawing/2014/main" id="{00000000-0008-0000-0800-000005000000}"/>
            </a:ext>
          </a:extLst>
        </xdr:cNvPr>
        <xdr:cNvSpPr/>
      </xdr:nvSpPr>
      <xdr:spPr>
        <a:xfrm>
          <a:off x="123825" y="0"/>
          <a:ext cx="1295400" cy="361950"/>
        </a:xfrm>
        <a:prstGeom prst="homePlate">
          <a:avLst/>
        </a:prstGeom>
        <a:solidFill>
          <a:srgbClr val="FFCCCC"/>
        </a:solidFill>
        <a:ln w="28575">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r>
            <a:rPr kumimoji="1" lang="ja-JP" altLang="en-US" sz="1100"/>
            <a:t>整理</a:t>
          </a:r>
        </a:p>
      </xdr:txBody>
    </xdr:sp>
    <xdr:clientData/>
  </xdr:twoCellAnchor>
  <xdr:twoCellAnchor>
    <xdr:from>
      <xdr:col>2</xdr:col>
      <xdr:colOff>1059180</xdr:colOff>
      <xdr:row>0</xdr:row>
      <xdr:rowOff>0</xdr:rowOff>
    </xdr:from>
    <xdr:to>
      <xdr:col>4</xdr:col>
      <xdr:colOff>373380</xdr:colOff>
      <xdr:row>0</xdr:row>
      <xdr:rowOff>360000</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0800-000007000000}"/>
            </a:ext>
          </a:extLst>
        </xdr:cNvPr>
        <xdr:cNvSpPr/>
      </xdr:nvSpPr>
      <xdr:spPr>
        <a:xfrm>
          <a:off x="1592580" y="0"/>
          <a:ext cx="8763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365761</xdr:colOff>
      <xdr:row>0</xdr:row>
      <xdr:rowOff>0</xdr:rowOff>
    </xdr:from>
    <xdr:to>
      <xdr:col>6</xdr:col>
      <xdr:colOff>99061</xdr:colOff>
      <xdr:row>0</xdr:row>
      <xdr:rowOff>360000</xdr:rowOff>
    </xdr:to>
    <xdr:sp macro="" textlink="">
      <xdr:nvSpPr>
        <xdr:cNvPr id="8" name="正方形/長方形 7">
          <a:hlinkClick xmlns:r="http://schemas.openxmlformats.org/officeDocument/2006/relationships" r:id="rId3"/>
          <a:extLst>
            <a:ext uri="{FF2B5EF4-FFF2-40B4-BE49-F238E27FC236}">
              <a16:creationId xmlns:a16="http://schemas.microsoft.com/office/drawing/2014/main" id="{00000000-0008-0000-0800-000008000000}"/>
            </a:ext>
          </a:extLst>
        </xdr:cNvPr>
        <xdr:cNvSpPr/>
      </xdr:nvSpPr>
      <xdr:spPr>
        <a:xfrm>
          <a:off x="2461261" y="0"/>
          <a:ext cx="7467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6</xdr:col>
      <xdr:colOff>99060</xdr:colOff>
      <xdr:row>0</xdr:row>
      <xdr:rowOff>0</xdr:rowOff>
    </xdr:from>
    <xdr:to>
      <xdr:col>6</xdr:col>
      <xdr:colOff>891540</xdr:colOff>
      <xdr:row>0</xdr:row>
      <xdr:rowOff>360000</xdr:rowOff>
    </xdr:to>
    <xdr:sp macro="" textlink="">
      <xdr:nvSpPr>
        <xdr:cNvPr id="10" name="正方形/長方形 9">
          <a:hlinkClick xmlns:r="http://schemas.openxmlformats.org/officeDocument/2006/relationships" r:id="rId4"/>
          <a:extLst>
            <a:ext uri="{FF2B5EF4-FFF2-40B4-BE49-F238E27FC236}">
              <a16:creationId xmlns:a16="http://schemas.microsoft.com/office/drawing/2014/main" id="{00000000-0008-0000-0800-00000A000000}"/>
            </a:ext>
          </a:extLst>
        </xdr:cNvPr>
        <xdr:cNvSpPr/>
      </xdr:nvSpPr>
      <xdr:spPr>
        <a:xfrm>
          <a:off x="3208020" y="0"/>
          <a:ext cx="79248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6</xdr:col>
      <xdr:colOff>891541</xdr:colOff>
      <xdr:row>0</xdr:row>
      <xdr:rowOff>0</xdr:rowOff>
    </xdr:from>
    <xdr:to>
      <xdr:col>6</xdr:col>
      <xdr:colOff>1554481</xdr:colOff>
      <xdr:row>0</xdr:row>
      <xdr:rowOff>360000</xdr:rowOff>
    </xdr:to>
    <xdr:sp macro="" textlink="">
      <xdr:nvSpPr>
        <xdr:cNvPr id="11" name="正方形/長方形 10">
          <a:hlinkClick xmlns:r="http://schemas.openxmlformats.org/officeDocument/2006/relationships" r:id="rId5"/>
          <a:extLst>
            <a:ext uri="{FF2B5EF4-FFF2-40B4-BE49-F238E27FC236}">
              <a16:creationId xmlns:a16="http://schemas.microsoft.com/office/drawing/2014/main" id="{00000000-0008-0000-0800-00000B000000}"/>
            </a:ext>
          </a:extLst>
        </xdr:cNvPr>
        <xdr:cNvSpPr/>
      </xdr:nvSpPr>
      <xdr:spPr>
        <a:xfrm>
          <a:off x="4000501" y="0"/>
          <a:ext cx="6629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t>flow</a:t>
          </a:r>
          <a:endParaRPr kumimoji="1" lang="ja-JP" altLang="en-US" sz="1100" b="1"/>
        </a:p>
      </xdr:txBody>
    </xdr:sp>
    <xdr:clientData/>
  </xdr:twoCellAnchor>
  <xdr:twoCellAnchor>
    <xdr:from>
      <xdr:col>6</xdr:col>
      <xdr:colOff>1554480</xdr:colOff>
      <xdr:row>0</xdr:row>
      <xdr:rowOff>0</xdr:rowOff>
    </xdr:from>
    <xdr:to>
      <xdr:col>7</xdr:col>
      <xdr:colOff>792000</xdr:colOff>
      <xdr:row>0</xdr:row>
      <xdr:rowOff>360000</xdr:rowOff>
    </xdr:to>
    <xdr:sp macro="" textlink="">
      <xdr:nvSpPr>
        <xdr:cNvPr id="12" name="正方形/長方形 11">
          <a:hlinkClick xmlns:r="http://schemas.openxmlformats.org/officeDocument/2006/relationships" r:id="rId6"/>
          <a:extLst>
            <a:ext uri="{FF2B5EF4-FFF2-40B4-BE49-F238E27FC236}">
              <a16:creationId xmlns:a16="http://schemas.microsoft.com/office/drawing/2014/main" id="{00000000-0008-0000-0800-00000C000000}"/>
            </a:ext>
          </a:extLst>
        </xdr:cNvPr>
        <xdr:cNvSpPr/>
      </xdr:nvSpPr>
      <xdr:spPr>
        <a:xfrm>
          <a:off x="4663440" y="0"/>
          <a:ext cx="84534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7</xdr:col>
      <xdr:colOff>790575</xdr:colOff>
      <xdr:row>0</xdr:row>
      <xdr:rowOff>0</xdr:rowOff>
    </xdr:from>
    <xdr:to>
      <xdr:col>8</xdr:col>
      <xdr:colOff>746760</xdr:colOff>
      <xdr:row>0</xdr:row>
      <xdr:rowOff>360000</xdr:rowOff>
    </xdr:to>
    <xdr:sp macro="" textlink="">
      <xdr:nvSpPr>
        <xdr:cNvPr id="13" name="正方形/長方形 12">
          <a:hlinkClick xmlns:r="http://schemas.openxmlformats.org/officeDocument/2006/relationships" r:id="rId7"/>
          <a:extLst>
            <a:ext uri="{FF2B5EF4-FFF2-40B4-BE49-F238E27FC236}">
              <a16:creationId xmlns:a16="http://schemas.microsoft.com/office/drawing/2014/main" id="{00000000-0008-0000-0800-00000D000000}"/>
            </a:ext>
          </a:extLst>
        </xdr:cNvPr>
        <xdr:cNvSpPr/>
      </xdr:nvSpPr>
      <xdr:spPr>
        <a:xfrm>
          <a:off x="5507355" y="0"/>
          <a:ext cx="824865"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8</xdr:col>
      <xdr:colOff>731520</xdr:colOff>
      <xdr:row>0</xdr:row>
      <xdr:rowOff>0</xdr:rowOff>
    </xdr:from>
    <xdr:to>
      <xdr:col>9</xdr:col>
      <xdr:colOff>685800</xdr:colOff>
      <xdr:row>0</xdr:row>
      <xdr:rowOff>360000</xdr:rowOff>
    </xdr:to>
    <xdr:sp macro="" textlink="">
      <xdr:nvSpPr>
        <xdr:cNvPr id="14" name="正方形/長方形 13">
          <a:hlinkClick xmlns:r="http://schemas.openxmlformats.org/officeDocument/2006/relationships" r:id="rId8"/>
          <a:extLst>
            <a:ext uri="{FF2B5EF4-FFF2-40B4-BE49-F238E27FC236}">
              <a16:creationId xmlns:a16="http://schemas.microsoft.com/office/drawing/2014/main" id="{00000000-0008-0000-0800-00000E000000}"/>
            </a:ext>
          </a:extLst>
        </xdr:cNvPr>
        <xdr:cNvSpPr/>
      </xdr:nvSpPr>
      <xdr:spPr>
        <a:xfrm>
          <a:off x="6316980" y="0"/>
          <a:ext cx="82296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9</xdr:col>
      <xdr:colOff>685800</xdr:colOff>
      <xdr:row>0</xdr:row>
      <xdr:rowOff>0</xdr:rowOff>
    </xdr:from>
    <xdr:to>
      <xdr:col>10</xdr:col>
      <xdr:colOff>624840</xdr:colOff>
      <xdr:row>0</xdr:row>
      <xdr:rowOff>360000</xdr:rowOff>
    </xdr:to>
    <xdr:sp macro="" textlink="">
      <xdr:nvSpPr>
        <xdr:cNvPr id="15" name="正方形/長方形 14">
          <a:hlinkClick xmlns:r="http://schemas.openxmlformats.org/officeDocument/2006/relationships" r:id="rId9"/>
          <a:extLst>
            <a:ext uri="{FF2B5EF4-FFF2-40B4-BE49-F238E27FC236}">
              <a16:creationId xmlns:a16="http://schemas.microsoft.com/office/drawing/2014/main" id="{00000000-0008-0000-0800-00000F000000}"/>
            </a:ext>
          </a:extLst>
        </xdr:cNvPr>
        <xdr:cNvSpPr/>
      </xdr:nvSpPr>
      <xdr:spPr>
        <a:xfrm>
          <a:off x="7139940" y="0"/>
          <a:ext cx="80772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10</xdr:col>
      <xdr:colOff>609600</xdr:colOff>
      <xdr:row>0</xdr:row>
      <xdr:rowOff>0</xdr:rowOff>
    </xdr:from>
    <xdr:to>
      <xdr:col>12</xdr:col>
      <xdr:colOff>342900</xdr:colOff>
      <xdr:row>0</xdr:row>
      <xdr:rowOff>360000</xdr:rowOff>
    </xdr:to>
    <xdr:sp macro="" textlink="">
      <xdr:nvSpPr>
        <xdr:cNvPr id="16" name="正方形/長方形 15">
          <a:extLst>
            <a:ext uri="{FF2B5EF4-FFF2-40B4-BE49-F238E27FC236}">
              <a16:creationId xmlns:a16="http://schemas.microsoft.com/office/drawing/2014/main" id="{00000000-0008-0000-0800-000010000000}"/>
            </a:ext>
          </a:extLst>
        </xdr:cNvPr>
        <xdr:cNvSpPr/>
      </xdr:nvSpPr>
      <xdr:spPr>
        <a:xfrm>
          <a:off x="7932420" y="0"/>
          <a:ext cx="716280" cy="360000"/>
        </a:xfrm>
        <a:prstGeom prst="rect">
          <a:avLst/>
        </a:prstGeom>
        <a:solidFill>
          <a:srgbClr val="800000"/>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solidFill>
                <a:schemeClr val="bg1"/>
              </a:solidFill>
            </a:rPr>
            <a:t>DATA</a:t>
          </a:r>
          <a:endParaRPr kumimoji="1" lang="ja-JP" altLang="en-US" sz="1100" b="1">
            <a:solidFill>
              <a:schemeClr val="bg1"/>
            </a:solidFill>
          </a:endParaRPr>
        </a:p>
      </xdr:txBody>
    </xdr:sp>
    <xdr:clientData/>
  </xdr:twoCellAnchor>
  <xdr:twoCellAnchor>
    <xdr:from>
      <xdr:col>12</xdr:col>
      <xdr:colOff>350520</xdr:colOff>
      <xdr:row>0</xdr:row>
      <xdr:rowOff>0</xdr:rowOff>
    </xdr:from>
    <xdr:to>
      <xdr:col>13</xdr:col>
      <xdr:colOff>365759</xdr:colOff>
      <xdr:row>0</xdr:row>
      <xdr:rowOff>360000</xdr:rowOff>
    </xdr:to>
    <xdr:sp macro="" textlink="">
      <xdr:nvSpPr>
        <xdr:cNvPr id="17" name="正方形/長方形 16">
          <a:hlinkClick xmlns:r="http://schemas.openxmlformats.org/officeDocument/2006/relationships" r:id="rId1"/>
          <a:extLst>
            <a:ext uri="{FF2B5EF4-FFF2-40B4-BE49-F238E27FC236}">
              <a16:creationId xmlns:a16="http://schemas.microsoft.com/office/drawing/2014/main" id="{00000000-0008-0000-0800-000011000000}"/>
            </a:ext>
          </a:extLst>
        </xdr:cNvPr>
        <xdr:cNvSpPr/>
      </xdr:nvSpPr>
      <xdr:spPr>
        <a:xfrm>
          <a:off x="8656320" y="0"/>
          <a:ext cx="609599"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13</xdr:col>
      <xdr:colOff>365760</xdr:colOff>
      <xdr:row>0</xdr:row>
      <xdr:rowOff>0</xdr:rowOff>
    </xdr:from>
    <xdr:to>
      <xdr:col>14</xdr:col>
      <xdr:colOff>822960</xdr:colOff>
      <xdr:row>0</xdr:row>
      <xdr:rowOff>360000</xdr:rowOff>
    </xdr:to>
    <xdr:sp macro="" textlink="">
      <xdr:nvSpPr>
        <xdr:cNvPr id="18" name="正方形/長方形 17">
          <a:hlinkClick xmlns:r="http://schemas.openxmlformats.org/officeDocument/2006/relationships" r:id="rId10"/>
          <a:extLst>
            <a:ext uri="{FF2B5EF4-FFF2-40B4-BE49-F238E27FC236}">
              <a16:creationId xmlns:a16="http://schemas.microsoft.com/office/drawing/2014/main" id="{00000000-0008-0000-0800-000012000000}"/>
            </a:ext>
          </a:extLst>
        </xdr:cNvPr>
        <xdr:cNvSpPr/>
      </xdr:nvSpPr>
      <xdr:spPr>
        <a:xfrm>
          <a:off x="9265920" y="0"/>
          <a:ext cx="876300" cy="360000"/>
        </a:xfrm>
        <a:prstGeom prst="rect">
          <a:avLst/>
        </a:prstGeom>
        <a:solidFill>
          <a:srgbClr val="FFCCCC"/>
        </a:solidFill>
        <a:ln w="12700">
          <a:solidFill>
            <a:srgbClr val="8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pref.saitama.lg.jp/a0206/a152/" TargetMode="External"/><Relationship Id="rId1" Type="http://schemas.openxmlformats.org/officeDocument/2006/relationships/hyperlink" Target="mailto:a2300-15@pref.saitama.lg.jp"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autoPageBreaks="0" fitToPage="1"/>
  </sheetPr>
  <dimension ref="A1:U132"/>
  <sheetViews>
    <sheetView showRowColHeaders="0" tabSelected="1" zoomScale="80" zoomScaleNormal="80" workbookViewId="0"/>
  </sheetViews>
  <sheetFormatPr defaultColWidth="9" defaultRowHeight="16.5"/>
  <cols>
    <col min="1" max="1" width="1.6328125" style="155" customWidth="1"/>
    <col min="2" max="3" width="3.453125" style="155" customWidth="1"/>
    <col min="4" max="4" width="10.6328125" style="268" customWidth="1"/>
    <col min="5" max="5" width="4.36328125" style="155" customWidth="1"/>
    <col min="6" max="6" width="4.90625" style="155" customWidth="1"/>
    <col min="7" max="7" width="1.90625" style="155" customWidth="1"/>
    <col min="8" max="8" width="12.453125" style="155" customWidth="1"/>
    <col min="9" max="16384" width="9" style="155"/>
  </cols>
  <sheetData>
    <row r="1" spans="1:21" ht="37.5" customHeight="1">
      <c r="A1" s="716"/>
    </row>
    <row r="2" spans="1:21">
      <c r="D2" s="155"/>
      <c r="P2" s="269"/>
      <c r="Q2" s="269"/>
    </row>
    <row r="3" spans="1:21" ht="18" customHeight="1">
      <c r="B3" s="528" t="s">
        <v>322</v>
      </c>
      <c r="C3" s="529"/>
      <c r="D3" s="529"/>
      <c r="E3" s="529"/>
      <c r="F3" s="529"/>
      <c r="G3" s="529"/>
      <c r="H3" s="529"/>
      <c r="I3" s="529"/>
      <c r="J3" s="529"/>
      <c r="K3" s="529"/>
      <c r="L3" s="529"/>
      <c r="M3" s="529"/>
      <c r="N3" s="529"/>
      <c r="O3" s="529"/>
      <c r="P3" s="529"/>
      <c r="Q3" s="529"/>
      <c r="R3" s="529"/>
      <c r="S3" s="529"/>
      <c r="T3" s="529"/>
      <c r="U3" s="530"/>
    </row>
    <row r="4" spans="1:21" ht="13.5" customHeight="1">
      <c r="D4" s="155"/>
    </row>
    <row r="5" spans="1:21" ht="13.5" customHeight="1">
      <c r="C5" s="155" t="s">
        <v>277</v>
      </c>
      <c r="P5" s="270"/>
      <c r="Q5" s="270"/>
    </row>
    <row r="7" spans="1:21" ht="13.5" customHeight="1">
      <c r="D7" s="516" t="s">
        <v>129</v>
      </c>
      <c r="E7" s="517"/>
      <c r="F7" s="517"/>
      <c r="G7" s="517"/>
      <c r="H7" s="517"/>
      <c r="I7" s="517"/>
      <c r="J7" s="517"/>
      <c r="K7" s="517"/>
      <c r="L7" s="517"/>
      <c r="M7" s="517"/>
      <c r="N7" s="517"/>
      <c r="O7" s="517"/>
      <c r="P7" s="517"/>
      <c r="Q7" s="517"/>
      <c r="R7" s="517"/>
      <c r="S7" s="518"/>
    </row>
    <row r="8" spans="1:21">
      <c r="D8" s="519"/>
      <c r="E8" s="520"/>
      <c r="F8" s="520"/>
      <c r="G8" s="520"/>
      <c r="H8" s="520"/>
      <c r="I8" s="520"/>
      <c r="J8" s="520"/>
      <c r="K8" s="520"/>
      <c r="L8" s="520"/>
      <c r="M8" s="520"/>
      <c r="N8" s="520"/>
      <c r="O8" s="520"/>
      <c r="P8" s="520"/>
      <c r="Q8" s="520"/>
      <c r="R8" s="520"/>
      <c r="S8" s="521"/>
    </row>
    <row r="9" spans="1:21">
      <c r="D9" s="155" t="s">
        <v>173</v>
      </c>
    </row>
    <row r="10" spans="1:21">
      <c r="D10" s="516" t="s">
        <v>177</v>
      </c>
      <c r="E10" s="517"/>
      <c r="F10" s="517"/>
      <c r="G10" s="517"/>
      <c r="H10" s="517"/>
      <c r="I10" s="517"/>
      <c r="J10" s="517"/>
      <c r="K10" s="517"/>
      <c r="L10" s="517"/>
      <c r="M10" s="517"/>
      <c r="N10" s="517"/>
      <c r="O10" s="517"/>
      <c r="P10" s="517"/>
      <c r="Q10" s="517"/>
      <c r="R10" s="517"/>
      <c r="S10" s="518"/>
    </row>
    <row r="11" spans="1:21">
      <c r="D11" s="519"/>
      <c r="E11" s="520"/>
      <c r="F11" s="520"/>
      <c r="G11" s="520"/>
      <c r="H11" s="520"/>
      <c r="I11" s="520"/>
      <c r="J11" s="520"/>
      <c r="K11" s="520"/>
      <c r="L11" s="520"/>
      <c r="M11" s="520"/>
      <c r="N11" s="520"/>
      <c r="O11" s="520"/>
      <c r="P11" s="520"/>
      <c r="Q11" s="520"/>
      <c r="R11" s="520"/>
      <c r="S11" s="521"/>
    </row>
    <row r="12" spans="1:21" ht="6" customHeight="1">
      <c r="D12" s="155"/>
      <c r="E12" s="271"/>
      <c r="F12" s="271"/>
      <c r="G12" s="271"/>
      <c r="H12" s="271"/>
      <c r="I12" s="271"/>
      <c r="J12" s="271"/>
      <c r="K12" s="271"/>
      <c r="L12" s="271"/>
      <c r="M12" s="271"/>
      <c r="N12" s="271"/>
      <c r="O12" s="271"/>
      <c r="P12" s="271"/>
      <c r="Q12" s="271"/>
      <c r="R12" s="271"/>
      <c r="S12" s="271"/>
    </row>
    <row r="13" spans="1:21">
      <c r="D13" s="522" t="s">
        <v>194</v>
      </c>
      <c r="E13" s="523"/>
      <c r="F13" s="523"/>
      <c r="G13" s="523"/>
      <c r="H13" s="523"/>
      <c r="I13" s="523"/>
      <c r="J13" s="523"/>
      <c r="K13" s="523"/>
      <c r="L13" s="523"/>
      <c r="M13" s="523"/>
      <c r="N13" s="523"/>
      <c r="O13" s="523"/>
      <c r="P13" s="523"/>
      <c r="Q13" s="523"/>
      <c r="R13" s="523"/>
      <c r="S13" s="524"/>
    </row>
    <row r="14" spans="1:21">
      <c r="D14" s="525"/>
      <c r="E14" s="526"/>
      <c r="F14" s="526"/>
      <c r="G14" s="526"/>
      <c r="H14" s="526"/>
      <c r="I14" s="526"/>
      <c r="J14" s="526"/>
      <c r="K14" s="526"/>
      <c r="L14" s="526"/>
      <c r="M14" s="526"/>
      <c r="N14" s="526"/>
      <c r="O14" s="526"/>
      <c r="P14" s="526"/>
      <c r="Q14" s="526"/>
      <c r="R14" s="526"/>
      <c r="S14" s="527"/>
    </row>
    <row r="15" spans="1:21">
      <c r="D15" s="155"/>
    </row>
    <row r="16" spans="1:21">
      <c r="C16" s="155" t="s">
        <v>278</v>
      </c>
    </row>
    <row r="17" spans="3:9">
      <c r="D17" s="155" t="s">
        <v>279</v>
      </c>
    </row>
    <row r="18" spans="3:9" ht="17" thickBot="1">
      <c r="D18" s="269"/>
    </row>
    <row r="19" spans="3:9">
      <c r="C19" s="259"/>
      <c r="D19" s="531" t="s">
        <v>280</v>
      </c>
      <c r="E19" s="272"/>
      <c r="F19" s="273" t="s">
        <v>71</v>
      </c>
      <c r="G19" s="155" t="s">
        <v>58</v>
      </c>
      <c r="I19" s="155" t="s">
        <v>127</v>
      </c>
    </row>
    <row r="20" spans="3:9" ht="17" thickBot="1">
      <c r="C20" s="259"/>
      <c r="D20" s="532"/>
      <c r="E20" s="274"/>
      <c r="F20" s="273"/>
    </row>
    <row r="21" spans="3:9">
      <c r="D21" s="275"/>
      <c r="F21" s="273" t="s">
        <v>72</v>
      </c>
      <c r="G21" s="155" t="s">
        <v>49</v>
      </c>
      <c r="I21" s="155" t="s">
        <v>50</v>
      </c>
    </row>
    <row r="22" spans="3:9" ht="14.25" customHeight="1"/>
    <row r="23" spans="3:9">
      <c r="F23" s="276">
        <v>1</v>
      </c>
      <c r="H23" s="155" t="s">
        <v>51</v>
      </c>
      <c r="I23" s="155" t="s">
        <v>52</v>
      </c>
    </row>
    <row r="24" spans="3:9">
      <c r="F24" s="276"/>
      <c r="I24" s="155" t="s">
        <v>53</v>
      </c>
    </row>
    <row r="25" spans="3:9">
      <c r="F25" s="276"/>
      <c r="I25" s="155" t="s">
        <v>130</v>
      </c>
    </row>
    <row r="26" spans="3:9">
      <c r="F26" s="276"/>
      <c r="I26" s="155" t="s">
        <v>187</v>
      </c>
    </row>
    <row r="27" spans="3:9" ht="6" customHeight="1">
      <c r="F27" s="276"/>
    </row>
    <row r="28" spans="3:9">
      <c r="F28" s="276">
        <v>2</v>
      </c>
      <c r="H28" s="155" t="s">
        <v>54</v>
      </c>
      <c r="I28" s="155" t="s">
        <v>174</v>
      </c>
    </row>
    <row r="29" spans="3:9">
      <c r="F29" s="276"/>
      <c r="I29" s="155" t="s">
        <v>73</v>
      </c>
    </row>
    <row r="30" spans="3:9" ht="6" customHeight="1">
      <c r="F30" s="276"/>
    </row>
    <row r="31" spans="3:9">
      <c r="F31" s="276">
        <v>3</v>
      </c>
      <c r="H31" s="155" t="s">
        <v>56</v>
      </c>
      <c r="I31" s="155" t="s">
        <v>57</v>
      </c>
    </row>
    <row r="32" spans="3:9">
      <c r="F32" s="276"/>
      <c r="I32" s="155" t="s">
        <v>55</v>
      </c>
    </row>
    <row r="33" spans="3:9" ht="6" customHeight="1">
      <c r="F33" s="276"/>
    </row>
    <row r="34" spans="3:9">
      <c r="F34" s="276">
        <v>4</v>
      </c>
      <c r="H34" s="155" t="s">
        <v>59</v>
      </c>
      <c r="I34" s="155" t="s">
        <v>60</v>
      </c>
    </row>
    <row r="35" spans="3:9">
      <c r="I35" s="155" t="s">
        <v>175</v>
      </c>
    </row>
    <row r="36" spans="3:9" ht="17" thickBot="1">
      <c r="D36" s="277"/>
    </row>
    <row r="37" spans="3:9">
      <c r="C37" s="259"/>
      <c r="D37" s="531" t="s">
        <v>281</v>
      </c>
      <c r="E37" s="274"/>
      <c r="F37" s="276">
        <v>1</v>
      </c>
      <c r="H37" s="155" t="s">
        <v>179</v>
      </c>
      <c r="I37" s="155" t="s">
        <v>180</v>
      </c>
    </row>
    <row r="38" spans="3:9" ht="17" thickBot="1">
      <c r="C38" s="259"/>
      <c r="D38" s="532"/>
      <c r="E38" s="274"/>
      <c r="F38" s="276">
        <v>2</v>
      </c>
      <c r="H38" s="155" t="s">
        <v>181</v>
      </c>
      <c r="I38" s="155" t="s">
        <v>188</v>
      </c>
    </row>
    <row r="39" spans="3:9">
      <c r="D39" s="275"/>
      <c r="F39" s="276">
        <v>3</v>
      </c>
      <c r="H39" s="155" t="s">
        <v>182</v>
      </c>
      <c r="I39" s="155" t="s">
        <v>195</v>
      </c>
    </row>
    <row r="40" spans="3:9">
      <c r="F40" s="276">
        <v>4</v>
      </c>
      <c r="H40" s="155" t="s">
        <v>183</v>
      </c>
      <c r="I40" s="155" t="s">
        <v>186</v>
      </c>
    </row>
    <row r="41" spans="3:9">
      <c r="F41" s="276">
        <v>5</v>
      </c>
      <c r="H41" s="155" t="s">
        <v>184</v>
      </c>
      <c r="I41" s="155" t="s">
        <v>185</v>
      </c>
    </row>
    <row r="42" spans="3:9">
      <c r="F42" s="276">
        <v>6</v>
      </c>
      <c r="H42" s="155" t="s">
        <v>272</v>
      </c>
    </row>
    <row r="43" spans="3:9">
      <c r="F43" s="276"/>
      <c r="I43" s="155" t="s">
        <v>273</v>
      </c>
    </row>
    <row r="44" spans="3:9">
      <c r="F44" s="276">
        <v>7</v>
      </c>
      <c r="H44" s="155" t="s">
        <v>274</v>
      </c>
    </row>
    <row r="45" spans="3:9">
      <c r="I45" s="155" t="s">
        <v>275</v>
      </c>
    </row>
    <row r="46" spans="3:9" ht="17" thickBot="1">
      <c r="D46" s="277"/>
    </row>
    <row r="47" spans="3:9">
      <c r="C47" s="259"/>
      <c r="D47" s="531" t="s">
        <v>335</v>
      </c>
      <c r="E47" s="274"/>
      <c r="F47" s="155" t="s">
        <v>282</v>
      </c>
    </row>
    <row r="48" spans="3:9" ht="17" thickBot="1">
      <c r="C48" s="259"/>
      <c r="D48" s="532"/>
      <c r="E48" s="274"/>
      <c r="F48" s="155" t="s">
        <v>283</v>
      </c>
    </row>
    <row r="49" spans="3:6" ht="17" thickBot="1">
      <c r="D49" s="278"/>
    </row>
    <row r="50" spans="3:6">
      <c r="C50" s="259"/>
      <c r="D50" s="531" t="s">
        <v>284</v>
      </c>
      <c r="E50" s="274"/>
      <c r="F50" s="155" t="s">
        <v>285</v>
      </c>
    </row>
    <row r="51" spans="3:6" ht="17" thickBot="1">
      <c r="C51" s="259"/>
      <c r="D51" s="532"/>
      <c r="E51" s="274"/>
      <c r="F51" s="155" t="s">
        <v>286</v>
      </c>
    </row>
    <row r="52" spans="3:6" ht="17" thickBot="1">
      <c r="D52" s="278"/>
    </row>
    <row r="53" spans="3:6">
      <c r="C53" s="259"/>
      <c r="D53" s="531" t="s">
        <v>287</v>
      </c>
      <c r="E53" s="274"/>
      <c r="F53" s="155" t="s">
        <v>288</v>
      </c>
    </row>
    <row r="54" spans="3:6" ht="17" thickBot="1">
      <c r="C54" s="259"/>
      <c r="D54" s="532"/>
      <c r="E54" s="274"/>
      <c r="F54" s="155" t="s">
        <v>286</v>
      </c>
    </row>
    <row r="55" spans="3:6" ht="17" thickBot="1">
      <c r="D55" s="278"/>
    </row>
    <row r="56" spans="3:6">
      <c r="C56" s="259"/>
      <c r="D56" s="531" t="s">
        <v>289</v>
      </c>
      <c r="E56" s="274"/>
      <c r="F56" s="155" t="s">
        <v>290</v>
      </c>
    </row>
    <row r="57" spans="3:6" ht="17" thickBot="1">
      <c r="C57" s="259"/>
      <c r="D57" s="532"/>
      <c r="E57" s="274"/>
      <c r="F57" s="155" t="s">
        <v>286</v>
      </c>
    </row>
    <row r="58" spans="3:6" ht="17" thickBot="1">
      <c r="D58" s="278"/>
    </row>
    <row r="59" spans="3:6">
      <c r="C59" s="259"/>
      <c r="D59" s="531" t="s">
        <v>291</v>
      </c>
      <c r="E59" s="274"/>
      <c r="F59" s="155" t="s">
        <v>292</v>
      </c>
    </row>
    <row r="60" spans="3:6" ht="17" thickBot="1">
      <c r="C60" s="259"/>
      <c r="D60" s="532"/>
      <c r="E60" s="274"/>
      <c r="F60" s="155" t="s">
        <v>286</v>
      </c>
    </row>
    <row r="61" spans="3:6" ht="17" thickBot="1">
      <c r="D61" s="278"/>
    </row>
    <row r="62" spans="3:6">
      <c r="C62" s="259"/>
      <c r="D62" s="531" t="s">
        <v>293</v>
      </c>
      <c r="E62" s="274"/>
      <c r="F62" s="155" t="s">
        <v>294</v>
      </c>
    </row>
    <row r="63" spans="3:6" ht="17" thickBot="1">
      <c r="C63" s="259"/>
      <c r="D63" s="532"/>
      <c r="E63" s="274"/>
    </row>
    <row r="64" spans="3:6" ht="17" thickBot="1">
      <c r="D64" s="279"/>
      <c r="F64" s="276"/>
    </row>
    <row r="65" spans="3:19">
      <c r="C65" s="259"/>
      <c r="D65" s="531" t="s">
        <v>295</v>
      </c>
      <c r="E65" s="274"/>
      <c r="F65" s="155" t="s">
        <v>296</v>
      </c>
    </row>
    <row r="66" spans="3:19" ht="17" thickBot="1">
      <c r="C66" s="259"/>
      <c r="D66" s="532"/>
      <c r="E66" s="274"/>
    </row>
    <row r="67" spans="3:19" ht="17" thickBot="1">
      <c r="D67" s="279"/>
      <c r="F67" s="276"/>
    </row>
    <row r="68" spans="3:19">
      <c r="C68" s="259"/>
      <c r="D68" s="531" t="s">
        <v>232</v>
      </c>
      <c r="E68" s="274"/>
      <c r="F68" s="155" t="s">
        <v>297</v>
      </c>
    </row>
    <row r="69" spans="3:19" ht="17" thickBot="1">
      <c r="C69" s="259"/>
      <c r="D69" s="532"/>
      <c r="E69" s="274"/>
      <c r="F69" s="155" t="s">
        <v>298</v>
      </c>
    </row>
    <row r="70" spans="3:19" ht="17" thickBot="1">
      <c r="D70" s="275"/>
    </row>
    <row r="71" spans="3:19">
      <c r="D71" s="533" t="s">
        <v>310</v>
      </c>
      <c r="F71" s="273" t="s">
        <v>189</v>
      </c>
      <c r="H71" s="155" t="s">
        <v>90</v>
      </c>
      <c r="I71" s="155" t="s">
        <v>395</v>
      </c>
    </row>
    <row r="72" spans="3:19" ht="17" thickBot="1">
      <c r="D72" s="534"/>
      <c r="F72" s="268"/>
      <c r="I72" s="155" t="s">
        <v>462</v>
      </c>
    </row>
    <row r="73" spans="3:19">
      <c r="F73" s="268"/>
      <c r="I73" s="155" t="s">
        <v>463</v>
      </c>
    </row>
    <row r="74" spans="3:19">
      <c r="D74" s="273"/>
      <c r="F74" s="268"/>
      <c r="I74" s="155" t="s">
        <v>464</v>
      </c>
    </row>
    <row r="75" spans="3:19">
      <c r="F75" s="268"/>
      <c r="I75" s="155" t="s">
        <v>466</v>
      </c>
    </row>
    <row r="76" spans="3:19">
      <c r="F76" s="273" t="s">
        <v>190</v>
      </c>
      <c r="H76" s="155" t="s">
        <v>91</v>
      </c>
      <c r="I76" s="522" t="s">
        <v>396</v>
      </c>
      <c r="J76" s="523"/>
      <c r="K76" s="523"/>
      <c r="L76" s="523"/>
      <c r="M76" s="523"/>
      <c r="N76" s="523"/>
      <c r="O76" s="523"/>
      <c r="P76" s="523"/>
      <c r="Q76" s="523"/>
      <c r="R76" s="523"/>
      <c r="S76" s="524"/>
    </row>
    <row r="77" spans="3:19">
      <c r="F77" s="268"/>
      <c r="I77" s="525"/>
      <c r="J77" s="526"/>
      <c r="K77" s="526"/>
      <c r="L77" s="526"/>
      <c r="M77" s="526"/>
      <c r="N77" s="526"/>
      <c r="O77" s="526"/>
      <c r="P77" s="526"/>
      <c r="Q77" s="526"/>
      <c r="R77" s="526"/>
      <c r="S77" s="527"/>
    </row>
    <row r="78" spans="3:19">
      <c r="F78" s="268"/>
      <c r="I78" s="522" t="s">
        <v>467</v>
      </c>
      <c r="J78" s="523"/>
      <c r="K78" s="523"/>
      <c r="L78" s="523"/>
      <c r="M78" s="523"/>
      <c r="N78" s="523"/>
      <c r="O78" s="523"/>
      <c r="P78" s="523"/>
      <c r="Q78" s="523"/>
      <c r="R78" s="523"/>
      <c r="S78" s="524"/>
    </row>
    <row r="79" spans="3:19">
      <c r="F79" s="268"/>
      <c r="I79" s="525"/>
      <c r="J79" s="526"/>
      <c r="K79" s="526"/>
      <c r="L79" s="526"/>
      <c r="M79" s="526"/>
      <c r="N79" s="526"/>
      <c r="O79" s="526"/>
      <c r="P79" s="526"/>
      <c r="Q79" s="526"/>
      <c r="R79" s="526"/>
      <c r="S79" s="527"/>
    </row>
    <row r="80" spans="3:19">
      <c r="F80" s="268"/>
      <c r="I80" s="522" t="s">
        <v>465</v>
      </c>
      <c r="J80" s="523"/>
      <c r="K80" s="523"/>
      <c r="L80" s="523"/>
      <c r="M80" s="523"/>
      <c r="N80" s="523"/>
      <c r="O80" s="523"/>
      <c r="P80" s="523"/>
      <c r="Q80" s="523"/>
      <c r="R80" s="523"/>
      <c r="S80" s="524"/>
    </row>
    <row r="81" spans="6:19">
      <c r="F81" s="268"/>
      <c r="I81" s="525"/>
      <c r="J81" s="526"/>
      <c r="K81" s="526"/>
      <c r="L81" s="526"/>
      <c r="M81" s="526"/>
      <c r="N81" s="526"/>
      <c r="O81" s="526"/>
      <c r="P81" s="526"/>
      <c r="Q81" s="526"/>
      <c r="R81" s="526"/>
      <c r="S81" s="527"/>
    </row>
    <row r="82" spans="6:19">
      <c r="F82" s="268"/>
      <c r="I82" s="522" t="s">
        <v>92</v>
      </c>
      <c r="J82" s="523"/>
      <c r="K82" s="523"/>
      <c r="L82" s="523"/>
      <c r="M82" s="523"/>
      <c r="N82" s="523"/>
      <c r="O82" s="523"/>
      <c r="P82" s="523"/>
      <c r="Q82" s="523"/>
      <c r="R82" s="523"/>
      <c r="S82" s="524"/>
    </row>
    <row r="83" spans="6:19">
      <c r="F83" s="268"/>
      <c r="I83" s="525"/>
      <c r="J83" s="526"/>
      <c r="K83" s="526"/>
      <c r="L83" s="526"/>
      <c r="M83" s="526"/>
      <c r="N83" s="526"/>
      <c r="O83" s="526"/>
      <c r="P83" s="526"/>
      <c r="Q83" s="526"/>
      <c r="R83" s="526"/>
      <c r="S83" s="527"/>
    </row>
    <row r="84" spans="6:19">
      <c r="F84" s="268"/>
      <c r="I84" s="525" t="s">
        <v>93</v>
      </c>
      <c r="J84" s="526"/>
      <c r="K84" s="526"/>
      <c r="L84" s="526"/>
      <c r="M84" s="526"/>
      <c r="N84" s="526"/>
      <c r="O84" s="526"/>
      <c r="P84" s="526"/>
      <c r="Q84" s="526"/>
      <c r="R84" s="526"/>
      <c r="S84" s="527"/>
    </row>
    <row r="85" spans="6:19">
      <c r="F85" s="268"/>
      <c r="I85" s="522" t="s">
        <v>397</v>
      </c>
      <c r="J85" s="523"/>
      <c r="K85" s="523"/>
      <c r="L85" s="523"/>
      <c r="M85" s="523"/>
      <c r="N85" s="523"/>
      <c r="O85" s="523"/>
      <c r="P85" s="523"/>
      <c r="Q85" s="523"/>
      <c r="R85" s="523"/>
      <c r="S85" s="524"/>
    </row>
    <row r="86" spans="6:19" ht="13.5" customHeight="1">
      <c r="F86" s="268"/>
      <c r="I86" s="525"/>
      <c r="J86" s="526"/>
      <c r="K86" s="526"/>
      <c r="L86" s="526"/>
      <c r="M86" s="526"/>
      <c r="N86" s="526"/>
      <c r="O86" s="526"/>
      <c r="P86" s="526"/>
      <c r="Q86" s="526"/>
      <c r="R86" s="526"/>
      <c r="S86" s="527"/>
    </row>
    <row r="87" spans="6:19">
      <c r="F87" s="273" t="s">
        <v>191</v>
      </c>
      <c r="H87" s="155" t="s">
        <v>56</v>
      </c>
      <c r="I87" s="522" t="s">
        <v>398</v>
      </c>
      <c r="J87" s="523"/>
      <c r="K87" s="523"/>
      <c r="L87" s="523"/>
      <c r="M87" s="523"/>
      <c r="N87" s="523"/>
      <c r="O87" s="523"/>
      <c r="P87" s="523"/>
      <c r="Q87" s="523"/>
      <c r="R87" s="523"/>
      <c r="S87" s="524"/>
    </row>
    <row r="88" spans="6:19">
      <c r="F88" s="268"/>
      <c r="I88" s="525"/>
      <c r="J88" s="526"/>
      <c r="K88" s="526"/>
      <c r="L88" s="526"/>
      <c r="M88" s="526"/>
      <c r="N88" s="526"/>
      <c r="O88" s="526"/>
      <c r="P88" s="526"/>
      <c r="Q88" s="526"/>
      <c r="R88" s="526"/>
      <c r="S88" s="527"/>
    </row>
    <row r="89" spans="6:19">
      <c r="F89" s="268"/>
      <c r="I89" s="522" t="s">
        <v>399</v>
      </c>
      <c r="J89" s="523"/>
      <c r="K89" s="523"/>
      <c r="L89" s="523"/>
      <c r="M89" s="523"/>
      <c r="N89" s="523"/>
      <c r="O89" s="523"/>
      <c r="P89" s="523"/>
      <c r="Q89" s="523"/>
      <c r="R89" s="523"/>
      <c r="S89" s="524"/>
    </row>
    <row r="90" spans="6:19">
      <c r="F90" s="268"/>
      <c r="I90" s="525"/>
      <c r="J90" s="526"/>
      <c r="K90" s="526"/>
      <c r="L90" s="526"/>
      <c r="M90" s="526"/>
      <c r="N90" s="526"/>
      <c r="O90" s="526"/>
      <c r="P90" s="526"/>
      <c r="Q90" s="526"/>
      <c r="R90" s="526"/>
      <c r="S90" s="527"/>
    </row>
    <row r="91" spans="6:19">
      <c r="F91" s="268"/>
      <c r="I91" s="522" t="s">
        <v>400</v>
      </c>
      <c r="J91" s="523"/>
      <c r="K91" s="523"/>
      <c r="L91" s="523"/>
      <c r="M91" s="523"/>
      <c r="N91" s="523"/>
      <c r="O91" s="523"/>
      <c r="P91" s="523"/>
      <c r="Q91" s="523"/>
      <c r="R91" s="523"/>
      <c r="S91" s="524"/>
    </row>
    <row r="92" spans="6:19" ht="30" customHeight="1">
      <c r="F92" s="268"/>
      <c r="I92" s="525"/>
      <c r="J92" s="526"/>
      <c r="K92" s="526"/>
      <c r="L92" s="526"/>
      <c r="M92" s="526"/>
      <c r="N92" s="526"/>
      <c r="O92" s="526"/>
      <c r="P92" s="526"/>
      <c r="Q92" s="526"/>
      <c r="R92" s="526"/>
      <c r="S92" s="527"/>
    </row>
    <row r="93" spans="6:19">
      <c r="F93" s="268"/>
      <c r="I93" s="280" t="s">
        <v>357</v>
      </c>
      <c r="J93" s="281"/>
      <c r="K93" s="281"/>
      <c r="L93" s="281"/>
      <c r="M93" s="281"/>
      <c r="N93" s="281"/>
      <c r="O93" s="281"/>
      <c r="P93" s="281"/>
      <c r="Q93" s="281"/>
      <c r="R93" s="281"/>
      <c r="S93" s="281"/>
    </row>
    <row r="94" spans="6:19">
      <c r="F94" s="273" t="s">
        <v>192</v>
      </c>
      <c r="H94" s="155" t="s">
        <v>59</v>
      </c>
      <c r="I94" s="522" t="s">
        <v>401</v>
      </c>
      <c r="J94" s="523"/>
      <c r="K94" s="523"/>
      <c r="L94" s="523"/>
      <c r="M94" s="523"/>
      <c r="N94" s="523"/>
      <c r="O94" s="523"/>
      <c r="P94" s="523"/>
      <c r="Q94" s="523"/>
      <c r="R94" s="523"/>
      <c r="S94" s="524"/>
    </row>
    <row r="95" spans="6:19">
      <c r="I95" s="525"/>
      <c r="J95" s="526"/>
      <c r="K95" s="526"/>
      <c r="L95" s="526"/>
      <c r="M95" s="526"/>
      <c r="N95" s="526"/>
      <c r="O95" s="526"/>
      <c r="P95" s="526"/>
      <c r="Q95" s="526"/>
      <c r="R95" s="526"/>
      <c r="S95" s="527"/>
    </row>
    <row r="96" spans="6:19" ht="16.5" customHeight="1">
      <c r="I96" s="522" t="s">
        <v>468</v>
      </c>
      <c r="J96" s="523"/>
      <c r="K96" s="523"/>
      <c r="L96" s="523"/>
      <c r="M96" s="523"/>
      <c r="N96" s="523"/>
      <c r="O96" s="523"/>
      <c r="P96" s="523"/>
      <c r="Q96" s="523"/>
      <c r="R96" s="523"/>
      <c r="S96" s="524"/>
    </row>
    <row r="97" spans="4:9">
      <c r="I97" s="155" t="s">
        <v>300</v>
      </c>
    </row>
    <row r="98" spans="4:9" ht="17" thickBot="1"/>
    <row r="99" spans="4:9">
      <c r="D99" s="533" t="s">
        <v>299</v>
      </c>
      <c r="F99" s="273"/>
    </row>
    <row r="100" spans="4:9" ht="17" thickBot="1">
      <c r="D100" s="534"/>
    </row>
    <row r="102" spans="4:9">
      <c r="D102" s="155" t="str">
        <f>"・この経済波及効果分析ツールは、"&amp;固定資本!F6&amp;"年の物価調整を行っております。"</f>
        <v>・この経済波及効果分析ツールは、2025年の物価調整を行っております。</v>
      </c>
    </row>
    <row r="103" spans="4:9" ht="13.5" customHeight="1">
      <c r="D103" s="155" t="str">
        <f>"　与えられた設備投資額等をデフレータで2020年価格に変換してから経済波及効果を計算し、計算結果を"&amp;固定資本!F6&amp;"年価格に戻しています。"</f>
        <v>　与えられた設備投資額等をデフレータで2020年価格に変換してから経済波及効果を計算し、計算結果を2025年価格に戻しています。</v>
      </c>
    </row>
    <row r="104" spans="4:9">
      <c r="D104" s="155" t="s">
        <v>402</v>
      </c>
    </row>
    <row r="105" spans="4:9">
      <c r="D105" s="155" t="str">
        <f>"　したがって、2020年の投入構造や自給率が逆行列係数表に反映されており、その内容が"&amp;固定資本!F6&amp;"年にも続いていると仮定しております。"</f>
        <v>　したがって、2020年の投入構造や自給率が逆行列係数表に反映されており、その内容が2025年にも続いていると仮定しております。</v>
      </c>
    </row>
    <row r="106" spans="4:9">
      <c r="D106" s="155" t="s">
        <v>301</v>
      </c>
    </row>
    <row r="107" spans="4:9">
      <c r="D107" s="155" t="s">
        <v>302</v>
      </c>
    </row>
    <row r="108" spans="4:9">
      <c r="D108" s="155" t="s">
        <v>303</v>
      </c>
    </row>
    <row r="109" spans="4:9">
      <c r="D109" s="155" t="s">
        <v>304</v>
      </c>
    </row>
    <row r="110" spans="4:9">
      <c r="D110" s="155" t="s">
        <v>305</v>
      </c>
    </row>
    <row r="111" spans="4:9">
      <c r="D111" s="155" t="s">
        <v>306</v>
      </c>
    </row>
    <row r="112" spans="4:9">
      <c r="D112" s="155" t="str">
        <f>"・設備投資に使用している固定資本マトリックスは、「2020年全国産業連関表・付帯表」のデータを"&amp;固定資本!F6&amp;"年に物価調整し、耐用年数を掛けた係数です。"</f>
        <v>・設備投資に使用している固定資本マトリックスは、「2020年全国産業連関表・付帯表」のデータを2025年に物価調整し、耐用年数を掛けた係数です。</v>
      </c>
    </row>
    <row r="113" spans="4:16">
      <c r="D113" s="155" t="s">
        <v>307</v>
      </c>
    </row>
    <row r="114" spans="4:16">
      <c r="D114" s="155" t="s">
        <v>308</v>
      </c>
    </row>
    <row r="115" spans="4:16">
      <c r="D115" s="155" t="s">
        <v>461</v>
      </c>
    </row>
    <row r="116" spans="4:16">
      <c r="D116" s="155" t="s">
        <v>309</v>
      </c>
    </row>
    <row r="117" spans="4:16" ht="6" customHeight="1">
      <c r="F117" s="276"/>
    </row>
    <row r="118" spans="4:16">
      <c r="D118" s="155" t="s">
        <v>311</v>
      </c>
    </row>
    <row r="119" spans="4:16">
      <c r="D119" s="155"/>
      <c r="E119" s="155" t="s">
        <v>312</v>
      </c>
    </row>
    <row r="120" spans="4:16">
      <c r="D120" s="155"/>
      <c r="E120" s="155" t="s">
        <v>313</v>
      </c>
    </row>
    <row r="121" spans="4:16">
      <c r="D121" s="155"/>
    </row>
    <row r="122" spans="4:16">
      <c r="D122" s="155" t="s">
        <v>314</v>
      </c>
    </row>
    <row r="123" spans="4:16">
      <c r="D123" s="155"/>
      <c r="E123" s="155" t="s">
        <v>315</v>
      </c>
      <c r="N123" s="120"/>
      <c r="P123" s="120"/>
    </row>
    <row r="124" spans="4:16">
      <c r="D124" s="155"/>
      <c r="F124" s="155" t="s">
        <v>316</v>
      </c>
    </row>
    <row r="125" spans="4:16">
      <c r="D125" s="155"/>
      <c r="F125" s="259" t="s">
        <v>361</v>
      </c>
      <c r="G125" s="274"/>
    </row>
    <row r="126" spans="4:16">
      <c r="D126" s="155"/>
      <c r="H126" s="538" t="s">
        <v>317</v>
      </c>
      <c r="I126" s="539"/>
      <c r="J126" s="540"/>
    </row>
    <row r="127" spans="4:16">
      <c r="D127" s="155"/>
      <c r="H127" s="268" t="s">
        <v>318</v>
      </c>
      <c r="I127" s="282" t="s">
        <v>319</v>
      </c>
    </row>
    <row r="128" spans="4:16">
      <c r="D128" s="155"/>
      <c r="H128" s="268"/>
      <c r="I128" s="282"/>
    </row>
    <row r="129" spans="4:18">
      <c r="D129" s="155"/>
      <c r="R129" s="120"/>
    </row>
    <row r="130" spans="4:18">
      <c r="D130" s="155"/>
      <c r="E130" s="155" t="s">
        <v>320</v>
      </c>
      <c r="N130" s="535" t="s">
        <v>321</v>
      </c>
      <c r="O130" s="536"/>
      <c r="P130" s="536"/>
      <c r="Q130" s="536"/>
      <c r="R130" s="537"/>
    </row>
    <row r="131" spans="4:18" ht="6" customHeight="1">
      <c r="D131" s="155"/>
    </row>
    <row r="132" spans="4:18">
      <c r="D132" s="283" t="s">
        <v>359</v>
      </c>
      <c r="E132" s="155" t="s">
        <v>360</v>
      </c>
    </row>
  </sheetData>
  <sheetProtection sheet="1" objects="1" scenarios="1"/>
  <mergeCells count="29">
    <mergeCell ref="N130:R130"/>
    <mergeCell ref="D99:D100"/>
    <mergeCell ref="H126:J126"/>
    <mergeCell ref="D68:D69"/>
    <mergeCell ref="I80:S81"/>
    <mergeCell ref="I82:S83"/>
    <mergeCell ref="I84:S84"/>
    <mergeCell ref="I85:S86"/>
    <mergeCell ref="I87:S88"/>
    <mergeCell ref="I89:S90"/>
    <mergeCell ref="I91:S92"/>
    <mergeCell ref="I94:S95"/>
    <mergeCell ref="I96:S96"/>
    <mergeCell ref="D7:S8"/>
    <mergeCell ref="D10:S11"/>
    <mergeCell ref="I76:S77"/>
    <mergeCell ref="I78:S79"/>
    <mergeCell ref="B3:U3"/>
    <mergeCell ref="D56:D57"/>
    <mergeCell ref="D59:D60"/>
    <mergeCell ref="D62:D63"/>
    <mergeCell ref="D65:D66"/>
    <mergeCell ref="D71:D72"/>
    <mergeCell ref="D13:S14"/>
    <mergeCell ref="D19:D20"/>
    <mergeCell ref="D37:D38"/>
    <mergeCell ref="D47:D48"/>
    <mergeCell ref="D50:D51"/>
    <mergeCell ref="D53:D54"/>
  </mergeCells>
  <phoneticPr fontId="27"/>
  <hyperlinks>
    <hyperlink ref="H126" r:id="rId1" xr:uid="{00000000-0004-0000-0000-000000000000}"/>
    <hyperlink ref="N130" r:id="rId2" xr:uid="{00000000-0004-0000-0000-000001000000}"/>
  </hyperlinks>
  <pageMargins left="0.7" right="0.7" top="0.75" bottom="0.75" header="0.3" footer="0.3"/>
  <pageSetup paperSize="9" scale="83" fitToHeight="0" orientation="landscape"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sheetPr>
  <dimension ref="B1:AF348"/>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RowHeight="16.5"/>
  <cols>
    <col min="1" max="1" width="1.6328125" style="120" customWidth="1"/>
    <col min="2" max="2" width="9" style="118"/>
    <col min="3" max="3" width="27.36328125" style="118" customWidth="1"/>
    <col min="4" max="32" width="12.6328125" style="120" customWidth="1"/>
    <col min="33" max="16384" width="8.7265625" style="120"/>
  </cols>
  <sheetData>
    <row r="1" spans="2:32" ht="37.5" customHeight="1">
      <c r="D1" s="119"/>
      <c r="G1" s="119"/>
      <c r="I1" s="119"/>
      <c r="M1" s="146"/>
      <c r="AD1" s="119" t="s">
        <v>202</v>
      </c>
      <c r="AE1" s="119" t="s">
        <v>203</v>
      </c>
      <c r="AF1" s="119" t="s">
        <v>203</v>
      </c>
    </row>
    <row r="2" spans="2:32" ht="13.5" customHeight="1">
      <c r="B2" s="685" t="s">
        <v>204</v>
      </c>
      <c r="C2" s="685"/>
      <c r="D2" s="687" t="s">
        <v>205</v>
      </c>
      <c r="E2" s="692" t="s">
        <v>206</v>
      </c>
      <c r="F2" s="692" t="s">
        <v>207</v>
      </c>
      <c r="G2" s="687" t="s">
        <v>208</v>
      </c>
      <c r="H2" s="695" t="s">
        <v>209</v>
      </c>
      <c r="I2" s="698" t="s">
        <v>210</v>
      </c>
      <c r="J2" s="121" t="s">
        <v>211</v>
      </c>
      <c r="K2" s="122"/>
      <c r="L2" s="122"/>
      <c r="M2" s="122"/>
      <c r="N2" s="122"/>
      <c r="O2" s="122"/>
      <c r="P2" s="122"/>
      <c r="Q2" s="122"/>
      <c r="R2" s="122"/>
      <c r="S2" s="122"/>
      <c r="T2" s="122"/>
      <c r="U2" s="122"/>
      <c r="V2" s="122"/>
      <c r="W2" s="122"/>
      <c r="X2" s="122"/>
      <c r="Y2" s="122"/>
      <c r="Z2" s="122"/>
      <c r="AA2" s="122"/>
      <c r="AB2" s="122"/>
      <c r="AC2" s="122"/>
      <c r="AD2" s="680" t="s">
        <v>41</v>
      </c>
      <c r="AE2" s="680"/>
      <c r="AF2" s="680"/>
    </row>
    <row r="3" spans="2:32" ht="13.5" customHeight="1">
      <c r="B3" s="685"/>
      <c r="C3" s="685"/>
      <c r="D3" s="688"/>
      <c r="E3" s="693"/>
      <c r="F3" s="693"/>
      <c r="G3" s="688"/>
      <c r="H3" s="696"/>
      <c r="I3" s="699"/>
      <c r="J3" s="123">
        <v>1</v>
      </c>
      <c r="K3" s="123">
        <v>2</v>
      </c>
      <c r="L3" s="123">
        <v>3</v>
      </c>
      <c r="M3" s="123">
        <v>4</v>
      </c>
      <c r="N3" s="123">
        <v>5</v>
      </c>
      <c r="O3" s="123">
        <v>6</v>
      </c>
      <c r="P3" s="123">
        <v>7</v>
      </c>
      <c r="Q3" s="123">
        <v>8</v>
      </c>
      <c r="R3" s="123">
        <v>9</v>
      </c>
      <c r="S3" s="123">
        <v>10</v>
      </c>
      <c r="T3" s="123">
        <v>11</v>
      </c>
      <c r="U3" s="123">
        <v>12</v>
      </c>
      <c r="V3" s="123">
        <v>13</v>
      </c>
      <c r="W3" s="123">
        <v>14</v>
      </c>
      <c r="X3" s="123">
        <v>15</v>
      </c>
      <c r="Y3" s="123">
        <v>16</v>
      </c>
      <c r="Z3" s="123">
        <v>17</v>
      </c>
      <c r="AA3" s="123">
        <v>18</v>
      </c>
      <c r="AB3" s="123">
        <v>19</v>
      </c>
      <c r="AC3" s="124">
        <v>20</v>
      </c>
      <c r="AD3" s="681" t="s">
        <v>42</v>
      </c>
      <c r="AE3" s="681" t="s">
        <v>43</v>
      </c>
      <c r="AF3" s="683" t="s">
        <v>212</v>
      </c>
    </row>
    <row r="4" spans="2:32" ht="13.5" customHeight="1">
      <c r="B4" s="685"/>
      <c r="C4" s="685"/>
      <c r="D4" s="689"/>
      <c r="E4" s="694"/>
      <c r="F4" s="694"/>
      <c r="G4" s="689"/>
      <c r="H4" s="697"/>
      <c r="I4" s="700"/>
      <c r="J4" s="678" t="s">
        <v>213</v>
      </c>
      <c r="K4" s="678" t="s">
        <v>214</v>
      </c>
      <c r="L4" s="678" t="s">
        <v>215</v>
      </c>
      <c r="M4" s="678" t="s">
        <v>216</v>
      </c>
      <c r="N4" s="678" t="s">
        <v>369</v>
      </c>
      <c r="O4" s="678" t="s">
        <v>217</v>
      </c>
      <c r="P4" s="678" t="s">
        <v>218</v>
      </c>
      <c r="Q4" s="678" t="s">
        <v>219</v>
      </c>
      <c r="R4" s="678" t="s">
        <v>220</v>
      </c>
      <c r="S4" s="678" t="s">
        <v>221</v>
      </c>
      <c r="T4" s="678" t="s">
        <v>222</v>
      </c>
      <c r="U4" s="678" t="s">
        <v>223</v>
      </c>
      <c r="V4" s="678" t="s">
        <v>224</v>
      </c>
      <c r="W4" s="678" t="s">
        <v>225</v>
      </c>
      <c r="X4" s="678" t="s">
        <v>226</v>
      </c>
      <c r="Y4" s="678" t="s">
        <v>227</v>
      </c>
      <c r="Z4" s="678" t="s">
        <v>228</v>
      </c>
      <c r="AA4" s="678" t="s">
        <v>229</v>
      </c>
      <c r="AB4" s="678" t="s">
        <v>230</v>
      </c>
      <c r="AC4" s="690" t="s">
        <v>231</v>
      </c>
      <c r="AD4" s="682"/>
      <c r="AE4" s="682"/>
      <c r="AF4" s="684"/>
    </row>
    <row r="5" spans="2:32">
      <c r="B5" s="686"/>
      <c r="C5" s="686"/>
      <c r="D5" s="125">
        <v>2020</v>
      </c>
      <c r="E5" s="125">
        <v>2020</v>
      </c>
      <c r="F5" s="125">
        <v>2020</v>
      </c>
      <c r="G5" s="125">
        <v>2020</v>
      </c>
      <c r="H5" s="125">
        <v>2020</v>
      </c>
      <c r="I5" s="126">
        <v>2020</v>
      </c>
      <c r="J5" s="679"/>
      <c r="K5" s="679"/>
      <c r="L5" s="679"/>
      <c r="M5" s="679"/>
      <c r="N5" s="679"/>
      <c r="O5" s="679"/>
      <c r="P5" s="679"/>
      <c r="Q5" s="679"/>
      <c r="R5" s="679"/>
      <c r="S5" s="679"/>
      <c r="T5" s="679"/>
      <c r="U5" s="679"/>
      <c r="V5" s="679"/>
      <c r="W5" s="679"/>
      <c r="X5" s="679"/>
      <c r="Y5" s="679"/>
      <c r="Z5" s="679"/>
      <c r="AA5" s="679"/>
      <c r="AB5" s="679"/>
      <c r="AC5" s="691"/>
      <c r="AD5" s="682"/>
      <c r="AE5" s="682"/>
      <c r="AF5" s="684"/>
    </row>
    <row r="6" spans="2:32">
      <c r="B6" s="127">
        <v>1</v>
      </c>
      <c r="C6" s="128" t="s">
        <v>362</v>
      </c>
      <c r="D6" s="129">
        <v>0.18042550811978708</v>
      </c>
      <c r="E6" s="129">
        <v>0.22322671895286711</v>
      </c>
      <c r="F6" s="129">
        <v>0.12406592997000944</v>
      </c>
      <c r="G6" s="129">
        <v>1.2640050582432142E-2</v>
      </c>
      <c r="H6" s="129">
        <v>0.28944383993648215</v>
      </c>
      <c r="I6" s="129">
        <v>0.10493460708117805</v>
      </c>
      <c r="J6" s="129">
        <v>1.0170555619642989</v>
      </c>
      <c r="K6" s="129">
        <v>1.7032192333596245E-4</v>
      </c>
      <c r="L6" s="129">
        <v>4.6400899890540435E-3</v>
      </c>
      <c r="M6" s="129">
        <v>4.274121625523512E-4</v>
      </c>
      <c r="N6" s="129">
        <v>9.6604524154333718E-5</v>
      </c>
      <c r="O6" s="129">
        <v>7.9005052217970148E-5</v>
      </c>
      <c r="P6" s="129">
        <v>6.2187332535303729E-5</v>
      </c>
      <c r="Q6" s="129">
        <v>3.0238219777382678E-5</v>
      </c>
      <c r="R6" s="129">
        <v>8.7865259146318336E-5</v>
      </c>
      <c r="S6" s="129">
        <v>7.4616479808150966E-5</v>
      </c>
      <c r="T6" s="129">
        <v>6.8162800243133371E-5</v>
      </c>
      <c r="U6" s="129">
        <v>3.417326337346228E-4</v>
      </c>
      <c r="V6" s="129">
        <v>6.2653636577921E-4</v>
      </c>
      <c r="W6" s="129">
        <v>4.8934120969046759E-3</v>
      </c>
      <c r="X6" s="129">
        <v>5.9317323315357428E-3</v>
      </c>
      <c r="Y6" s="129">
        <v>3.2233740147129492E-4</v>
      </c>
      <c r="Z6" s="129">
        <v>1.0426402324875275E-5</v>
      </c>
      <c r="AA6" s="129">
        <v>3.6390474798802988E-4</v>
      </c>
      <c r="AB6" s="129">
        <v>6.6458547027498647E-4</v>
      </c>
      <c r="AC6" s="130">
        <v>6.6273585502499139E-5</v>
      </c>
      <c r="AD6" s="131">
        <v>6349.2534636753626</v>
      </c>
      <c r="AE6" s="132">
        <v>1.8377523032562064</v>
      </c>
      <c r="AF6" s="132">
        <v>0.66625641746958297</v>
      </c>
    </row>
    <row r="7" spans="2:32">
      <c r="B7" s="127">
        <v>2</v>
      </c>
      <c r="C7" s="133" t="s">
        <v>363</v>
      </c>
      <c r="D7" s="129">
        <v>3.0160827002289059E-2</v>
      </c>
      <c r="E7" s="129">
        <v>0.13887958247018287</v>
      </c>
      <c r="F7" s="129">
        <v>0.12480277786149277</v>
      </c>
      <c r="G7" s="129">
        <v>1.4077333551141487E-7</v>
      </c>
      <c r="H7" s="129">
        <v>3.1237302971261458E-2</v>
      </c>
      <c r="I7" s="129">
        <v>3.0943994962141633E-2</v>
      </c>
      <c r="J7" s="129">
        <v>7.7089351475327379E-5</v>
      </c>
      <c r="K7" s="129">
        <v>1.0002591349297716</v>
      </c>
      <c r="L7" s="129">
        <v>2.8644542881235186E-4</v>
      </c>
      <c r="M7" s="129">
        <v>9.5051027672609411E-5</v>
      </c>
      <c r="N7" s="129">
        <v>5.1583016746620872E-3</v>
      </c>
      <c r="O7" s="129">
        <v>9.8193704550342506E-5</v>
      </c>
      <c r="P7" s="129">
        <v>4.1262635900265928E-5</v>
      </c>
      <c r="Q7" s="129">
        <v>5.2322209497934657E-5</v>
      </c>
      <c r="R7" s="129">
        <v>8.0892715857523457E-5</v>
      </c>
      <c r="S7" s="129">
        <v>6.2412714125070681E-5</v>
      </c>
      <c r="T7" s="129">
        <v>6.2528595282233739E-5</v>
      </c>
      <c r="U7" s="129">
        <v>8.8029718191022746E-5</v>
      </c>
      <c r="V7" s="129">
        <v>8.5062785653245904E-5</v>
      </c>
      <c r="W7" s="129">
        <v>2.8916671377993022E-4</v>
      </c>
      <c r="X7" s="129">
        <v>1.6570089357064306E-4</v>
      </c>
      <c r="Y7" s="129">
        <v>1.035127056935107E-4</v>
      </c>
      <c r="Z7" s="129">
        <v>4.2197852194853716E-6</v>
      </c>
      <c r="AA7" s="129">
        <v>1.2868688390105723E-4</v>
      </c>
      <c r="AB7" s="129">
        <v>5.9323691058446748E-5</v>
      </c>
      <c r="AC7" s="130">
        <v>3.8501442549599651E-5</v>
      </c>
      <c r="AD7" s="131">
        <v>439920.67741935485</v>
      </c>
      <c r="AE7" s="132">
        <v>13.741935483870968</v>
      </c>
      <c r="AF7" s="132">
        <v>13.612903225806452</v>
      </c>
    </row>
    <row r="8" spans="2:32">
      <c r="B8" s="127">
        <v>3</v>
      </c>
      <c r="C8" s="133" t="s">
        <v>364</v>
      </c>
      <c r="D8" s="129">
        <v>0.20072013777143771</v>
      </c>
      <c r="E8" s="129">
        <v>0.16850885872381741</v>
      </c>
      <c r="F8" s="129">
        <v>6.5883329610739977E-2</v>
      </c>
      <c r="G8" s="129">
        <v>0.2007953339784751</v>
      </c>
      <c r="H8" s="129">
        <v>3.8260160613028275E-2</v>
      </c>
      <c r="I8" s="129">
        <v>3.6547096854175905E-2</v>
      </c>
      <c r="J8" s="129">
        <v>4.9406593638118418E-2</v>
      </c>
      <c r="K8" s="129">
        <v>3.3549687496440612E-2</v>
      </c>
      <c r="L8" s="129">
        <v>1.0975075297377666</v>
      </c>
      <c r="M8" s="129">
        <v>5.8869335496931428E-2</v>
      </c>
      <c r="N8" s="129">
        <v>1.7841438614898498E-2</v>
      </c>
      <c r="O8" s="129">
        <v>1.0804272098593901E-2</v>
      </c>
      <c r="P8" s="129">
        <v>1.0080563463878766E-2</v>
      </c>
      <c r="Q8" s="129">
        <v>4.1266144728232899E-3</v>
      </c>
      <c r="R8" s="129">
        <v>1.7666927500853618E-2</v>
      </c>
      <c r="S8" s="129">
        <v>1.0713983469907857E-2</v>
      </c>
      <c r="T8" s="129">
        <v>1.2050909125030502E-2</v>
      </c>
      <c r="U8" s="129">
        <v>6.6642741701193036E-3</v>
      </c>
      <c r="V8" s="129">
        <v>4.8881415573284986E-2</v>
      </c>
      <c r="W8" s="129">
        <v>3.5465177377562253E-2</v>
      </c>
      <c r="X8" s="129">
        <v>5.8659928647947446E-2</v>
      </c>
      <c r="Y8" s="129">
        <v>2.7595748466174994E-2</v>
      </c>
      <c r="Z8" s="129">
        <v>1.4319359148617396E-3</v>
      </c>
      <c r="AA8" s="129">
        <v>7.3551424709029325E-2</v>
      </c>
      <c r="AB8" s="129">
        <v>0.15575502613956246</v>
      </c>
      <c r="AC8" s="130">
        <v>1.2809170954526088E-2</v>
      </c>
      <c r="AD8" s="131">
        <v>491716.53445886332</v>
      </c>
      <c r="AE8" s="132">
        <v>18.813153584477764</v>
      </c>
      <c r="AF8" s="132">
        <v>17.970811809667801</v>
      </c>
    </row>
    <row r="9" spans="2:32">
      <c r="B9" s="127">
        <v>4</v>
      </c>
      <c r="C9" s="133" t="s">
        <v>452</v>
      </c>
      <c r="D9" s="129">
        <v>1</v>
      </c>
      <c r="E9" s="129">
        <v>0.35784435614287946</v>
      </c>
      <c r="F9" s="129">
        <v>4.4083742734157987E-2</v>
      </c>
      <c r="G9" s="129">
        <v>0</v>
      </c>
      <c r="H9" s="129">
        <v>8.1660833144317643E-2</v>
      </c>
      <c r="I9" s="129">
        <v>6.549377687732974E-2</v>
      </c>
      <c r="J9" s="129">
        <v>2.5761560357603248E-3</v>
      </c>
      <c r="K9" s="129">
        <v>3.6747375348219285E-3</v>
      </c>
      <c r="L9" s="129">
        <v>2.0277042278026873E-3</v>
      </c>
      <c r="M9" s="129">
        <v>1.0010057258539466</v>
      </c>
      <c r="N9" s="129">
        <v>1.4539845153107179E-2</v>
      </c>
      <c r="O9" s="129">
        <v>2.4205251996392545E-3</v>
      </c>
      <c r="P9" s="129">
        <v>2.1523003471748481E-3</v>
      </c>
      <c r="Q9" s="129">
        <v>5.2792067579723601E-3</v>
      </c>
      <c r="R9" s="129">
        <v>3.7329512420966188E-3</v>
      </c>
      <c r="S9" s="129">
        <v>3.7551732294020162E-3</v>
      </c>
      <c r="T9" s="129">
        <v>3.7950872949036262E-3</v>
      </c>
      <c r="U9" s="129">
        <v>4.4052650269190896E-3</v>
      </c>
      <c r="V9" s="129">
        <v>1.8086331352772272E-3</v>
      </c>
      <c r="W9" s="129">
        <v>2.948465928598844E-3</v>
      </c>
      <c r="X9" s="129">
        <v>1.8255853909703854E-3</v>
      </c>
      <c r="Y9" s="129">
        <v>1.9307133502534019E-3</v>
      </c>
      <c r="Z9" s="129">
        <v>6.376062072938669E-3</v>
      </c>
      <c r="AA9" s="129">
        <v>8.4046682467970365E-3</v>
      </c>
      <c r="AB9" s="129">
        <v>8.1909068703300641E-4</v>
      </c>
      <c r="AC9" s="130">
        <v>6.4468133785401975E-3</v>
      </c>
      <c r="AD9" s="131">
        <v>102364.31111111111</v>
      </c>
      <c r="AE9" s="132">
        <v>8.3591549295774641</v>
      </c>
      <c r="AF9" s="132">
        <v>6.704225352112676</v>
      </c>
    </row>
    <row r="10" spans="2:32">
      <c r="B10" s="127">
        <v>5</v>
      </c>
      <c r="C10" s="133" t="s">
        <v>370</v>
      </c>
      <c r="D10" s="129">
        <v>0.67935797556191746</v>
      </c>
      <c r="E10" s="129">
        <v>0.10007693572091432</v>
      </c>
      <c r="F10" s="129">
        <v>5.5075298984212241E-2</v>
      </c>
      <c r="G10" s="129">
        <v>3.0927514375825624E-2</v>
      </c>
      <c r="H10" s="129">
        <v>1.1915764302746107E-2</v>
      </c>
      <c r="I10" s="129">
        <v>1.1915764302746107E-2</v>
      </c>
      <c r="J10" s="129">
        <v>1.4233442923448794E-2</v>
      </c>
      <c r="K10" s="129">
        <v>3.4017309979286009E-2</v>
      </c>
      <c r="L10" s="129">
        <v>1.7533765718643263E-2</v>
      </c>
      <c r="M10" s="129">
        <v>6.5772018195538228E-3</v>
      </c>
      <c r="N10" s="129">
        <v>1.0877961585582496</v>
      </c>
      <c r="O10" s="129">
        <v>2.0247877359868095E-2</v>
      </c>
      <c r="P10" s="129">
        <v>8.2570389043676445E-3</v>
      </c>
      <c r="Q10" s="129">
        <v>1.0791493930412328E-2</v>
      </c>
      <c r="R10" s="129">
        <v>1.6282030435888967E-2</v>
      </c>
      <c r="S10" s="129">
        <v>1.2678240874068266E-2</v>
      </c>
      <c r="T10" s="129">
        <v>1.2630878183399551E-2</v>
      </c>
      <c r="U10" s="129">
        <v>1.8239388974906401E-2</v>
      </c>
      <c r="V10" s="129">
        <v>1.5972331089782549E-2</v>
      </c>
      <c r="W10" s="129">
        <v>5.9610172886521172E-2</v>
      </c>
      <c r="X10" s="129">
        <v>3.2901705480117602E-2</v>
      </c>
      <c r="Y10" s="129">
        <v>2.0539394278931582E-2</v>
      </c>
      <c r="Z10" s="129">
        <v>7.6053416825338745E-4</v>
      </c>
      <c r="AA10" s="129">
        <v>2.4135097975049022E-2</v>
      </c>
      <c r="AB10" s="129">
        <v>6.4163887690929363E-3</v>
      </c>
      <c r="AC10" s="130">
        <v>6.6857552222187372E-3</v>
      </c>
      <c r="AD10" s="131">
        <v>2600614.0526315789</v>
      </c>
      <c r="AE10" s="132">
        <v>30.988304093567251</v>
      </c>
      <c r="AF10" s="132">
        <v>30.988304093567251</v>
      </c>
    </row>
    <row r="11" spans="2:32">
      <c r="B11" s="127">
        <v>6</v>
      </c>
      <c r="C11" s="133" t="s">
        <v>453</v>
      </c>
      <c r="D11" s="129">
        <v>0.70804842552064784</v>
      </c>
      <c r="E11" s="129">
        <v>0.48315050793363523</v>
      </c>
      <c r="F11" s="129">
        <v>6.4820749463720378E-2</v>
      </c>
      <c r="G11" s="129">
        <v>0.15313294044826331</v>
      </c>
      <c r="H11" s="129">
        <v>0.14032384586614607</v>
      </c>
      <c r="I11" s="129">
        <v>0.13177710778852736</v>
      </c>
      <c r="J11" s="129">
        <v>5.6408635011332899E-2</v>
      </c>
      <c r="K11" s="129">
        <v>2.9643069519447271E-2</v>
      </c>
      <c r="L11" s="129">
        <v>4.1801149633741784E-2</v>
      </c>
      <c r="M11" s="129">
        <v>3.8997581975647178E-2</v>
      </c>
      <c r="N11" s="129">
        <v>1.1422778833759358E-2</v>
      </c>
      <c r="O11" s="129">
        <v>1.011191880110605</v>
      </c>
      <c r="P11" s="129">
        <v>8.2384121674513918E-3</v>
      </c>
      <c r="Q11" s="129">
        <v>5.0064991252106042E-3</v>
      </c>
      <c r="R11" s="129">
        <v>1.0836308478734947E-2</v>
      </c>
      <c r="S11" s="129">
        <v>9.6818015542604486E-3</v>
      </c>
      <c r="T11" s="129">
        <v>9.0844406979245281E-3</v>
      </c>
      <c r="U11" s="129">
        <v>7.4961166186160088E-3</v>
      </c>
      <c r="V11" s="129">
        <v>3.6968723558337614E-2</v>
      </c>
      <c r="W11" s="129">
        <v>5.2256820309496167E-2</v>
      </c>
      <c r="X11" s="129">
        <v>7.9915034084103512E-2</v>
      </c>
      <c r="Y11" s="129">
        <v>2.4029878863333642E-2</v>
      </c>
      <c r="Z11" s="129">
        <v>1.4964907829276765E-3</v>
      </c>
      <c r="AA11" s="129">
        <v>7.0368416141415729E-2</v>
      </c>
      <c r="AB11" s="129">
        <v>0.17720724892134862</v>
      </c>
      <c r="AC11" s="130">
        <v>7.0142894225856314E-3</v>
      </c>
      <c r="AD11" s="131">
        <v>73337.703596287713</v>
      </c>
      <c r="AE11" s="132">
        <v>10.291028615622583</v>
      </c>
      <c r="AF11" s="132">
        <v>9.6642304717710754</v>
      </c>
    </row>
    <row r="12" spans="2:32">
      <c r="B12" s="127">
        <v>7</v>
      </c>
      <c r="C12" s="133" t="s">
        <v>454</v>
      </c>
      <c r="D12" s="129">
        <v>0.68770259202726169</v>
      </c>
      <c r="E12" s="129">
        <v>0.3309192962448857</v>
      </c>
      <c r="F12" s="129">
        <v>0.1910017371898298</v>
      </c>
      <c r="G12" s="129">
        <v>4.7371922807883E-2</v>
      </c>
      <c r="H12" s="129">
        <v>4.3912669986034103E-2</v>
      </c>
      <c r="I12" s="129">
        <v>4.2679147020424267E-2</v>
      </c>
      <c r="J12" s="129">
        <v>9.159844064066185E-3</v>
      </c>
      <c r="K12" s="129">
        <v>5.9377294271640541E-2</v>
      </c>
      <c r="L12" s="129">
        <v>1.079784246743779E-2</v>
      </c>
      <c r="M12" s="129">
        <v>1.113140625020533E-2</v>
      </c>
      <c r="N12" s="129">
        <v>1.8400947001510248E-2</v>
      </c>
      <c r="O12" s="129">
        <v>1.8062870877186624E-2</v>
      </c>
      <c r="P12" s="129">
        <v>1.0634476757860747</v>
      </c>
      <c r="Q12" s="129">
        <v>7.7601886038873635E-2</v>
      </c>
      <c r="R12" s="129">
        <v>1.6797640964265982E-2</v>
      </c>
      <c r="S12" s="129">
        <v>1.0267499192763787E-2</v>
      </c>
      <c r="T12" s="129">
        <v>1.441702734421197E-2</v>
      </c>
      <c r="U12" s="129">
        <v>1.1247696290641273E-2</v>
      </c>
      <c r="V12" s="129">
        <v>9.6049502555280598E-3</v>
      </c>
      <c r="W12" s="129">
        <v>2.967387497560954E-2</v>
      </c>
      <c r="X12" s="129">
        <v>1.5114830365653817E-2</v>
      </c>
      <c r="Y12" s="129">
        <v>1.3979583810193605E-2</v>
      </c>
      <c r="Z12" s="129">
        <v>6.397193600801368E-2</v>
      </c>
      <c r="AA12" s="129">
        <v>4.3843608202382887E-2</v>
      </c>
      <c r="AB12" s="129">
        <v>5.135203777360626E-3</v>
      </c>
      <c r="AC12" s="130">
        <v>3.5968003175753903E-2</v>
      </c>
      <c r="AD12" s="131">
        <v>438999.72727272729</v>
      </c>
      <c r="AE12" s="132">
        <v>19.277650147686249</v>
      </c>
      <c r="AF12" s="132">
        <v>18.736133902198883</v>
      </c>
    </row>
    <row r="13" spans="2:32">
      <c r="B13" s="127">
        <v>8</v>
      </c>
      <c r="C13" s="133" t="s">
        <v>455</v>
      </c>
      <c r="D13" s="129">
        <v>0.85335503954694347</v>
      </c>
      <c r="E13" s="129">
        <v>0.18110059010043256</v>
      </c>
      <c r="F13" s="129">
        <v>0.16579732064913399</v>
      </c>
      <c r="G13" s="129">
        <v>4.6219015706579034E-2</v>
      </c>
      <c r="H13" s="129">
        <v>3.8223942876794689E-2</v>
      </c>
      <c r="I13" s="129">
        <v>3.2111003014824342E-2</v>
      </c>
      <c r="J13" s="129">
        <v>5.6128081442846254E-3</v>
      </c>
      <c r="K13" s="129">
        <v>1.7260877981215842E-2</v>
      </c>
      <c r="L13" s="129">
        <v>7.3069681364225448E-3</v>
      </c>
      <c r="M13" s="129">
        <v>9.7024333021617677E-3</v>
      </c>
      <c r="N13" s="129">
        <v>1.0786905711625775E-2</v>
      </c>
      <c r="O13" s="129">
        <v>3.4215333279272599E-2</v>
      </c>
      <c r="P13" s="129">
        <v>2.1638439911097804E-2</v>
      </c>
      <c r="Q13" s="129">
        <v>1.1125170403215985</v>
      </c>
      <c r="R13" s="129">
        <v>2.4157107707509919E-2</v>
      </c>
      <c r="S13" s="129">
        <v>3.1639221054959366E-2</v>
      </c>
      <c r="T13" s="129">
        <v>5.128620309070399E-3</v>
      </c>
      <c r="U13" s="129">
        <v>2.9236488944983973E-3</v>
      </c>
      <c r="V13" s="129">
        <v>2.3776343002637357E-2</v>
      </c>
      <c r="W13" s="129">
        <v>2.1535203681105414E-2</v>
      </c>
      <c r="X13" s="129">
        <v>6.0455904151420457E-2</v>
      </c>
      <c r="Y13" s="129">
        <v>2.1140029805214965E-2</v>
      </c>
      <c r="Z13" s="129">
        <v>1.8703673406609091E-2</v>
      </c>
      <c r="AA13" s="129">
        <v>3.4414976286778663E-2</v>
      </c>
      <c r="AB13" s="129">
        <v>7.6186967147069936E-3</v>
      </c>
      <c r="AC13" s="130">
        <v>2.574477919548078E-2</v>
      </c>
      <c r="AD13" s="131">
        <v>97412.908102766785</v>
      </c>
      <c r="AE13" s="132">
        <v>3.7235054347826089</v>
      </c>
      <c r="AF13" s="132">
        <v>3.128026185770751</v>
      </c>
    </row>
    <row r="14" spans="2:32">
      <c r="B14" s="127">
        <v>9</v>
      </c>
      <c r="C14" s="133" t="s">
        <v>456</v>
      </c>
      <c r="D14" s="129">
        <v>0.5385688819162493</v>
      </c>
      <c r="E14" s="129">
        <v>0.4850486849625486</v>
      </c>
      <c r="F14" s="129">
        <v>1.5622202990839329E-2</v>
      </c>
      <c r="G14" s="129">
        <v>4.5302656304729606E-2</v>
      </c>
      <c r="H14" s="129">
        <v>0.10140338454222492</v>
      </c>
      <c r="I14" s="129">
        <v>9.7495585046796729E-2</v>
      </c>
      <c r="J14" s="129">
        <v>1.9579900798116862E-2</v>
      </c>
      <c r="K14" s="129">
        <v>3.804476860686673E-2</v>
      </c>
      <c r="L14" s="129">
        <v>1.8679716402593801E-2</v>
      </c>
      <c r="M14" s="129">
        <v>1.8026468093363068E-2</v>
      </c>
      <c r="N14" s="129">
        <v>1.8272239129169081E-2</v>
      </c>
      <c r="O14" s="129">
        <v>1.4899721949303047E-2</v>
      </c>
      <c r="P14" s="129">
        <v>1.8997475317429992E-2</v>
      </c>
      <c r="Q14" s="129">
        <v>4.8695921913493945E-3</v>
      </c>
      <c r="R14" s="129">
        <v>1.0160409411318496</v>
      </c>
      <c r="S14" s="129">
        <v>1.1095060165419673E-2</v>
      </c>
      <c r="T14" s="129">
        <v>1.1734803080409582E-2</v>
      </c>
      <c r="U14" s="129">
        <v>6.3882913609535699E-3</v>
      </c>
      <c r="V14" s="129">
        <v>9.8335371323695266E-3</v>
      </c>
      <c r="W14" s="129">
        <v>2.9130226971685092E-2</v>
      </c>
      <c r="X14" s="129">
        <v>1.633520055313065E-2</v>
      </c>
      <c r="Y14" s="129">
        <v>1.5906427187801987E-2</v>
      </c>
      <c r="Z14" s="129">
        <v>1.4718822425837043E-3</v>
      </c>
      <c r="AA14" s="129">
        <v>8.4785188229676844E-2</v>
      </c>
      <c r="AB14" s="129">
        <v>3.8822154843163544E-2</v>
      </c>
      <c r="AC14" s="130">
        <v>3.3017956928447056E-2</v>
      </c>
      <c r="AD14" s="131">
        <v>225361.76325524042</v>
      </c>
      <c r="AE14" s="132">
        <v>22.852445540484997</v>
      </c>
      <c r="AF14" s="132">
        <v>21.971776955747362</v>
      </c>
    </row>
    <row r="15" spans="2:32">
      <c r="B15" s="127">
        <v>10</v>
      </c>
      <c r="C15" s="133" t="s">
        <v>365</v>
      </c>
      <c r="D15" s="129">
        <v>0.374247944124524</v>
      </c>
      <c r="E15" s="129">
        <v>0.1723381569724993</v>
      </c>
      <c r="F15" s="129">
        <v>0.12382881338479841</v>
      </c>
      <c r="G15" s="129">
        <v>5.4859009166738942E-2</v>
      </c>
      <c r="H15" s="129">
        <v>2.6168210881782002E-2</v>
      </c>
      <c r="I15" s="129">
        <v>2.3259401531695263E-2</v>
      </c>
      <c r="J15" s="129">
        <v>4.2047549750019366E-3</v>
      </c>
      <c r="K15" s="129">
        <v>7.5031946347913665E-3</v>
      </c>
      <c r="L15" s="129">
        <v>5.502953048558989E-3</v>
      </c>
      <c r="M15" s="129">
        <v>6.004992560407799E-3</v>
      </c>
      <c r="N15" s="129">
        <v>1.1475824948738857E-2</v>
      </c>
      <c r="O15" s="129">
        <v>1.6638898436523945E-2</v>
      </c>
      <c r="P15" s="129">
        <v>2.7013725616314148E-2</v>
      </c>
      <c r="Q15" s="129">
        <v>7.3064555539975049E-3</v>
      </c>
      <c r="R15" s="129">
        <v>5.9323285404888158E-3</v>
      </c>
      <c r="S15" s="129">
        <v>1.0934684158452392</v>
      </c>
      <c r="T15" s="129">
        <v>1.2349160583720074E-2</v>
      </c>
      <c r="U15" s="129">
        <v>3.7565089665777002E-3</v>
      </c>
      <c r="V15" s="129">
        <v>7.1783918113836054E-3</v>
      </c>
      <c r="W15" s="129">
        <v>1.8673083162515539E-2</v>
      </c>
      <c r="X15" s="129">
        <v>1.1672273275924598E-2</v>
      </c>
      <c r="Y15" s="129">
        <v>2.0745912572310492E-2</v>
      </c>
      <c r="Z15" s="129">
        <v>1.788592790637619E-3</v>
      </c>
      <c r="AA15" s="129">
        <v>7.8200212962205445E-3</v>
      </c>
      <c r="AB15" s="129">
        <v>3.7898900390274698E-3</v>
      </c>
      <c r="AC15" s="130">
        <v>2.5093736265486135E-2</v>
      </c>
      <c r="AD15" s="131">
        <v>664942.98113207554</v>
      </c>
      <c r="AE15" s="132">
        <v>17.400368154624942</v>
      </c>
      <c r="AF15" s="132">
        <v>15.466175793833409</v>
      </c>
    </row>
    <row r="16" spans="2:32">
      <c r="B16" s="127">
        <v>11</v>
      </c>
      <c r="C16" s="133" t="s">
        <v>457</v>
      </c>
      <c r="D16" s="129">
        <v>1</v>
      </c>
      <c r="E16" s="129">
        <v>0.36924482699005529</v>
      </c>
      <c r="F16" s="129">
        <v>0</v>
      </c>
      <c r="G16" s="129">
        <v>2.7258709934576486E-3</v>
      </c>
      <c r="H16" s="129">
        <v>4.985579221690678E-2</v>
      </c>
      <c r="I16" s="129">
        <v>4.985579221690678E-2</v>
      </c>
      <c r="J16" s="129">
        <v>3.9968014833210628E-4</v>
      </c>
      <c r="K16" s="129">
        <v>5.130928266805074E-4</v>
      </c>
      <c r="L16" s="129">
        <v>2.2419632887353991E-4</v>
      </c>
      <c r="M16" s="129">
        <v>6.5088810198449558E-4</v>
      </c>
      <c r="N16" s="129">
        <v>2.6811288359301037E-4</v>
      </c>
      <c r="O16" s="129">
        <v>2.3860504247381407E-4</v>
      </c>
      <c r="P16" s="129">
        <v>5.5599918643096501E-4</v>
      </c>
      <c r="Q16" s="129">
        <v>5.0468292792364504E-4</v>
      </c>
      <c r="R16" s="129">
        <v>2.0744232010415673E-4</v>
      </c>
      <c r="S16" s="129">
        <v>3.6456471376563552E-4</v>
      </c>
      <c r="T16" s="129">
        <v>1.0000483990311926</v>
      </c>
      <c r="U16" s="129">
        <v>1.6430702239644815E-4</v>
      </c>
      <c r="V16" s="129">
        <v>1.7962313322856342E-4</v>
      </c>
      <c r="W16" s="129">
        <v>9.8203179465153096E-4</v>
      </c>
      <c r="X16" s="129">
        <v>1.5023296989036172E-4</v>
      </c>
      <c r="Y16" s="129">
        <v>2.9466958986795001E-4</v>
      </c>
      <c r="Z16" s="129">
        <v>4.9882309222897912E-5</v>
      </c>
      <c r="AA16" s="129">
        <v>1.4921277141002908E-4</v>
      </c>
      <c r="AB16" s="129">
        <v>1.0087327983174044E-4</v>
      </c>
      <c r="AC16" s="130">
        <v>5.2986328316489105E-2</v>
      </c>
      <c r="AD16" s="131">
        <v>1575317.9302127659</v>
      </c>
      <c r="AE16" s="132">
        <v>78.538723404255322</v>
      </c>
      <c r="AF16" s="132">
        <v>78.538723404255322</v>
      </c>
    </row>
    <row r="17" spans="2:32">
      <c r="B17" s="127">
        <v>12</v>
      </c>
      <c r="C17" s="133" t="s">
        <v>33</v>
      </c>
      <c r="D17" s="129">
        <v>0.77418871350256457</v>
      </c>
      <c r="E17" s="129">
        <v>0.62475424379956623</v>
      </c>
      <c r="F17" s="129">
        <v>3.8280897365413238E-3</v>
      </c>
      <c r="G17" s="129">
        <v>2.6421722946925696E-2</v>
      </c>
      <c r="H17" s="129">
        <v>9.3005653840282226E-2</v>
      </c>
      <c r="I17" s="129">
        <v>9.2904897913627021E-2</v>
      </c>
      <c r="J17" s="129">
        <v>1.4154936259448141E-4</v>
      </c>
      <c r="K17" s="129">
        <v>7.4551842383282401E-4</v>
      </c>
      <c r="L17" s="129">
        <v>4.9936189677763721E-4</v>
      </c>
      <c r="M17" s="129">
        <v>2.8697616619021164E-4</v>
      </c>
      <c r="N17" s="129">
        <v>6.1061185079461103E-4</v>
      </c>
      <c r="O17" s="129">
        <v>3.1874155691177618E-4</v>
      </c>
      <c r="P17" s="129">
        <v>4.1086081245330286E-4</v>
      </c>
      <c r="Q17" s="129">
        <v>1.1834655549878655E-4</v>
      </c>
      <c r="R17" s="129">
        <v>1.0386311170888455E-3</v>
      </c>
      <c r="S17" s="129">
        <v>5.4844931721468506E-3</v>
      </c>
      <c r="T17" s="129">
        <v>2.2370222274080041E-4</v>
      </c>
      <c r="U17" s="129">
        <v>1.0000723978004811</v>
      </c>
      <c r="V17" s="129">
        <v>1.9564352358015957E-4</v>
      </c>
      <c r="W17" s="129">
        <v>4.8561693036317557E-4</v>
      </c>
      <c r="X17" s="129">
        <v>6.7141548333711151E-4</v>
      </c>
      <c r="Y17" s="129">
        <v>6.6861714163822864E-4</v>
      </c>
      <c r="Z17" s="129">
        <v>2.9843389456265647E-5</v>
      </c>
      <c r="AA17" s="129">
        <v>6.4865793473845175E-4</v>
      </c>
      <c r="AB17" s="129">
        <v>1.5919365389387036E-4</v>
      </c>
      <c r="AC17" s="130">
        <v>2.5999287080242179E-3</v>
      </c>
      <c r="AD17" s="131">
        <v>120354.41210732362</v>
      </c>
      <c r="AE17" s="132">
        <v>11.193640790604411</v>
      </c>
      <c r="AF17" s="132">
        <v>11.181514370285496</v>
      </c>
    </row>
    <row r="18" spans="2:32">
      <c r="B18" s="127">
        <v>13</v>
      </c>
      <c r="C18" s="133" t="s">
        <v>34</v>
      </c>
      <c r="D18" s="129">
        <v>0.92473053489569101</v>
      </c>
      <c r="E18" s="129">
        <v>0.48605301520721195</v>
      </c>
      <c r="F18" s="129">
        <v>2.46411203420689E-2</v>
      </c>
      <c r="G18" s="129">
        <v>4.3762692829048565E-2</v>
      </c>
      <c r="H18" s="129">
        <v>0.12205616789823402</v>
      </c>
      <c r="I18" s="129">
        <v>0.11809966794512886</v>
      </c>
      <c r="J18" s="129">
        <v>2.5174864865633886E-5</v>
      </c>
      <c r="K18" s="129">
        <v>5.2156115708316958E-5</v>
      </c>
      <c r="L18" s="129">
        <v>2.6065366343202493E-5</v>
      </c>
      <c r="M18" s="129">
        <v>2.7883186431163561E-5</v>
      </c>
      <c r="N18" s="129">
        <v>6.9580119118902955E-5</v>
      </c>
      <c r="O18" s="129">
        <v>4.4013975874552472E-5</v>
      </c>
      <c r="P18" s="129">
        <v>1.4501313522759948E-4</v>
      </c>
      <c r="Q18" s="129">
        <v>4.8909579378142043E-5</v>
      </c>
      <c r="R18" s="129">
        <v>8.9792772623508202E-4</v>
      </c>
      <c r="S18" s="129">
        <v>4.5499164763861209E-4</v>
      </c>
      <c r="T18" s="129">
        <v>3.3399348954459746E-5</v>
      </c>
      <c r="U18" s="129">
        <v>1.9735591423438357E-5</v>
      </c>
      <c r="V18" s="129">
        <v>1.0154577608534325</v>
      </c>
      <c r="W18" s="129">
        <v>5.126949802833791E-5</v>
      </c>
      <c r="X18" s="129">
        <v>4.5373816760348559E-4</v>
      </c>
      <c r="Y18" s="129">
        <v>9.0471358343418464E-5</v>
      </c>
      <c r="Z18" s="129">
        <v>9.7751818751086002E-6</v>
      </c>
      <c r="AA18" s="129">
        <v>1.0103446736375749E-4</v>
      </c>
      <c r="AB18" s="129">
        <v>4.0932853992031395E-5</v>
      </c>
      <c r="AC18" s="130">
        <v>1.9999021753772973E-4</v>
      </c>
      <c r="AD18" s="131">
        <v>144532.57430531128</v>
      </c>
      <c r="AE18" s="132">
        <v>17.641092156173055</v>
      </c>
      <c r="AF18" s="132">
        <v>17.069249032711923</v>
      </c>
    </row>
    <row r="19" spans="2:32">
      <c r="B19" s="127">
        <v>14</v>
      </c>
      <c r="C19" s="133" t="s">
        <v>35</v>
      </c>
      <c r="D19" s="129">
        <v>0.10302625374160312</v>
      </c>
      <c r="E19" s="129">
        <v>0.28965747068160974</v>
      </c>
      <c r="F19" s="129">
        <v>-0.14370708047692771</v>
      </c>
      <c r="G19" s="129">
        <v>6.9819974646785927E-3</v>
      </c>
      <c r="H19" s="129">
        <v>0.13414815918914891</v>
      </c>
      <c r="I19" s="129">
        <v>0.12744619113882322</v>
      </c>
      <c r="J19" s="129">
        <v>0</v>
      </c>
      <c r="K19" s="129">
        <v>0</v>
      </c>
      <c r="L19" s="129">
        <v>0</v>
      </c>
      <c r="M19" s="129">
        <v>0</v>
      </c>
      <c r="N19" s="129">
        <v>0</v>
      </c>
      <c r="O19" s="129">
        <v>0</v>
      </c>
      <c r="P19" s="129">
        <v>0</v>
      </c>
      <c r="Q19" s="129">
        <v>0</v>
      </c>
      <c r="R19" s="129">
        <v>0</v>
      </c>
      <c r="S19" s="129">
        <v>0</v>
      </c>
      <c r="T19" s="129">
        <v>0</v>
      </c>
      <c r="U19" s="129">
        <v>0</v>
      </c>
      <c r="V19" s="129">
        <v>0</v>
      </c>
      <c r="W19" s="129">
        <v>1.0001265394993912</v>
      </c>
      <c r="X19" s="129">
        <v>0</v>
      </c>
      <c r="Y19" s="129">
        <v>0</v>
      </c>
      <c r="Z19" s="129">
        <v>0</v>
      </c>
      <c r="AA19" s="129">
        <v>0</v>
      </c>
      <c r="AB19" s="129">
        <v>0</v>
      </c>
      <c r="AC19" s="130">
        <v>0</v>
      </c>
      <c r="AD19" s="131">
        <v>65002.333804809052</v>
      </c>
      <c r="AE19" s="132">
        <v>8.7199434229137207</v>
      </c>
      <c r="AF19" s="132">
        <v>8.2842998585572847</v>
      </c>
    </row>
    <row r="20" spans="2:32">
      <c r="B20" s="127">
        <v>15</v>
      </c>
      <c r="C20" s="133" t="s">
        <v>36</v>
      </c>
      <c r="D20" s="129">
        <v>0.67936669965790486</v>
      </c>
      <c r="E20" s="129">
        <v>0.2863112054139435</v>
      </c>
      <c r="F20" s="129">
        <v>-6.2369371084315664E-3</v>
      </c>
      <c r="G20" s="129">
        <v>5.0145811356273627E-2</v>
      </c>
      <c r="H20" s="129">
        <v>0.22530399044041907</v>
      </c>
      <c r="I20" s="129">
        <v>0.2056461995158691</v>
      </c>
      <c r="J20" s="129">
        <v>1.3893453552270182E-6</v>
      </c>
      <c r="K20" s="129">
        <v>6.6651287084060061E-6</v>
      </c>
      <c r="L20" s="129">
        <v>4.3924914832429362E-6</v>
      </c>
      <c r="M20" s="129">
        <v>2.6289521630919255E-6</v>
      </c>
      <c r="N20" s="129">
        <v>5.676879996851355E-6</v>
      </c>
      <c r="O20" s="129">
        <v>3.0257410993794926E-6</v>
      </c>
      <c r="P20" s="129">
        <v>4.6161496241474534E-6</v>
      </c>
      <c r="Q20" s="129">
        <v>1.3875596665195741E-6</v>
      </c>
      <c r="R20" s="129">
        <v>1.5978545874955239E-5</v>
      </c>
      <c r="S20" s="129">
        <v>4.961103269216556E-5</v>
      </c>
      <c r="T20" s="129">
        <v>2.1439026846925688E-6</v>
      </c>
      <c r="U20" s="129">
        <v>8.3736538909121826E-3</v>
      </c>
      <c r="V20" s="129">
        <v>8.2370122525580597E-3</v>
      </c>
      <c r="W20" s="129">
        <v>1.4972492347608227E-3</v>
      </c>
      <c r="X20" s="129">
        <v>1.0039111721976899</v>
      </c>
      <c r="Y20" s="129">
        <v>6.3319799716006675E-6</v>
      </c>
      <c r="Z20" s="129">
        <v>3.2915218494282114E-7</v>
      </c>
      <c r="AA20" s="129">
        <v>6.2505307104925068E-6</v>
      </c>
      <c r="AB20" s="129">
        <v>1.6648764975978925E-6</v>
      </c>
      <c r="AC20" s="130">
        <v>2.3390833957528524E-5</v>
      </c>
      <c r="AD20" s="131">
        <v>33234.583073496658</v>
      </c>
      <c r="AE20" s="132">
        <v>7.4878841870824058</v>
      </c>
      <c r="AF20" s="132">
        <v>6.8345657015590202</v>
      </c>
    </row>
    <row r="21" spans="2:32">
      <c r="B21" s="127">
        <v>16</v>
      </c>
      <c r="C21" s="133" t="s">
        <v>37</v>
      </c>
      <c r="D21" s="129">
        <v>0.60906182273111553</v>
      </c>
      <c r="E21" s="129">
        <v>0.2905355852746771</v>
      </c>
      <c r="F21" s="129">
        <v>9.1700725278918468E-2</v>
      </c>
      <c r="G21" s="129">
        <v>7.5600973032154017E-2</v>
      </c>
      <c r="H21" s="129">
        <v>8.9449485879983692E-2</v>
      </c>
      <c r="I21" s="129">
        <v>7.5428763593357026E-2</v>
      </c>
      <c r="J21" s="129">
        <v>4.6224221726180161E-2</v>
      </c>
      <c r="K21" s="129">
        <v>0.10693625289017474</v>
      </c>
      <c r="L21" s="129">
        <v>4.8790776170062423E-2</v>
      </c>
      <c r="M21" s="129">
        <v>8.0514907756452231E-2</v>
      </c>
      <c r="N21" s="129">
        <v>0.10130106563983787</v>
      </c>
      <c r="O21" s="129">
        <v>6.7329970332794919E-2</v>
      </c>
      <c r="P21" s="129">
        <v>0.10392708433048528</v>
      </c>
      <c r="Q21" s="129">
        <v>6.4042304070969308E-2</v>
      </c>
      <c r="R21" s="129">
        <v>6.482289675307723E-2</v>
      </c>
      <c r="S21" s="129">
        <v>0.14660960905087947</v>
      </c>
      <c r="T21" s="129">
        <v>7.054762704350237E-2</v>
      </c>
      <c r="U21" s="129">
        <v>3.2931676540834703E-2</v>
      </c>
      <c r="V21" s="129">
        <v>5.5405053969667925E-2</v>
      </c>
      <c r="W21" s="129">
        <v>0.11363664968130649</v>
      </c>
      <c r="X21" s="129">
        <v>5.4392846638675739E-2</v>
      </c>
      <c r="Y21" s="129">
        <v>1.1233691541817854</v>
      </c>
      <c r="Z21" s="129">
        <v>9.3664756104548455E-3</v>
      </c>
      <c r="AA21" s="129">
        <v>0.27731036776215467</v>
      </c>
      <c r="AB21" s="129">
        <v>2.0374782351665573E-2</v>
      </c>
      <c r="AC21" s="130">
        <v>5.4676218074004898E-2</v>
      </c>
      <c r="AD21" s="131">
        <v>103008.86148272018</v>
      </c>
      <c r="AE21" s="132">
        <v>9.2140897007117744</v>
      </c>
      <c r="AF21" s="132">
        <v>7.7698310608009606</v>
      </c>
    </row>
    <row r="22" spans="2:32">
      <c r="B22" s="127">
        <v>17</v>
      </c>
      <c r="C22" s="133" t="s">
        <v>460</v>
      </c>
      <c r="D22" s="129">
        <v>1</v>
      </c>
      <c r="E22" s="129">
        <v>0</v>
      </c>
      <c r="F22" s="129">
        <v>0.41348880007681132</v>
      </c>
      <c r="G22" s="129">
        <v>0.20310389470480342</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29">
        <v>0</v>
      </c>
      <c r="X22" s="129">
        <v>0</v>
      </c>
      <c r="Y22" s="129">
        <v>0</v>
      </c>
      <c r="Z22" s="129">
        <v>1</v>
      </c>
      <c r="AA22" s="129">
        <v>0</v>
      </c>
      <c r="AB22" s="129">
        <v>0</v>
      </c>
      <c r="AC22" s="130">
        <v>0</v>
      </c>
      <c r="AD22" s="131">
        <v>0</v>
      </c>
      <c r="AE22" s="132">
        <v>0</v>
      </c>
      <c r="AF22" s="132">
        <v>0</v>
      </c>
    </row>
    <row r="23" spans="2:32">
      <c r="B23" s="127">
        <v>18</v>
      </c>
      <c r="C23" s="134" t="s">
        <v>366</v>
      </c>
      <c r="D23" s="129">
        <v>1</v>
      </c>
      <c r="E23" s="129">
        <v>0</v>
      </c>
      <c r="F23" s="129">
        <v>0</v>
      </c>
      <c r="G23" s="129">
        <v>0</v>
      </c>
      <c r="H23" s="129">
        <v>0</v>
      </c>
      <c r="I23" s="129">
        <v>0</v>
      </c>
      <c r="J23" s="129">
        <v>6.2498146613984756E-2</v>
      </c>
      <c r="K23" s="129">
        <v>0.23513083270290577</v>
      </c>
      <c r="L23" s="129">
        <v>1.1193419655355894E-2</v>
      </c>
      <c r="M23" s="129">
        <v>2.3877328816287253E-2</v>
      </c>
      <c r="N23" s="129">
        <v>1.0557272325328231E-2</v>
      </c>
      <c r="O23" s="129">
        <v>4.0210064964266358E-2</v>
      </c>
      <c r="P23" s="129">
        <v>1.2675076836068574E-2</v>
      </c>
      <c r="Q23" s="129">
        <v>6.3706262773296218E-3</v>
      </c>
      <c r="R23" s="129">
        <v>6.2745836035480044E-3</v>
      </c>
      <c r="S23" s="129">
        <v>1.1490068311065589E-2</v>
      </c>
      <c r="T23" s="129">
        <v>1.5949816578538004E-2</v>
      </c>
      <c r="U23" s="129">
        <v>1.6200630110486145E-2</v>
      </c>
      <c r="V23" s="129">
        <v>8.6944887311183171E-3</v>
      </c>
      <c r="W23" s="129">
        <v>6.4461239726599839E-2</v>
      </c>
      <c r="X23" s="129">
        <v>1.1726907491324125E-2</v>
      </c>
      <c r="Y23" s="129">
        <v>1.6400201598258272E-2</v>
      </c>
      <c r="Z23" s="129">
        <v>1.9482255252498022E-3</v>
      </c>
      <c r="AA23" s="129">
        <v>1.0082106374260029</v>
      </c>
      <c r="AB23" s="129">
        <v>8.5763501449111802E-3</v>
      </c>
      <c r="AC23" s="130">
        <v>1.0630166110710096E-2</v>
      </c>
      <c r="AD23" s="131">
        <v>0</v>
      </c>
      <c r="AE23" s="132">
        <v>0</v>
      </c>
      <c r="AF23" s="132">
        <v>0</v>
      </c>
    </row>
    <row r="24" spans="2:32">
      <c r="B24" s="127">
        <v>19</v>
      </c>
      <c r="C24" s="133" t="s">
        <v>367</v>
      </c>
      <c r="D24" s="129">
        <v>1</v>
      </c>
      <c r="E24" s="129">
        <v>0</v>
      </c>
      <c r="F24" s="129">
        <v>0</v>
      </c>
      <c r="G24" s="129">
        <v>0</v>
      </c>
      <c r="H24" s="129">
        <v>0</v>
      </c>
      <c r="I24" s="129">
        <v>0</v>
      </c>
      <c r="J24" s="129">
        <v>7.1910791032944916E-4</v>
      </c>
      <c r="K24" s="129">
        <v>2.0944271911411817E-3</v>
      </c>
      <c r="L24" s="129">
        <v>1.2449093510589603E-3</v>
      </c>
      <c r="M24" s="129">
        <v>1.1915528690354779E-3</v>
      </c>
      <c r="N24" s="129">
        <v>8.3810571884487275E-4</v>
      </c>
      <c r="O24" s="129">
        <v>2.3444775520194204E-3</v>
      </c>
      <c r="P24" s="129">
        <v>3.864942671224965E-3</v>
      </c>
      <c r="Q24" s="129">
        <v>1.4271750316782795E-3</v>
      </c>
      <c r="R24" s="129">
        <v>3.0600738066612295E-3</v>
      </c>
      <c r="S24" s="129">
        <v>2.7652499523246432E-3</v>
      </c>
      <c r="T24" s="129">
        <v>2.9946496830417198E-3</v>
      </c>
      <c r="U24" s="129">
        <v>1.9407496611575034E-3</v>
      </c>
      <c r="V24" s="129">
        <v>2.7466270842046174E-3</v>
      </c>
      <c r="W24" s="129">
        <v>3.0019755333261476E-3</v>
      </c>
      <c r="X24" s="129">
        <v>1.1661727758419979E-3</v>
      </c>
      <c r="Y24" s="129">
        <v>3.4409952008952415E-3</v>
      </c>
      <c r="Z24" s="129">
        <v>2.655400235158345E-4</v>
      </c>
      <c r="AA24" s="129">
        <v>2.3200629960367933E-3</v>
      </c>
      <c r="AB24" s="129">
        <v>1.0006721504556582</v>
      </c>
      <c r="AC24" s="130">
        <v>7.2973841921196631E-4</v>
      </c>
      <c r="AD24" s="131">
        <v>0</v>
      </c>
      <c r="AE24" s="132">
        <v>0</v>
      </c>
      <c r="AF24" s="132">
        <v>0</v>
      </c>
    </row>
    <row r="25" spans="2:32">
      <c r="B25" s="135">
        <v>20</v>
      </c>
      <c r="C25" s="136" t="s">
        <v>368</v>
      </c>
      <c r="D25" s="137">
        <v>0.86001495909806924</v>
      </c>
      <c r="E25" s="138">
        <v>8.2658853879220406E-3</v>
      </c>
      <c r="F25" s="138">
        <v>0.55841740651246763</v>
      </c>
      <c r="G25" s="129">
        <v>8.4525283964417709E-6</v>
      </c>
      <c r="H25" s="138">
        <v>0</v>
      </c>
      <c r="I25" s="138">
        <v>0</v>
      </c>
      <c r="J25" s="138">
        <v>7.5518728712231547E-3</v>
      </c>
      <c r="K25" s="138">
        <v>9.6947817258315003E-3</v>
      </c>
      <c r="L25" s="138">
        <v>4.2361427779521862E-3</v>
      </c>
      <c r="M25" s="138">
        <v>1.2298394654052891E-2</v>
      </c>
      <c r="N25" s="138">
        <v>5.0659369009967365E-3</v>
      </c>
      <c r="O25" s="138">
        <v>4.5083924100673108E-3</v>
      </c>
      <c r="P25" s="138">
        <v>1.0505488426063161E-2</v>
      </c>
      <c r="Q25" s="138">
        <v>9.5358784464549401E-3</v>
      </c>
      <c r="R25" s="138">
        <v>3.919579283773819E-3</v>
      </c>
      <c r="S25" s="138">
        <v>6.888374074071512E-3</v>
      </c>
      <c r="T25" s="138">
        <v>9.1448957918333095E-4</v>
      </c>
      <c r="U25" s="138">
        <v>3.1045468486869967E-3</v>
      </c>
      <c r="V25" s="138">
        <v>3.3939415618554594E-3</v>
      </c>
      <c r="W25" s="138">
        <v>1.8555285519322708E-2</v>
      </c>
      <c r="X25" s="138">
        <v>2.8386205680037526E-3</v>
      </c>
      <c r="Y25" s="138">
        <v>5.5677203158190141E-3</v>
      </c>
      <c r="Z25" s="138">
        <v>9.4251580756858579E-4</v>
      </c>
      <c r="AA25" s="138">
        <v>2.8193441309351665E-3</v>
      </c>
      <c r="AB25" s="138">
        <v>1.9059795403189119E-3</v>
      </c>
      <c r="AC25" s="139">
        <v>1.0011655996147297</v>
      </c>
      <c r="AD25" s="140">
        <v>0</v>
      </c>
      <c r="AE25" s="141">
        <v>0</v>
      </c>
      <c r="AF25" s="141">
        <v>0</v>
      </c>
    </row>
    <row r="26" spans="2:32">
      <c r="B26" s="142">
        <v>70</v>
      </c>
      <c r="C26" s="143" t="s">
        <v>458</v>
      </c>
      <c r="G26" s="138">
        <v>1</v>
      </c>
      <c r="AD26" s="144">
        <v>157408.99513709726</v>
      </c>
      <c r="AE26" s="145">
        <v>10.637474030273282</v>
      </c>
      <c r="AF26" s="145">
        <v>9.7033591318310837</v>
      </c>
    </row>
    <row r="27" spans="2:32">
      <c r="B27" s="120"/>
      <c r="C27" s="120"/>
    </row>
    <row r="28" spans="2:32">
      <c r="B28" s="120"/>
      <c r="C28" s="120"/>
    </row>
    <row r="29" spans="2:32">
      <c r="B29" s="120"/>
      <c r="C29" s="120"/>
    </row>
    <row r="30" spans="2:32">
      <c r="B30" s="120"/>
      <c r="C30" s="120"/>
    </row>
    <row r="31" spans="2:32">
      <c r="B31" s="120"/>
      <c r="C31" s="120"/>
    </row>
    <row r="32" spans="2:32">
      <c r="B32" s="120"/>
      <c r="C32" s="120"/>
    </row>
    <row r="33" s="120" customFormat="1"/>
    <row r="34" s="120" customFormat="1"/>
    <row r="35" s="120" customFormat="1"/>
    <row r="36" s="120" customFormat="1"/>
    <row r="37" s="120" customFormat="1"/>
    <row r="38" s="120" customFormat="1"/>
    <row r="39" s="120" customFormat="1"/>
    <row r="40" s="120" customFormat="1"/>
    <row r="41" s="120" customFormat="1"/>
    <row r="42" s="120" customFormat="1"/>
    <row r="43" s="120" customFormat="1"/>
    <row r="44" s="120" customFormat="1"/>
    <row r="45" s="120" customFormat="1"/>
    <row r="46" s="120" customFormat="1"/>
    <row r="47" s="120" customFormat="1"/>
    <row r="48" s="120" customFormat="1"/>
    <row r="49" s="120" customFormat="1"/>
    <row r="50" s="120" customFormat="1"/>
    <row r="51" s="120" customFormat="1"/>
    <row r="52" s="120" customFormat="1"/>
    <row r="53" s="120" customFormat="1"/>
    <row r="54" s="120" customFormat="1"/>
    <row r="55" s="120" customFormat="1"/>
    <row r="56" s="120" customFormat="1"/>
    <row r="57" s="120" customFormat="1"/>
    <row r="58" s="120" customFormat="1"/>
    <row r="59" s="120" customFormat="1"/>
    <row r="60" s="120" customFormat="1"/>
    <row r="61" s="120" customFormat="1"/>
    <row r="62" s="120" customFormat="1"/>
    <row r="63" s="120" customFormat="1"/>
    <row r="64" s="120" customFormat="1"/>
    <row r="65" s="120" customFormat="1"/>
    <row r="66" s="120" customFormat="1"/>
    <row r="67" s="120" customFormat="1"/>
    <row r="68" s="120" customFormat="1"/>
    <row r="69" s="120" customFormat="1"/>
    <row r="70" s="120" customFormat="1"/>
    <row r="71" s="120" customFormat="1"/>
    <row r="72" s="120" customFormat="1"/>
    <row r="73" s="120" customFormat="1"/>
    <row r="74" s="120" customFormat="1"/>
    <row r="75" s="120" customFormat="1"/>
    <row r="76" s="120" customFormat="1"/>
    <row r="77" s="120" customFormat="1"/>
    <row r="78" s="120" customFormat="1"/>
    <row r="79" s="120" customFormat="1"/>
    <row r="80" s="120" customFormat="1"/>
    <row r="81" s="120" customFormat="1"/>
    <row r="82" s="120" customFormat="1"/>
    <row r="83" s="120" customFormat="1"/>
    <row r="84" s="120" customFormat="1"/>
    <row r="85" s="120" customFormat="1"/>
    <row r="86" s="120" customFormat="1"/>
    <row r="87" s="120" customFormat="1"/>
    <row r="88" s="120" customFormat="1"/>
    <row r="89" s="120" customFormat="1"/>
    <row r="90" s="120" customFormat="1"/>
    <row r="91" s="120" customFormat="1"/>
    <row r="92" s="120" customFormat="1"/>
    <row r="93" s="120" customFormat="1"/>
    <row r="94" s="120" customFormat="1"/>
    <row r="95" s="120" customFormat="1"/>
    <row r="96" s="120" customFormat="1"/>
    <row r="97" s="120" customFormat="1"/>
    <row r="98" s="120" customFormat="1"/>
    <row r="99" s="120" customFormat="1"/>
    <row r="100" s="120" customFormat="1"/>
    <row r="101" s="120" customFormat="1"/>
    <row r="102" s="120" customFormat="1"/>
    <row r="103" s="120" customFormat="1"/>
    <row r="104" s="120" customFormat="1"/>
    <row r="105" s="120" customFormat="1"/>
    <row r="106" s="120" customFormat="1"/>
    <row r="107" s="120" customFormat="1"/>
    <row r="108" s="120" customFormat="1"/>
    <row r="109" s="120" customFormat="1"/>
    <row r="110" s="120" customFormat="1"/>
    <row r="111" s="120" customFormat="1"/>
    <row r="112" s="120" customFormat="1"/>
    <row r="113" s="120" customFormat="1"/>
    <row r="114" s="120" customFormat="1"/>
    <row r="115" s="120" customFormat="1"/>
    <row r="116" s="120" customFormat="1"/>
    <row r="117" s="120" customFormat="1"/>
    <row r="118" s="120" customFormat="1"/>
    <row r="119" s="120" customFormat="1"/>
    <row r="120" s="120" customFormat="1"/>
    <row r="121" s="120" customFormat="1"/>
    <row r="122" s="120" customFormat="1"/>
    <row r="123" s="120" customFormat="1"/>
    <row r="124" s="120" customFormat="1"/>
    <row r="125" s="120" customFormat="1"/>
    <row r="126" s="120" customFormat="1"/>
    <row r="127" s="120" customFormat="1"/>
    <row r="128" s="120" customFormat="1"/>
    <row r="129" s="120" customFormat="1"/>
    <row r="130" s="120" customFormat="1"/>
    <row r="131" s="120" customFormat="1"/>
    <row r="132" s="120" customFormat="1"/>
    <row r="133" s="120" customFormat="1"/>
    <row r="134" s="120" customFormat="1"/>
    <row r="135" s="120" customFormat="1"/>
    <row r="136" s="120" customFormat="1"/>
    <row r="137" s="120" customFormat="1"/>
    <row r="138" s="120" customFormat="1"/>
    <row r="139" s="120" customFormat="1"/>
    <row r="140" s="120" customFormat="1"/>
    <row r="141" s="120" customFormat="1"/>
    <row r="142" s="120" customFormat="1"/>
    <row r="143" s="120" customFormat="1"/>
    <row r="144" s="120" customFormat="1"/>
    <row r="145" s="120" customFormat="1"/>
    <row r="146" s="120" customFormat="1"/>
    <row r="147" s="120" customFormat="1"/>
    <row r="148" s="120" customFormat="1"/>
    <row r="149" s="120" customFormat="1"/>
    <row r="150" s="120" customFormat="1"/>
    <row r="151" s="120" customFormat="1"/>
    <row r="152" s="120" customFormat="1"/>
    <row r="153" s="120" customFormat="1"/>
    <row r="154" s="120" customFormat="1"/>
    <row r="155" s="120" customFormat="1"/>
    <row r="156" s="120" customFormat="1"/>
    <row r="157" s="120" customFormat="1"/>
    <row r="158" s="120" customFormat="1"/>
    <row r="159" s="120" customFormat="1"/>
    <row r="160" s="120" customFormat="1"/>
    <row r="161" s="120" customFormat="1"/>
    <row r="162" s="120" customFormat="1"/>
    <row r="163" s="120" customFormat="1"/>
    <row r="164" s="120" customFormat="1"/>
    <row r="165" s="120" customFormat="1"/>
    <row r="166" s="120" customFormat="1"/>
    <row r="167" s="120" customFormat="1"/>
    <row r="168" s="120" customFormat="1"/>
    <row r="169" s="120" customFormat="1"/>
    <row r="170" s="120" customFormat="1"/>
    <row r="171" s="120" customFormat="1"/>
    <row r="172" s="120" customFormat="1"/>
    <row r="173" s="120" customFormat="1"/>
    <row r="174" s="120" customFormat="1"/>
    <row r="175" s="120" customFormat="1"/>
    <row r="176" s="120" customFormat="1"/>
    <row r="177" s="120" customFormat="1"/>
    <row r="178" s="120" customFormat="1"/>
    <row r="179" s="120" customFormat="1"/>
    <row r="180" s="120" customFormat="1"/>
    <row r="181" s="120" customFormat="1"/>
    <row r="182" s="120" customFormat="1"/>
    <row r="183" s="120" customFormat="1"/>
    <row r="184" s="120" customFormat="1"/>
    <row r="185" s="120" customFormat="1"/>
    <row r="186" s="120" customFormat="1"/>
    <row r="187" s="120" customFormat="1"/>
    <row r="188" s="120" customFormat="1"/>
    <row r="189" s="120" customFormat="1"/>
    <row r="190" s="120" customFormat="1"/>
    <row r="191" s="120" customFormat="1"/>
    <row r="192" s="120" customFormat="1"/>
    <row r="193" s="120" customFormat="1"/>
    <row r="194" s="120" customFormat="1"/>
    <row r="195" s="120" customFormat="1"/>
    <row r="196" s="120" customFormat="1"/>
    <row r="197" s="120" customFormat="1"/>
    <row r="198" s="120" customFormat="1"/>
    <row r="199" s="120" customFormat="1"/>
    <row r="200" s="120" customFormat="1"/>
    <row r="201" s="120" customFormat="1"/>
    <row r="202" s="120" customFormat="1"/>
    <row r="203" s="120" customFormat="1"/>
    <row r="204" s="120" customFormat="1"/>
    <row r="205" s="120" customFormat="1"/>
    <row r="206" s="120" customFormat="1"/>
    <row r="207" s="120" customFormat="1"/>
    <row r="208" s="120" customFormat="1"/>
    <row r="209" s="120" customFormat="1"/>
    <row r="210" s="120" customFormat="1"/>
    <row r="211" s="120" customFormat="1"/>
    <row r="212" s="120" customFormat="1"/>
    <row r="213" s="120" customFormat="1"/>
    <row r="214" s="120" customFormat="1"/>
    <row r="215" s="120" customFormat="1"/>
    <row r="216" s="120" customFormat="1"/>
    <row r="217" s="120" customFormat="1"/>
    <row r="218" s="120" customFormat="1"/>
    <row r="219" s="120" customFormat="1"/>
    <row r="220" s="120" customFormat="1"/>
    <row r="221" s="120" customFormat="1"/>
    <row r="222" s="120" customFormat="1"/>
    <row r="223" s="120" customFormat="1"/>
    <row r="224" s="120" customFormat="1"/>
    <row r="225" s="120" customFormat="1"/>
    <row r="226" s="120" customFormat="1"/>
    <row r="227" s="120" customFormat="1"/>
    <row r="228" s="120" customFormat="1"/>
    <row r="229" s="120" customFormat="1"/>
    <row r="230" s="120" customFormat="1"/>
    <row r="231" s="120" customFormat="1"/>
    <row r="232" s="120" customFormat="1"/>
    <row r="233" s="120" customFormat="1"/>
    <row r="234" s="120" customFormat="1"/>
    <row r="235" s="120" customFormat="1"/>
    <row r="236" s="120" customFormat="1"/>
    <row r="237" s="120" customFormat="1"/>
    <row r="238" s="120" customFormat="1"/>
    <row r="239" s="120" customFormat="1"/>
    <row r="240" s="120" customFormat="1"/>
    <row r="241" s="120" customFormat="1"/>
    <row r="242" s="120" customFormat="1"/>
    <row r="243" s="120" customFormat="1"/>
    <row r="244" s="120" customFormat="1"/>
    <row r="245" s="120" customFormat="1"/>
    <row r="246" s="120" customFormat="1"/>
    <row r="247" s="120" customFormat="1"/>
    <row r="248" s="120" customFormat="1"/>
    <row r="249" s="120" customFormat="1"/>
    <row r="250" s="120" customFormat="1"/>
    <row r="251" s="120" customFormat="1"/>
    <row r="252" s="120" customFormat="1"/>
    <row r="253" s="120" customFormat="1"/>
    <row r="254" s="120" customFormat="1"/>
    <row r="255" s="120" customFormat="1"/>
    <row r="256" s="120" customFormat="1"/>
    <row r="257" s="120" customFormat="1"/>
    <row r="258" s="120" customFormat="1"/>
    <row r="259" s="120" customFormat="1"/>
    <row r="260" s="120" customFormat="1"/>
    <row r="261" s="120" customFormat="1"/>
    <row r="262" s="120" customFormat="1"/>
    <row r="263" s="120" customFormat="1"/>
    <row r="264" s="120" customFormat="1"/>
    <row r="265" s="120" customFormat="1"/>
    <row r="266" s="120" customFormat="1"/>
    <row r="267" s="120" customFormat="1"/>
    <row r="268" s="120" customFormat="1"/>
    <row r="269" s="120" customFormat="1"/>
    <row r="270" s="120" customFormat="1"/>
    <row r="271" s="120" customFormat="1"/>
    <row r="272" s="120" customFormat="1"/>
    <row r="273" s="120" customFormat="1"/>
    <row r="274" s="120" customFormat="1"/>
    <row r="275" s="120" customFormat="1"/>
    <row r="276" s="120" customFormat="1"/>
    <row r="277" s="120" customFormat="1"/>
    <row r="278" s="120" customFormat="1"/>
    <row r="279" s="120" customFormat="1"/>
    <row r="280" s="120" customFormat="1"/>
    <row r="281" s="120" customFormat="1"/>
    <row r="282" s="120" customFormat="1"/>
    <row r="283" s="120" customFormat="1"/>
    <row r="284" s="120" customFormat="1"/>
    <row r="285" s="120" customFormat="1"/>
    <row r="286" s="120" customFormat="1"/>
    <row r="287" s="120" customFormat="1"/>
    <row r="288" s="120" customFormat="1"/>
    <row r="289" s="120" customFormat="1"/>
    <row r="290" s="120" customFormat="1"/>
    <row r="291" s="120" customFormat="1"/>
    <row r="292" s="120" customFormat="1"/>
    <row r="293" s="120" customFormat="1"/>
    <row r="294" s="120" customFormat="1"/>
    <row r="295" s="120" customFormat="1"/>
    <row r="296" s="120" customFormat="1"/>
    <row r="297" s="120" customFormat="1"/>
    <row r="298" s="120" customFormat="1"/>
    <row r="299" s="120" customFormat="1"/>
    <row r="300" s="120" customFormat="1"/>
    <row r="301" s="120" customFormat="1"/>
    <row r="302" s="120" customFormat="1"/>
    <row r="303" s="120" customFormat="1"/>
    <row r="304" s="120" customFormat="1"/>
    <row r="305" s="120" customFormat="1"/>
    <row r="306" s="120" customFormat="1"/>
    <row r="307" s="120" customFormat="1"/>
    <row r="308" s="120" customFormat="1"/>
    <row r="309" s="120" customFormat="1"/>
    <row r="310" s="120" customFormat="1"/>
    <row r="311" s="120" customFormat="1"/>
    <row r="312" s="120" customFormat="1"/>
    <row r="313" s="120" customFormat="1"/>
    <row r="314" s="120" customFormat="1"/>
    <row r="315" s="120" customFormat="1"/>
    <row r="316" s="120" customFormat="1"/>
    <row r="317" s="120" customFormat="1"/>
    <row r="318" s="120" customFormat="1"/>
    <row r="319" s="120" customFormat="1"/>
    <row r="320" s="120" customFormat="1"/>
    <row r="321" s="120" customFormat="1"/>
    <row r="322" s="120" customFormat="1"/>
    <row r="323" s="120" customFormat="1"/>
    <row r="324" s="120" customFormat="1"/>
    <row r="325" s="120" customFormat="1"/>
    <row r="326" s="120" customFormat="1"/>
    <row r="327" s="120" customFormat="1"/>
    <row r="328" s="120" customFormat="1"/>
    <row r="329" s="120" customFormat="1"/>
    <row r="330" s="120" customFormat="1"/>
    <row r="331" s="120" customFormat="1"/>
    <row r="332" s="120" customFormat="1"/>
    <row r="333" s="120" customFormat="1"/>
    <row r="334" s="120" customFormat="1"/>
    <row r="335" s="120" customFormat="1"/>
    <row r="336" s="120" customFormat="1"/>
    <row r="337" s="120" customFormat="1"/>
    <row r="338" s="120" customFormat="1"/>
    <row r="339" s="120" customFormat="1"/>
    <row r="340" s="120" customFormat="1"/>
    <row r="341" s="120" customFormat="1"/>
    <row r="342" s="120" customFormat="1"/>
    <row r="343" s="120" customFormat="1"/>
    <row r="344" s="120" customFormat="1"/>
    <row r="345" s="120" customFormat="1"/>
    <row r="346" s="120" customFormat="1"/>
    <row r="347" s="120" customFormat="1"/>
    <row r="348" s="120" customFormat="1"/>
  </sheetData>
  <sheetProtection sheet="1" objects="1" scenarios="1"/>
  <mergeCells count="31">
    <mergeCell ref="B2:C5"/>
    <mergeCell ref="D2:D4"/>
    <mergeCell ref="X4:X5"/>
    <mergeCell ref="Y4:Y5"/>
    <mergeCell ref="AC4:AC5"/>
    <mergeCell ref="Z4:Z5"/>
    <mergeCell ref="AA4:AA5"/>
    <mergeCell ref="AB4:AB5"/>
    <mergeCell ref="T4:T5"/>
    <mergeCell ref="U4:U5"/>
    <mergeCell ref="E2:E4"/>
    <mergeCell ref="F2:F4"/>
    <mergeCell ref="G2:G4"/>
    <mergeCell ref="H2:H4"/>
    <mergeCell ref="I2:I4"/>
    <mergeCell ref="O4:O5"/>
    <mergeCell ref="P4:P5"/>
    <mergeCell ref="Q4:Q5"/>
    <mergeCell ref="R4:R5"/>
    <mergeCell ref="S4:S5"/>
    <mergeCell ref="J4:J5"/>
    <mergeCell ref="K4:K5"/>
    <mergeCell ref="L4:L5"/>
    <mergeCell ref="M4:M5"/>
    <mergeCell ref="N4:N5"/>
    <mergeCell ref="V4:V5"/>
    <mergeCell ref="AD2:AF2"/>
    <mergeCell ref="AD3:AD5"/>
    <mergeCell ref="AE3:AE5"/>
    <mergeCell ref="AF3:AF5"/>
    <mergeCell ref="W4:W5"/>
  </mergeCells>
  <phoneticPr fontId="27"/>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499984740745262"/>
  </sheetPr>
  <dimension ref="A1:AY135"/>
  <sheetViews>
    <sheetView showRowColHeaders="0" topLeftCell="D1" zoomScale="80" zoomScaleNormal="80" workbookViewId="0">
      <pane xSplit="9" ySplit="5" topLeftCell="M6" activePane="bottomRight" state="frozen"/>
      <selection activeCell="D1" sqref="D1"/>
      <selection pane="topRight" activeCell="M1" sqref="M1"/>
      <selection pane="bottomLeft" activeCell="D6" sqref="D6"/>
      <selection pane="bottomRight" activeCell="M6" sqref="M6"/>
    </sheetView>
  </sheetViews>
  <sheetFormatPr defaultColWidth="9" defaultRowHeight="16.5"/>
  <cols>
    <col min="1" max="1" width="1.6328125" style="155" customWidth="1"/>
    <col min="2" max="2" width="10.453125" style="155" customWidth="1"/>
    <col min="3" max="3" width="11.7265625" style="155" customWidth="1"/>
    <col min="4" max="4" width="4.6328125" style="155" customWidth="1"/>
    <col min="5" max="5" width="1.6328125" style="155" customWidth="1"/>
    <col min="6" max="6" width="9" style="155"/>
    <col min="7" max="7" width="2.6328125" style="155" customWidth="1"/>
    <col min="8" max="9" width="12.6328125" style="155" customWidth="1"/>
    <col min="10" max="10" width="1.6328125" style="155" customWidth="1"/>
    <col min="11" max="11" width="7.36328125" style="155" customWidth="1"/>
    <col min="12" max="12" width="25.453125" style="155" customWidth="1"/>
    <col min="13" max="37" width="12.6328125" style="155" customWidth="1"/>
    <col min="38" max="38" width="12.7265625" style="155" customWidth="1"/>
    <col min="39" max="45" width="13" style="155" customWidth="1"/>
    <col min="46" max="46" width="1.6328125" style="155" customWidth="1"/>
    <col min="47" max="47" width="11" style="155" bestFit="1" customWidth="1"/>
    <col min="48" max="48" width="20.453125" style="155" bestFit="1" customWidth="1"/>
    <col min="49" max="49" width="13" style="155" customWidth="1"/>
    <col min="50" max="50" width="2.6328125" style="155" customWidth="1"/>
    <col min="51" max="16384" width="9" style="155"/>
  </cols>
  <sheetData>
    <row r="1" spans="1:51" ht="37.5" customHeight="1" thickBot="1">
      <c r="A1" s="148"/>
      <c r="B1" s="149"/>
      <c r="C1" s="148"/>
      <c r="D1" s="148"/>
      <c r="E1" s="150"/>
      <c r="F1" s="150"/>
      <c r="G1" s="150"/>
      <c r="H1" s="151"/>
      <c r="I1" s="150"/>
      <c r="J1" s="152"/>
      <c r="K1" s="153"/>
      <c r="L1" s="150"/>
      <c r="M1" s="150"/>
      <c r="N1" s="150"/>
      <c r="O1" s="150"/>
      <c r="P1" s="150"/>
      <c r="Q1" s="154"/>
      <c r="R1" s="150"/>
      <c r="S1" s="150"/>
      <c r="T1" s="150"/>
      <c r="U1" s="150"/>
      <c r="V1" s="150"/>
      <c r="W1" s="150"/>
      <c r="X1" s="150"/>
      <c r="Y1" s="150"/>
      <c r="Z1" s="150"/>
      <c r="AA1" s="150"/>
      <c r="AB1" s="150"/>
      <c r="AC1" s="150"/>
      <c r="AD1" s="150"/>
      <c r="AE1" s="150"/>
      <c r="AF1" s="150"/>
      <c r="AG1" s="150"/>
      <c r="AH1" s="150"/>
      <c r="AI1" s="150"/>
      <c r="AJ1" s="154"/>
      <c r="AK1" s="154"/>
      <c r="AL1" s="150"/>
      <c r="AM1" s="150"/>
      <c r="AN1" s="150"/>
      <c r="AO1" s="150"/>
      <c r="AP1" s="150"/>
      <c r="AQ1" s="150"/>
      <c r="AR1" s="150"/>
      <c r="AS1" s="150"/>
      <c r="AT1" s="150"/>
      <c r="AU1" s="150"/>
      <c r="AV1" s="150"/>
      <c r="AW1" s="150"/>
      <c r="AX1" s="150"/>
      <c r="AY1" s="148"/>
    </row>
    <row r="2" spans="1:51" ht="17.25" customHeight="1" thickTop="1">
      <c r="A2" s="148"/>
      <c r="B2" s="154"/>
      <c r="C2" s="156"/>
      <c r="D2" s="157"/>
      <c r="E2" s="158"/>
      <c r="F2" s="159" t="s">
        <v>1</v>
      </c>
      <c r="G2" s="160"/>
      <c r="H2" s="160"/>
      <c r="I2" s="160"/>
      <c r="J2" s="161"/>
      <c r="K2" s="147"/>
      <c r="L2" s="160"/>
      <c r="M2" s="160"/>
      <c r="N2" s="160"/>
      <c r="O2" s="162"/>
      <c r="P2" s="160"/>
      <c r="Q2" s="160"/>
      <c r="R2" s="160"/>
      <c r="S2" s="160"/>
      <c r="T2" s="160"/>
      <c r="U2" s="160"/>
      <c r="V2" s="160"/>
      <c r="W2" s="160"/>
      <c r="X2" s="160"/>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3"/>
      <c r="AY2" s="164"/>
    </row>
    <row r="3" spans="1:51" ht="17.25" customHeight="1">
      <c r="A3" s="157"/>
      <c r="D3" s="165"/>
      <c r="E3" s="166"/>
      <c r="F3" s="712" t="s">
        <v>2</v>
      </c>
      <c r="G3" s="167"/>
      <c r="H3" s="168">
        <v>2020</v>
      </c>
      <c r="I3" s="168">
        <v>2020</v>
      </c>
      <c r="J3" s="167"/>
      <c r="K3" s="705" t="s">
        <v>204</v>
      </c>
      <c r="L3" s="705"/>
      <c r="M3" s="169">
        <f>$F$6</f>
        <v>2025</v>
      </c>
      <c r="N3" s="170">
        <f>$F$6</f>
        <v>2025</v>
      </c>
      <c r="O3" s="171" t="s">
        <v>374</v>
      </c>
      <c r="P3" s="172"/>
      <c r="Q3" s="173" t="s">
        <v>375</v>
      </c>
      <c r="R3" s="174"/>
      <c r="S3" s="174"/>
      <c r="T3" s="174"/>
      <c r="U3" s="174"/>
      <c r="V3" s="174"/>
      <c r="W3" s="174"/>
      <c r="X3" s="174"/>
      <c r="Y3" s="174"/>
      <c r="Z3" s="174"/>
      <c r="AA3" s="174"/>
      <c r="AB3" s="174"/>
      <c r="AC3" s="174"/>
      <c r="AD3" s="174"/>
      <c r="AE3" s="174"/>
      <c r="AF3" s="174"/>
      <c r="AG3" s="174"/>
      <c r="AH3" s="174"/>
      <c r="AI3" s="174"/>
      <c r="AJ3" s="175"/>
      <c r="AK3" s="175" t="s">
        <v>232</v>
      </c>
      <c r="AL3" s="176" t="s">
        <v>233</v>
      </c>
      <c r="AM3" s="177" t="s">
        <v>234</v>
      </c>
      <c r="AN3" s="178"/>
      <c r="AO3" s="178"/>
      <c r="AP3" s="178"/>
      <c r="AQ3" s="178"/>
      <c r="AR3" s="178"/>
      <c r="AS3" s="179"/>
      <c r="AT3" s="167"/>
      <c r="AU3" s="177" t="s">
        <v>235</v>
      </c>
      <c r="AV3" s="178"/>
      <c r="AW3" s="179"/>
      <c r="AX3" s="180"/>
      <c r="AY3" s="164"/>
    </row>
    <row r="4" spans="1:51" ht="48.75" customHeight="1">
      <c r="A4" s="157"/>
      <c r="D4" s="165"/>
      <c r="E4" s="166"/>
      <c r="F4" s="713"/>
      <c r="G4" s="167"/>
      <c r="H4" s="181" t="s">
        <v>371</v>
      </c>
      <c r="I4" s="181" t="s">
        <v>371</v>
      </c>
      <c r="J4" s="167"/>
      <c r="K4" s="706"/>
      <c r="L4" s="706"/>
      <c r="M4" s="182" t="s">
        <v>376</v>
      </c>
      <c r="N4" s="181" t="s">
        <v>376</v>
      </c>
      <c r="O4" s="183" t="s">
        <v>377</v>
      </c>
      <c r="P4" s="184" t="s">
        <v>378</v>
      </c>
      <c r="Q4" s="185" t="s">
        <v>236</v>
      </c>
      <c r="R4" s="186" t="s">
        <v>9</v>
      </c>
      <c r="S4" s="186" t="s">
        <v>10</v>
      </c>
      <c r="T4" s="186" t="s">
        <v>11</v>
      </c>
      <c r="U4" s="187" t="s">
        <v>12</v>
      </c>
      <c r="V4" s="185" t="s">
        <v>13</v>
      </c>
      <c r="W4" s="187" t="s">
        <v>14</v>
      </c>
      <c r="X4" s="186" t="s">
        <v>15</v>
      </c>
      <c r="Y4" s="186" t="s">
        <v>16</v>
      </c>
      <c r="Z4" s="186" t="s">
        <v>17</v>
      </c>
      <c r="AA4" s="186" t="s">
        <v>18</v>
      </c>
      <c r="AB4" s="186" t="s">
        <v>237</v>
      </c>
      <c r="AC4" s="186" t="s">
        <v>238</v>
      </c>
      <c r="AD4" s="186" t="s">
        <v>239</v>
      </c>
      <c r="AE4" s="186" t="s">
        <v>240</v>
      </c>
      <c r="AF4" s="186" t="s">
        <v>241</v>
      </c>
      <c r="AG4" s="185" t="s">
        <v>242</v>
      </c>
      <c r="AH4" s="186" t="s">
        <v>243</v>
      </c>
      <c r="AI4" s="186" t="s">
        <v>244</v>
      </c>
      <c r="AJ4" s="186" t="s">
        <v>245</v>
      </c>
      <c r="AK4" s="703" t="s">
        <v>246</v>
      </c>
      <c r="AL4" s="188" t="s">
        <v>276</v>
      </c>
      <c r="AM4" s="715" t="s">
        <v>19</v>
      </c>
      <c r="AN4" s="715"/>
      <c r="AO4" s="715" t="s">
        <v>20</v>
      </c>
      <c r="AP4" s="715"/>
      <c r="AQ4" s="176" t="s">
        <v>21</v>
      </c>
      <c r="AR4" s="176" t="s">
        <v>22</v>
      </c>
      <c r="AS4" s="189" t="s">
        <v>20</v>
      </c>
      <c r="AT4" s="167"/>
      <c r="AU4" s="701" t="s">
        <v>247</v>
      </c>
      <c r="AV4" s="701" t="s">
        <v>248</v>
      </c>
      <c r="AW4" s="701" t="s">
        <v>249</v>
      </c>
      <c r="AX4" s="180"/>
      <c r="AY4" s="164"/>
    </row>
    <row r="5" spans="1:51" ht="16.5" customHeight="1">
      <c r="A5" s="157"/>
      <c r="B5" s="190" t="s">
        <v>0</v>
      </c>
      <c r="C5" s="191" t="s">
        <v>0</v>
      </c>
      <c r="D5" s="165"/>
      <c r="E5" s="166"/>
      <c r="F5" s="714"/>
      <c r="G5" s="167"/>
      <c r="H5" s="192" t="s">
        <v>372</v>
      </c>
      <c r="I5" s="192" t="s">
        <v>373</v>
      </c>
      <c r="J5" s="167"/>
      <c r="K5" s="706"/>
      <c r="L5" s="706"/>
      <c r="M5" s="193" t="s">
        <v>379</v>
      </c>
      <c r="N5" s="193" t="s">
        <v>380</v>
      </c>
      <c r="O5" s="194">
        <v>17</v>
      </c>
      <c r="P5" s="195">
        <v>6</v>
      </c>
      <c r="Q5" s="196">
        <v>1</v>
      </c>
      <c r="R5" s="196">
        <v>2</v>
      </c>
      <c r="S5" s="196">
        <v>3</v>
      </c>
      <c r="T5" s="196">
        <v>4</v>
      </c>
      <c r="U5" s="196">
        <v>5</v>
      </c>
      <c r="V5" s="196">
        <v>6</v>
      </c>
      <c r="W5" s="196">
        <v>7</v>
      </c>
      <c r="X5" s="196">
        <v>8</v>
      </c>
      <c r="Y5" s="196">
        <v>9</v>
      </c>
      <c r="Z5" s="196">
        <v>10</v>
      </c>
      <c r="AA5" s="196">
        <v>11</v>
      </c>
      <c r="AB5" s="196">
        <v>12</v>
      </c>
      <c r="AC5" s="196">
        <v>13</v>
      </c>
      <c r="AD5" s="196">
        <v>14</v>
      </c>
      <c r="AE5" s="196">
        <v>15</v>
      </c>
      <c r="AF5" s="196">
        <v>16</v>
      </c>
      <c r="AG5" s="196">
        <v>17</v>
      </c>
      <c r="AH5" s="196">
        <v>18</v>
      </c>
      <c r="AI5" s="196">
        <v>19</v>
      </c>
      <c r="AJ5" s="196">
        <v>20</v>
      </c>
      <c r="AK5" s="704"/>
      <c r="AL5" s="197" t="s">
        <v>381</v>
      </c>
      <c r="AM5" s="198" t="s">
        <v>250</v>
      </c>
      <c r="AN5" s="198" t="s">
        <v>251</v>
      </c>
      <c r="AO5" s="198" t="s">
        <v>250</v>
      </c>
      <c r="AP5" s="198" t="s">
        <v>251</v>
      </c>
      <c r="AQ5" s="198" t="s">
        <v>199</v>
      </c>
      <c r="AR5" s="198" t="s">
        <v>200</v>
      </c>
      <c r="AS5" s="176" t="s">
        <v>201</v>
      </c>
      <c r="AT5" s="167"/>
      <c r="AU5" s="702"/>
      <c r="AV5" s="702"/>
      <c r="AW5" s="702"/>
      <c r="AX5" s="180"/>
      <c r="AY5" s="164"/>
    </row>
    <row r="6" spans="1:51">
      <c r="A6" s="157"/>
      <c r="B6" s="199" t="s">
        <v>3</v>
      </c>
      <c r="C6" s="200">
        <v>100000000</v>
      </c>
      <c r="D6" s="165"/>
      <c r="E6" s="166"/>
      <c r="F6" s="201">
        <v>2025</v>
      </c>
      <c r="G6" s="167"/>
      <c r="H6" s="202">
        <v>0.9410230177254062</v>
      </c>
      <c r="I6" s="202">
        <v>0.78403790917303728</v>
      </c>
      <c r="J6" s="167"/>
      <c r="K6" s="203">
        <v>1</v>
      </c>
      <c r="L6" s="204" t="s">
        <v>383</v>
      </c>
      <c r="M6" s="205">
        <v>1.0104808178894849</v>
      </c>
      <c r="N6" s="206">
        <v>0.57287639826438208</v>
      </c>
      <c r="O6" s="207">
        <v>1.1734232900307443E-3</v>
      </c>
      <c r="P6" s="207">
        <v>9.2282765346270634E-4</v>
      </c>
      <c r="Q6" s="207">
        <v>0.15192095416233165</v>
      </c>
      <c r="R6" s="207">
        <v>0</v>
      </c>
      <c r="S6" s="207">
        <v>0</v>
      </c>
      <c r="T6" s="207">
        <v>0</v>
      </c>
      <c r="U6" s="207">
        <v>0</v>
      </c>
      <c r="V6" s="207">
        <v>0</v>
      </c>
      <c r="W6" s="207">
        <v>0</v>
      </c>
      <c r="X6" s="207">
        <v>0</v>
      </c>
      <c r="Y6" s="207">
        <v>0</v>
      </c>
      <c r="Z6" s="207">
        <v>0</v>
      </c>
      <c r="AA6" s="207">
        <v>0</v>
      </c>
      <c r="AB6" s="207">
        <v>0</v>
      </c>
      <c r="AC6" s="207">
        <v>0</v>
      </c>
      <c r="AD6" s="207">
        <v>0</v>
      </c>
      <c r="AE6" s="207">
        <v>0</v>
      </c>
      <c r="AF6" s="207">
        <v>9.923165941561618E-3</v>
      </c>
      <c r="AG6" s="207">
        <v>0</v>
      </c>
      <c r="AH6" s="207">
        <v>0</v>
      </c>
      <c r="AI6" s="207">
        <v>0</v>
      </c>
      <c r="AJ6" s="207">
        <v>0</v>
      </c>
      <c r="AK6" s="208">
        <v>1.064314676769395</v>
      </c>
      <c r="AL6" s="209">
        <v>133040.14530148212</v>
      </c>
      <c r="AM6" s="210">
        <v>3923.7508191349934</v>
      </c>
      <c r="AN6" s="210">
        <v>765.22749188231819</v>
      </c>
      <c r="AO6" s="211">
        <v>6.468600440699232E-2</v>
      </c>
      <c r="AP6" s="211">
        <v>0.40383080534709559</v>
      </c>
      <c r="AQ6" s="212">
        <v>-1.0737448035094802E-4</v>
      </c>
      <c r="AR6" s="212">
        <v>0.48599670963821884</v>
      </c>
      <c r="AS6" s="167"/>
      <c r="AT6" s="167"/>
      <c r="AU6" s="710" t="s">
        <v>46</v>
      </c>
      <c r="AV6" s="213" t="s">
        <v>46</v>
      </c>
      <c r="AW6" s="214">
        <v>800</v>
      </c>
      <c r="AX6" s="180"/>
      <c r="AY6" s="164"/>
    </row>
    <row r="7" spans="1:51">
      <c r="A7" s="157"/>
      <c r="B7" s="215" t="s">
        <v>4</v>
      </c>
      <c r="C7" s="216">
        <v>1000000</v>
      </c>
      <c r="D7" s="165"/>
      <c r="E7" s="166"/>
      <c r="F7" s="167"/>
      <c r="G7" s="167"/>
      <c r="H7" s="167"/>
      <c r="I7" s="167"/>
      <c r="J7" s="167"/>
      <c r="K7" s="203">
        <v>2</v>
      </c>
      <c r="L7" s="217" t="s">
        <v>459</v>
      </c>
      <c r="M7" s="218">
        <v>1.3446136564913536</v>
      </c>
      <c r="N7" s="218">
        <v>0.51422089108725977</v>
      </c>
      <c r="O7" s="207">
        <v>1.1351971747905833E-2</v>
      </c>
      <c r="P7" s="207">
        <v>8.0698702368715424E-4</v>
      </c>
      <c r="Q7" s="207">
        <v>0</v>
      </c>
      <c r="R7" s="207">
        <v>0</v>
      </c>
      <c r="S7" s="207">
        <v>0</v>
      </c>
      <c r="T7" s="207">
        <v>0</v>
      </c>
      <c r="U7" s="207">
        <v>0</v>
      </c>
      <c r="V7" s="207">
        <v>0</v>
      </c>
      <c r="W7" s="207">
        <v>0</v>
      </c>
      <c r="X7" s="207">
        <v>0</v>
      </c>
      <c r="Y7" s="207">
        <v>0</v>
      </c>
      <c r="Z7" s="207">
        <v>0</v>
      </c>
      <c r="AA7" s="207">
        <v>0</v>
      </c>
      <c r="AB7" s="207">
        <v>0</v>
      </c>
      <c r="AC7" s="207">
        <v>0</v>
      </c>
      <c r="AD7" s="207">
        <v>0</v>
      </c>
      <c r="AE7" s="207">
        <v>0</v>
      </c>
      <c r="AF7" s="207">
        <v>0</v>
      </c>
      <c r="AG7" s="207">
        <v>0</v>
      </c>
      <c r="AH7" s="207">
        <v>0</v>
      </c>
      <c r="AI7" s="207">
        <v>0</v>
      </c>
      <c r="AJ7" s="207">
        <v>0</v>
      </c>
      <c r="AK7" s="207">
        <v>1.4186692330905288</v>
      </c>
      <c r="AL7" s="210">
        <v>220204.46654018291</v>
      </c>
      <c r="AM7" s="210">
        <v>2119.4574396026192</v>
      </c>
      <c r="AN7" s="210">
        <v>631.91466244725734</v>
      </c>
      <c r="AO7" s="211">
        <v>8.6787825432773164E-2</v>
      </c>
      <c r="AP7" s="211">
        <v>0.50793257581815099</v>
      </c>
      <c r="AQ7" s="212">
        <v>-2.8311437953450712E-4</v>
      </c>
      <c r="AR7" s="212">
        <v>0.68683670339566372</v>
      </c>
      <c r="AS7" s="167"/>
      <c r="AT7" s="167"/>
      <c r="AU7" s="710"/>
      <c r="AV7" s="213" t="s">
        <v>44</v>
      </c>
      <c r="AW7" s="214">
        <v>1100</v>
      </c>
      <c r="AX7" s="180"/>
      <c r="AY7" s="164"/>
    </row>
    <row r="8" spans="1:51">
      <c r="A8" s="157"/>
      <c r="B8" s="215" t="s">
        <v>5</v>
      </c>
      <c r="C8" s="216">
        <v>10000</v>
      </c>
      <c r="D8" s="165"/>
      <c r="E8" s="166"/>
      <c r="F8" s="167"/>
      <c r="G8" s="167"/>
      <c r="H8" s="167"/>
      <c r="I8" s="167"/>
      <c r="J8" s="167"/>
      <c r="K8" s="203">
        <v>3</v>
      </c>
      <c r="L8" s="217" t="s">
        <v>252</v>
      </c>
      <c r="M8" s="218">
        <v>1.0806750710483002</v>
      </c>
      <c r="N8" s="218">
        <v>0.6865309814792423</v>
      </c>
      <c r="O8" s="207">
        <v>0.18979006881397903</v>
      </c>
      <c r="P8" s="207">
        <v>0.28233775676592748</v>
      </c>
      <c r="Q8" s="207">
        <v>0.66012539872208653</v>
      </c>
      <c r="R8" s="207">
        <v>0.84996646488173488</v>
      </c>
      <c r="S8" s="207">
        <v>0.55147366260468245</v>
      </c>
      <c r="T8" s="207">
        <v>0.68087465620413989</v>
      </c>
      <c r="U8" s="207">
        <v>0.22053248988151417</v>
      </c>
      <c r="V8" s="207">
        <v>0.56572685413522061</v>
      </c>
      <c r="W8" s="207">
        <v>0.20573158349058443</v>
      </c>
      <c r="X8" s="207">
        <v>0.16228763765880466</v>
      </c>
      <c r="Y8" s="207">
        <v>0.37832211189526083</v>
      </c>
      <c r="Z8" s="207">
        <v>0.24715855949151017</v>
      </c>
      <c r="AA8" s="207">
        <v>0.73913356766989846</v>
      </c>
      <c r="AB8" s="207">
        <v>0.34096133013678093</v>
      </c>
      <c r="AC8" s="207">
        <v>0.65284286386013046</v>
      </c>
      <c r="AD8" s="207">
        <v>0.77221511455708514</v>
      </c>
      <c r="AE8" s="207">
        <v>0.76509885180350123</v>
      </c>
      <c r="AF8" s="207">
        <v>0.68893887774801077</v>
      </c>
      <c r="AG8" s="207">
        <v>0</v>
      </c>
      <c r="AH8" s="207">
        <v>0</v>
      </c>
      <c r="AI8" s="207">
        <v>0</v>
      </c>
      <c r="AJ8" s="207">
        <v>0.83990497466343683</v>
      </c>
      <c r="AK8" s="207">
        <v>1.401360028444955</v>
      </c>
      <c r="AL8" s="210">
        <v>268707.16601176793</v>
      </c>
      <c r="AM8" s="210">
        <v>11447.072519083969</v>
      </c>
      <c r="AN8" s="210">
        <v>3063.6878969167051</v>
      </c>
      <c r="AO8" s="211">
        <v>6.8789594478518581E-2</v>
      </c>
      <c r="AP8" s="211">
        <v>0.53245187328410704</v>
      </c>
      <c r="AQ8" s="212">
        <v>-5.5307289323166341E-5</v>
      </c>
      <c r="AR8" s="212">
        <v>0.70189614619476226</v>
      </c>
      <c r="AS8" s="167"/>
      <c r="AT8" s="167"/>
      <c r="AU8" s="710"/>
      <c r="AV8" s="213" t="s">
        <v>45</v>
      </c>
      <c r="AW8" s="214">
        <v>2100</v>
      </c>
      <c r="AX8" s="180"/>
      <c r="AY8" s="164"/>
    </row>
    <row r="9" spans="1:51">
      <c r="A9" s="157"/>
      <c r="B9" s="219" t="s">
        <v>6</v>
      </c>
      <c r="C9" s="220">
        <v>1000</v>
      </c>
      <c r="D9" s="165"/>
      <c r="E9" s="166"/>
      <c r="F9" s="167"/>
      <c r="G9" s="167"/>
      <c r="H9" s="167"/>
      <c r="I9" s="167"/>
      <c r="J9" s="167"/>
      <c r="K9" s="203">
        <v>4</v>
      </c>
      <c r="L9" s="217" t="s">
        <v>253</v>
      </c>
      <c r="M9" s="218">
        <v>1.0837344351628673</v>
      </c>
      <c r="N9" s="218">
        <v>0.4886875998372846</v>
      </c>
      <c r="O9" s="207">
        <v>2.3721215837001864E-4</v>
      </c>
      <c r="P9" s="207">
        <v>9.5017744808485846E-4</v>
      </c>
      <c r="Q9" s="207">
        <v>0</v>
      </c>
      <c r="R9" s="207">
        <v>0</v>
      </c>
      <c r="S9" s="207">
        <v>0</v>
      </c>
      <c r="T9" s="207">
        <v>0</v>
      </c>
      <c r="U9" s="207">
        <v>0.68652269858924619</v>
      </c>
      <c r="V9" s="207">
        <v>0</v>
      </c>
      <c r="W9" s="207">
        <v>0</v>
      </c>
      <c r="X9" s="207">
        <v>0</v>
      </c>
      <c r="Y9" s="207">
        <v>0.52517753833286096</v>
      </c>
      <c r="Z9" s="207">
        <v>0.24713373252246321</v>
      </c>
      <c r="AA9" s="207">
        <v>0</v>
      </c>
      <c r="AB9" s="207">
        <v>0</v>
      </c>
      <c r="AC9" s="207">
        <v>0</v>
      </c>
      <c r="AD9" s="207">
        <v>0</v>
      </c>
      <c r="AE9" s="207">
        <v>0</v>
      </c>
      <c r="AF9" s="207">
        <v>0</v>
      </c>
      <c r="AG9" s="207">
        <v>0</v>
      </c>
      <c r="AH9" s="207">
        <v>0</v>
      </c>
      <c r="AI9" s="207">
        <v>0</v>
      </c>
      <c r="AJ9" s="207">
        <v>0</v>
      </c>
      <c r="AK9" s="207">
        <v>1.8773157476128155</v>
      </c>
      <c r="AL9" s="210">
        <v>199090.68198152061</v>
      </c>
      <c r="AM9" s="210">
        <v>2119.4574396026192</v>
      </c>
      <c r="AN9" s="210">
        <v>631.91466244725734</v>
      </c>
      <c r="AO9" s="211">
        <v>8.6787825432773164E-2</v>
      </c>
      <c r="AP9" s="211">
        <v>0.50793257581815099</v>
      </c>
      <c r="AQ9" s="212">
        <v>-2.8311437953450712E-4</v>
      </c>
      <c r="AR9" s="212">
        <v>0.68683670339566372</v>
      </c>
      <c r="AS9" s="167"/>
      <c r="AT9" s="167"/>
      <c r="AU9" s="710" t="s">
        <v>254</v>
      </c>
      <c r="AV9" s="710"/>
      <c r="AW9" s="221">
        <v>8000</v>
      </c>
      <c r="AX9" s="180"/>
      <c r="AY9" s="164"/>
    </row>
    <row r="10" spans="1:51">
      <c r="A10" s="157"/>
      <c r="B10" s="222"/>
      <c r="C10" s="223"/>
      <c r="D10" s="165"/>
      <c r="E10" s="166"/>
      <c r="F10" s="167"/>
      <c r="G10" s="167"/>
      <c r="H10" s="167"/>
      <c r="I10" s="167"/>
      <c r="J10" s="167"/>
      <c r="K10" s="203">
        <v>5</v>
      </c>
      <c r="L10" s="217" t="s">
        <v>255</v>
      </c>
      <c r="M10" s="218">
        <v>1.0270278426848884</v>
      </c>
      <c r="N10" s="218">
        <v>0.6131451157031268</v>
      </c>
      <c r="O10" s="207">
        <v>3.5339913721706435E-3</v>
      </c>
      <c r="P10" s="207">
        <v>2.0406077273035267E-3</v>
      </c>
      <c r="Q10" s="207">
        <v>0</v>
      </c>
      <c r="R10" s="207">
        <v>0</v>
      </c>
      <c r="S10" s="207">
        <v>0</v>
      </c>
      <c r="T10" s="207">
        <v>0</v>
      </c>
      <c r="U10" s="207">
        <v>0</v>
      </c>
      <c r="V10" s="207">
        <v>0</v>
      </c>
      <c r="W10" s="207">
        <v>0</v>
      </c>
      <c r="X10" s="207">
        <v>0</v>
      </c>
      <c r="Y10" s="207">
        <v>0</v>
      </c>
      <c r="Z10" s="207">
        <v>0</v>
      </c>
      <c r="AA10" s="207">
        <v>0</v>
      </c>
      <c r="AB10" s="207">
        <v>0</v>
      </c>
      <c r="AC10" s="207">
        <v>0</v>
      </c>
      <c r="AD10" s="207">
        <v>0</v>
      </c>
      <c r="AE10" s="207">
        <v>0</v>
      </c>
      <c r="AF10" s="207">
        <v>0</v>
      </c>
      <c r="AG10" s="207">
        <v>0</v>
      </c>
      <c r="AH10" s="207">
        <v>0</v>
      </c>
      <c r="AI10" s="207">
        <v>0</v>
      </c>
      <c r="AJ10" s="207">
        <v>0</v>
      </c>
      <c r="AK10" s="207">
        <v>11.405474784728348</v>
      </c>
      <c r="AL10" s="210">
        <v>351727.03945002338</v>
      </c>
      <c r="AM10" s="210">
        <v>11972.753153153153</v>
      </c>
      <c r="AN10" s="210">
        <v>953.67740619902122</v>
      </c>
      <c r="AO10" s="211">
        <v>2.6152574459104693E-2</v>
      </c>
      <c r="AP10" s="211">
        <v>0.48819864036226218</v>
      </c>
      <c r="AQ10" s="212">
        <v>-4.1931471977663389E-5</v>
      </c>
      <c r="AR10" s="212">
        <v>0.52818773779602712</v>
      </c>
      <c r="AS10" s="167"/>
      <c r="AT10" s="167"/>
      <c r="AU10" s="710" t="s">
        <v>256</v>
      </c>
      <c r="AV10" s="710"/>
      <c r="AW10" s="214">
        <v>82800</v>
      </c>
      <c r="AX10" s="180"/>
      <c r="AY10" s="164"/>
    </row>
    <row r="11" spans="1:51">
      <c r="A11" s="148"/>
      <c r="B11" s="201" t="str">
        <f>報告書!K3</f>
        <v>千円</v>
      </c>
      <c r="C11" s="224">
        <f>VLOOKUP(B11,B6:C9,2,0)</f>
        <v>1000</v>
      </c>
      <c r="D11" s="157"/>
      <c r="E11" s="166"/>
      <c r="F11" s="167"/>
      <c r="G11" s="167"/>
      <c r="H11" s="167"/>
      <c r="I11" s="167"/>
      <c r="J11" s="167"/>
      <c r="K11" s="203">
        <v>6</v>
      </c>
      <c r="L11" s="217" t="s">
        <v>257</v>
      </c>
      <c r="M11" s="218">
        <v>1.0828948084534689</v>
      </c>
      <c r="N11" s="218">
        <v>0.2687228735838107</v>
      </c>
      <c r="O11" s="207">
        <v>4.8557490679607823E-2</v>
      </c>
      <c r="P11" s="207">
        <v>5.0357451171157606E-2</v>
      </c>
      <c r="Q11" s="207">
        <v>0.17501624718383052</v>
      </c>
      <c r="R11" s="207">
        <v>9.3969005043528356E-2</v>
      </c>
      <c r="S11" s="207">
        <v>6.8205548355545306E-2</v>
      </c>
      <c r="T11" s="207">
        <v>0.11808359331814644</v>
      </c>
      <c r="U11" s="207">
        <v>1.4482718784922822E-2</v>
      </c>
      <c r="V11" s="207">
        <v>9.2456986656560727E-2</v>
      </c>
      <c r="W11" s="207">
        <v>3.861288301219714E-2</v>
      </c>
      <c r="X11" s="207">
        <v>4.501290033452373E-2</v>
      </c>
      <c r="Y11" s="207">
        <v>3.8761134350970824E-2</v>
      </c>
      <c r="Z11" s="207">
        <v>5.602317931428729E-2</v>
      </c>
      <c r="AA11" s="207">
        <v>7.2062890241826744E-2</v>
      </c>
      <c r="AB11" s="207">
        <v>6.6172050774919153E-2</v>
      </c>
      <c r="AC11" s="207">
        <v>0.19852766633261917</v>
      </c>
      <c r="AD11" s="207">
        <v>0.16601025367707328</v>
      </c>
      <c r="AE11" s="207">
        <v>0.13237267571095265</v>
      </c>
      <c r="AF11" s="207">
        <v>0.1168123955599118</v>
      </c>
      <c r="AG11" s="207">
        <v>0</v>
      </c>
      <c r="AH11" s="207">
        <v>0</v>
      </c>
      <c r="AI11" s="207">
        <v>0</v>
      </c>
      <c r="AJ11" s="207">
        <v>0.13298978965592317</v>
      </c>
      <c r="AK11" s="207">
        <v>0.78933606991264937</v>
      </c>
      <c r="AL11" s="210">
        <v>195799.34590830686</v>
      </c>
      <c r="AM11" s="225"/>
      <c r="AN11" s="225"/>
      <c r="AO11" s="226"/>
      <c r="AP11" s="226"/>
      <c r="AQ11" s="227"/>
      <c r="AR11" s="227"/>
      <c r="AS11" s="228">
        <v>0.42978339421874573</v>
      </c>
      <c r="AT11" s="167"/>
      <c r="AU11" s="710" t="s">
        <v>47</v>
      </c>
      <c r="AV11" s="213" t="s">
        <v>258</v>
      </c>
      <c r="AW11" s="214">
        <v>22900</v>
      </c>
      <c r="AX11" s="180"/>
      <c r="AY11" s="164"/>
    </row>
    <row r="12" spans="1:51">
      <c r="A12" s="157"/>
      <c r="D12" s="165"/>
      <c r="E12" s="166"/>
      <c r="F12" s="167"/>
      <c r="G12" s="167"/>
      <c r="H12" s="167"/>
      <c r="I12" s="167"/>
      <c r="J12" s="167"/>
      <c r="K12" s="203">
        <v>7</v>
      </c>
      <c r="L12" s="217" t="s">
        <v>259</v>
      </c>
      <c r="M12" s="218">
        <v>1.0150936591101991</v>
      </c>
      <c r="N12" s="218">
        <v>0.37754065943426057</v>
      </c>
      <c r="O12" s="207">
        <v>9.2399926695139155E-3</v>
      </c>
      <c r="P12" s="207">
        <v>1.0178609421562962E-2</v>
      </c>
      <c r="Q12" s="207">
        <v>0</v>
      </c>
      <c r="R12" s="207">
        <v>0</v>
      </c>
      <c r="S12" s="207">
        <v>0</v>
      </c>
      <c r="T12" s="207">
        <v>0</v>
      </c>
      <c r="U12" s="207">
        <v>0</v>
      </c>
      <c r="V12" s="207">
        <v>0</v>
      </c>
      <c r="W12" s="207">
        <v>0</v>
      </c>
      <c r="X12" s="207">
        <v>0</v>
      </c>
      <c r="Y12" s="207">
        <v>0</v>
      </c>
      <c r="Z12" s="207">
        <v>0</v>
      </c>
      <c r="AA12" s="207">
        <v>0</v>
      </c>
      <c r="AB12" s="207">
        <v>0</v>
      </c>
      <c r="AC12" s="207">
        <v>0</v>
      </c>
      <c r="AD12" s="207">
        <v>0</v>
      </c>
      <c r="AE12" s="207">
        <v>0</v>
      </c>
      <c r="AF12" s="207">
        <v>0</v>
      </c>
      <c r="AG12" s="207">
        <v>0</v>
      </c>
      <c r="AH12" s="207">
        <v>0</v>
      </c>
      <c r="AI12" s="207">
        <v>0</v>
      </c>
      <c r="AJ12" s="207">
        <v>0</v>
      </c>
      <c r="AK12" s="207">
        <v>4.4371907135261397</v>
      </c>
      <c r="AL12" s="210">
        <v>418159.53820774093</v>
      </c>
      <c r="AM12" s="225"/>
      <c r="AN12" s="225"/>
      <c r="AO12" s="226"/>
      <c r="AP12" s="226"/>
      <c r="AQ12" s="227"/>
      <c r="AR12" s="227"/>
      <c r="AS12" s="211">
        <v>0.92079000573342584</v>
      </c>
      <c r="AT12" s="167"/>
      <c r="AU12" s="710"/>
      <c r="AV12" s="213" t="s">
        <v>260</v>
      </c>
      <c r="AW12" s="214">
        <v>27300</v>
      </c>
      <c r="AX12" s="180"/>
      <c r="AY12" s="164"/>
    </row>
    <row r="13" spans="1:51">
      <c r="A13" s="148"/>
      <c r="B13" s="229"/>
      <c r="C13" s="229"/>
      <c r="D13" s="157"/>
      <c r="E13" s="166"/>
      <c r="F13" s="167"/>
      <c r="G13" s="167"/>
      <c r="H13" s="167"/>
      <c r="I13" s="167"/>
      <c r="J13" s="167"/>
      <c r="K13" s="203">
        <v>8</v>
      </c>
      <c r="L13" s="217" t="s">
        <v>261</v>
      </c>
      <c r="M13" s="218">
        <v>1.0262288884863693</v>
      </c>
      <c r="N13" s="218">
        <v>0.32849268565977024</v>
      </c>
      <c r="O13" s="207">
        <v>3.4877503926778199E-3</v>
      </c>
      <c r="P13" s="207">
        <v>7.5451828197442847E-3</v>
      </c>
      <c r="Q13" s="207">
        <v>0</v>
      </c>
      <c r="R13" s="207">
        <v>0</v>
      </c>
      <c r="S13" s="207">
        <v>0</v>
      </c>
      <c r="T13" s="207">
        <v>0</v>
      </c>
      <c r="U13" s="207">
        <v>0</v>
      </c>
      <c r="V13" s="207">
        <v>0</v>
      </c>
      <c r="W13" s="207">
        <v>0</v>
      </c>
      <c r="X13" s="207">
        <v>0.70463875868883907</v>
      </c>
      <c r="Y13" s="207">
        <v>0</v>
      </c>
      <c r="Z13" s="207">
        <v>0</v>
      </c>
      <c r="AA13" s="207">
        <v>0</v>
      </c>
      <c r="AB13" s="207">
        <v>0</v>
      </c>
      <c r="AC13" s="207">
        <v>0</v>
      </c>
      <c r="AD13" s="207">
        <v>0</v>
      </c>
      <c r="AE13" s="207">
        <v>0</v>
      </c>
      <c r="AF13" s="207">
        <v>0</v>
      </c>
      <c r="AG13" s="207">
        <v>0</v>
      </c>
      <c r="AH13" s="207">
        <v>0</v>
      </c>
      <c r="AI13" s="207">
        <v>0</v>
      </c>
      <c r="AJ13" s="207">
        <v>0</v>
      </c>
      <c r="AK13" s="207">
        <v>0.12817693729186092</v>
      </c>
      <c r="AL13" s="210">
        <v>334075.84459138755</v>
      </c>
      <c r="AM13" s="225"/>
      <c r="AN13" s="225"/>
      <c r="AO13" s="226"/>
      <c r="AP13" s="226"/>
      <c r="AQ13" s="227"/>
      <c r="AR13" s="227"/>
      <c r="AS13" s="230">
        <v>1.5645695896785921</v>
      </c>
      <c r="AT13" s="167"/>
      <c r="AU13" s="710"/>
      <c r="AV13" s="213" t="s">
        <v>262</v>
      </c>
      <c r="AW13" s="214">
        <v>42500</v>
      </c>
      <c r="AX13" s="180"/>
      <c r="AY13" s="164"/>
    </row>
    <row r="14" spans="1:51" ht="17" thickBot="1">
      <c r="A14" s="148"/>
      <c r="B14" s="148"/>
      <c r="C14" s="150"/>
      <c r="D14" s="157"/>
      <c r="E14" s="166"/>
      <c r="F14" s="167"/>
      <c r="G14" s="167"/>
      <c r="H14" s="167"/>
      <c r="I14" s="167"/>
      <c r="J14" s="167"/>
      <c r="K14" s="203">
        <v>9</v>
      </c>
      <c r="L14" s="217" t="s">
        <v>263</v>
      </c>
      <c r="M14" s="218">
        <v>1.0087963128229642</v>
      </c>
      <c r="N14" s="218">
        <v>0.28291539992508602</v>
      </c>
      <c r="O14" s="207">
        <v>3.3092438082952216E-2</v>
      </c>
      <c r="P14" s="207">
        <v>2.2857809883014522E-2</v>
      </c>
      <c r="Q14" s="207">
        <v>5.757984582549636E-3</v>
      </c>
      <c r="R14" s="207">
        <v>1.0610547409677248E-2</v>
      </c>
      <c r="S14" s="207">
        <v>6.3114327676255374E-3</v>
      </c>
      <c r="T14" s="207">
        <v>1.3197968476372047E-2</v>
      </c>
      <c r="U14" s="207">
        <v>2.7561937506572509E-3</v>
      </c>
      <c r="V14" s="207">
        <v>9.6889359912662228E-3</v>
      </c>
      <c r="W14" s="207">
        <v>3.6494897537282618E-3</v>
      </c>
      <c r="X14" s="207">
        <v>6.9091798943655535E-3</v>
      </c>
      <c r="Y14" s="207">
        <v>4.8532495783032764E-3</v>
      </c>
      <c r="Z14" s="207">
        <v>2.7495473474117679E-3</v>
      </c>
      <c r="AA14" s="207">
        <v>1.0190023404318328E-2</v>
      </c>
      <c r="AB14" s="207">
        <v>6.0168468647532752E-3</v>
      </c>
      <c r="AC14" s="207">
        <v>1.2656304496871277E-2</v>
      </c>
      <c r="AD14" s="207">
        <v>2.3559750400584601E-2</v>
      </c>
      <c r="AE14" s="207">
        <v>1.8429178889603499E-2</v>
      </c>
      <c r="AF14" s="207">
        <v>1.3218468344467622E-2</v>
      </c>
      <c r="AG14" s="207">
        <v>0</v>
      </c>
      <c r="AH14" s="207">
        <v>0</v>
      </c>
      <c r="AI14" s="207">
        <v>0</v>
      </c>
      <c r="AJ14" s="207">
        <v>1.5817591642861301E-2</v>
      </c>
      <c r="AK14" s="207">
        <v>1.7577899125646623</v>
      </c>
      <c r="AL14" s="210">
        <v>155105.60247104161</v>
      </c>
      <c r="AM14" s="210">
        <v>4269.052284082798</v>
      </c>
      <c r="AN14" s="210">
        <v>13963.804381846636</v>
      </c>
      <c r="AO14" s="211">
        <v>0.32488681026806437</v>
      </c>
      <c r="AP14" s="211">
        <v>1.8767388881896869</v>
      </c>
      <c r="AQ14" s="212">
        <v>1.6007135224010193E-4</v>
      </c>
      <c r="AR14" s="212">
        <v>-0.35846616162876499</v>
      </c>
      <c r="AS14" s="167"/>
      <c r="AT14" s="167"/>
      <c r="AU14" s="710"/>
      <c r="AV14" s="213" t="s">
        <v>264</v>
      </c>
      <c r="AW14" s="214">
        <v>59900</v>
      </c>
      <c r="AX14" s="180"/>
      <c r="AY14" s="164"/>
    </row>
    <row r="15" spans="1:51">
      <c r="A15" s="148"/>
      <c r="B15" s="157"/>
      <c r="C15" s="707" t="s">
        <v>382</v>
      </c>
      <c r="D15" s="165"/>
      <c r="E15" s="166"/>
      <c r="F15" s="167"/>
      <c r="G15" s="167"/>
      <c r="H15" s="167"/>
      <c r="I15" s="167"/>
      <c r="J15" s="167"/>
      <c r="K15" s="203">
        <v>10</v>
      </c>
      <c r="L15" s="217" t="s">
        <v>265</v>
      </c>
      <c r="M15" s="218">
        <v>0.94476365403107754</v>
      </c>
      <c r="N15" s="218">
        <v>0.56692100652308663</v>
      </c>
      <c r="O15" s="207">
        <v>6.9096362623017726E-3</v>
      </c>
      <c r="P15" s="207">
        <v>7.2100690909614488E-3</v>
      </c>
      <c r="Q15" s="207">
        <v>5.1866750790096443E-3</v>
      </c>
      <c r="R15" s="207">
        <v>1.0575105239655803E-2</v>
      </c>
      <c r="S15" s="207">
        <v>4.4320841863658533E-2</v>
      </c>
      <c r="T15" s="207">
        <v>0.12930853391095817</v>
      </c>
      <c r="U15" s="207">
        <v>4.52439840396716E-2</v>
      </c>
      <c r="V15" s="207">
        <v>0.30051877481244416</v>
      </c>
      <c r="W15" s="207">
        <v>0.75077118860381753</v>
      </c>
      <c r="X15" s="207">
        <v>8.1151523423467029E-2</v>
      </c>
      <c r="Y15" s="207">
        <v>4.074660069186594E-2</v>
      </c>
      <c r="Z15" s="207">
        <v>0.40039119911363297</v>
      </c>
      <c r="AA15" s="207">
        <v>0.17207632068535383</v>
      </c>
      <c r="AB15" s="207">
        <v>0.10862782977829222</v>
      </c>
      <c r="AC15" s="207">
        <v>6.6135550644714325E-2</v>
      </c>
      <c r="AD15" s="207">
        <v>3.8214881365257011E-2</v>
      </c>
      <c r="AE15" s="207">
        <v>8.4099293595942662E-2</v>
      </c>
      <c r="AF15" s="207">
        <v>0.13845160144991428</v>
      </c>
      <c r="AG15" s="207">
        <v>0</v>
      </c>
      <c r="AH15" s="207">
        <v>0</v>
      </c>
      <c r="AI15" s="207">
        <v>0</v>
      </c>
      <c r="AJ15" s="207">
        <v>1.128764403777863E-2</v>
      </c>
      <c r="AK15" s="207">
        <v>3.7627008527275496</v>
      </c>
      <c r="AL15" s="210">
        <v>560967.41795734211</v>
      </c>
      <c r="AM15" s="210"/>
      <c r="AN15" s="210"/>
      <c r="AO15" s="231"/>
      <c r="AP15" s="231"/>
      <c r="AQ15" s="232"/>
      <c r="AR15" s="232"/>
      <c r="AS15" s="167">
        <v>0.73403028754369459</v>
      </c>
      <c r="AT15" s="167"/>
      <c r="AU15" s="710"/>
      <c r="AV15" s="233" t="s">
        <v>266</v>
      </c>
      <c r="AW15" s="214">
        <v>66500</v>
      </c>
      <c r="AX15" s="180"/>
      <c r="AY15" s="164"/>
    </row>
    <row r="16" spans="1:51">
      <c r="A16" s="148"/>
      <c r="B16" s="157"/>
      <c r="C16" s="708"/>
      <c r="D16" s="165"/>
      <c r="E16" s="166"/>
      <c r="F16" s="167"/>
      <c r="G16" s="167"/>
      <c r="H16" s="167"/>
      <c r="I16" s="167"/>
      <c r="J16" s="167"/>
      <c r="K16" s="203">
        <v>11</v>
      </c>
      <c r="L16" s="217" t="s">
        <v>267</v>
      </c>
      <c r="M16" s="218">
        <v>1.0219068672293024</v>
      </c>
      <c r="N16" s="218">
        <v>0.23330928255340697</v>
      </c>
      <c r="O16" s="207">
        <v>0</v>
      </c>
      <c r="P16" s="207">
        <v>0</v>
      </c>
      <c r="Q16" s="207">
        <v>0</v>
      </c>
      <c r="R16" s="207">
        <v>0</v>
      </c>
      <c r="S16" s="207">
        <v>0</v>
      </c>
      <c r="T16" s="207">
        <v>0</v>
      </c>
      <c r="U16" s="207">
        <v>0</v>
      </c>
      <c r="V16" s="207">
        <v>0</v>
      </c>
      <c r="W16" s="207">
        <v>0</v>
      </c>
      <c r="X16" s="207">
        <v>0</v>
      </c>
      <c r="Y16" s="207">
        <v>0</v>
      </c>
      <c r="Z16" s="207">
        <v>0</v>
      </c>
      <c r="AA16" s="207">
        <v>0</v>
      </c>
      <c r="AB16" s="207">
        <v>0</v>
      </c>
      <c r="AC16" s="207">
        <v>0</v>
      </c>
      <c r="AD16" s="207">
        <v>0</v>
      </c>
      <c r="AE16" s="207">
        <v>0</v>
      </c>
      <c r="AF16" s="207">
        <v>0</v>
      </c>
      <c r="AG16" s="207">
        <v>0</v>
      </c>
      <c r="AH16" s="207">
        <v>0</v>
      </c>
      <c r="AI16" s="207">
        <v>0</v>
      </c>
      <c r="AJ16" s="207">
        <v>0</v>
      </c>
      <c r="AK16" s="207">
        <v>0.42037263296266875</v>
      </c>
      <c r="AL16" s="210">
        <v>415704.02173538052</v>
      </c>
      <c r="AM16" s="210">
        <v>13801.698856078745</v>
      </c>
      <c r="AN16" s="210">
        <v>1691.7643880032424</v>
      </c>
      <c r="AO16" s="211">
        <v>1.9388697729821325E-2</v>
      </c>
      <c r="AP16" s="211">
        <v>0.60864448142694239</v>
      </c>
      <c r="AQ16" s="212">
        <v>-4.8658874682644335E-5</v>
      </c>
      <c r="AR16" s="212">
        <v>0.69096383277535267</v>
      </c>
      <c r="AS16" s="167"/>
      <c r="AT16" s="167"/>
      <c r="AU16" s="711"/>
      <c r="AV16" s="234" t="s">
        <v>268</v>
      </c>
      <c r="AW16" s="235">
        <v>72600</v>
      </c>
      <c r="AX16" s="180"/>
      <c r="AY16" s="164"/>
    </row>
    <row r="17" spans="1:51">
      <c r="A17" s="148"/>
      <c r="B17" s="157"/>
      <c r="C17" s="708"/>
      <c r="D17" s="165"/>
      <c r="E17" s="166"/>
      <c r="F17" s="167"/>
      <c r="G17" s="167"/>
      <c r="H17" s="167"/>
      <c r="I17" s="167"/>
      <c r="J17" s="167"/>
      <c r="K17" s="236">
        <v>12</v>
      </c>
      <c r="L17" s="237" t="s">
        <v>33</v>
      </c>
      <c r="M17" s="218">
        <v>0.97392898541967743</v>
      </c>
      <c r="N17" s="218">
        <v>0.15373986772742912</v>
      </c>
      <c r="O17" s="207">
        <v>1.751566233296055E-4</v>
      </c>
      <c r="P17" s="207">
        <v>2.5787672851012303E-4</v>
      </c>
      <c r="Q17" s="207">
        <v>0</v>
      </c>
      <c r="R17" s="207">
        <v>0</v>
      </c>
      <c r="S17" s="207">
        <v>0</v>
      </c>
      <c r="T17" s="207">
        <v>0</v>
      </c>
      <c r="U17" s="207">
        <v>0</v>
      </c>
      <c r="V17" s="207">
        <v>0</v>
      </c>
      <c r="W17" s="207">
        <v>0</v>
      </c>
      <c r="X17" s="207">
        <v>0</v>
      </c>
      <c r="Y17" s="207">
        <v>0</v>
      </c>
      <c r="Z17" s="207">
        <v>0</v>
      </c>
      <c r="AA17" s="207">
        <v>0</v>
      </c>
      <c r="AB17" s="207">
        <v>0</v>
      </c>
      <c r="AC17" s="207">
        <v>0</v>
      </c>
      <c r="AD17" s="207">
        <v>0</v>
      </c>
      <c r="AE17" s="207">
        <v>0</v>
      </c>
      <c r="AF17" s="207">
        <v>0</v>
      </c>
      <c r="AG17" s="207">
        <v>0</v>
      </c>
      <c r="AH17" s="207">
        <v>0</v>
      </c>
      <c r="AI17" s="207">
        <v>0</v>
      </c>
      <c r="AJ17" s="207">
        <v>0</v>
      </c>
      <c r="AK17" s="207">
        <v>0.46200631672216114</v>
      </c>
      <c r="AL17" s="210">
        <v>343695.18489153817</v>
      </c>
      <c r="AM17" s="210">
        <v>9835.0138323840529</v>
      </c>
      <c r="AN17" s="210">
        <v>2186.6919952210274</v>
      </c>
      <c r="AO17" s="211">
        <v>6.0075789064030542E-2</v>
      </c>
      <c r="AP17" s="211">
        <v>0.61566993825799288</v>
      </c>
      <c r="AQ17" s="212">
        <v>-7.2642621613324752E-5</v>
      </c>
      <c r="AR17" s="212">
        <v>0.77451697745172021</v>
      </c>
      <c r="AS17" s="167"/>
      <c r="AT17" s="167"/>
      <c r="AU17" s="167"/>
      <c r="AV17" s="167"/>
      <c r="AW17" s="167"/>
      <c r="AX17" s="180"/>
      <c r="AY17" s="164"/>
    </row>
    <row r="18" spans="1:51">
      <c r="A18" s="148"/>
      <c r="B18" s="157"/>
      <c r="C18" s="708"/>
      <c r="D18" s="165"/>
      <c r="E18" s="166"/>
      <c r="F18" s="167"/>
      <c r="G18" s="167"/>
      <c r="H18" s="167"/>
      <c r="I18" s="167"/>
      <c r="J18" s="167"/>
      <c r="K18" s="203">
        <v>13</v>
      </c>
      <c r="L18" s="237" t="s">
        <v>34</v>
      </c>
      <c r="M18" s="218">
        <v>0.98897888385181099</v>
      </c>
      <c r="N18" s="218">
        <v>0.46234187789312631</v>
      </c>
      <c r="O18" s="207">
        <v>0</v>
      </c>
      <c r="P18" s="207">
        <v>4.6862399633129625E-7</v>
      </c>
      <c r="Q18" s="207">
        <v>0</v>
      </c>
      <c r="R18" s="207">
        <v>0</v>
      </c>
      <c r="S18" s="207">
        <v>0</v>
      </c>
      <c r="T18" s="207">
        <v>0</v>
      </c>
      <c r="U18" s="207">
        <v>0</v>
      </c>
      <c r="V18" s="207">
        <v>0</v>
      </c>
      <c r="W18" s="207">
        <v>0</v>
      </c>
      <c r="X18" s="207">
        <v>0</v>
      </c>
      <c r="Y18" s="207">
        <v>0</v>
      </c>
      <c r="Z18" s="207">
        <v>0</v>
      </c>
      <c r="AA18" s="207">
        <v>0</v>
      </c>
      <c r="AB18" s="207">
        <v>0</v>
      </c>
      <c r="AC18" s="207">
        <v>0</v>
      </c>
      <c r="AD18" s="207">
        <v>0</v>
      </c>
      <c r="AE18" s="207">
        <v>0</v>
      </c>
      <c r="AF18" s="207">
        <v>0</v>
      </c>
      <c r="AG18" s="207">
        <v>0</v>
      </c>
      <c r="AH18" s="207">
        <v>0</v>
      </c>
      <c r="AI18" s="207">
        <v>0</v>
      </c>
      <c r="AJ18" s="207">
        <v>0</v>
      </c>
      <c r="AK18" s="207">
        <v>0.2667467205959389</v>
      </c>
      <c r="AL18" s="210">
        <v>313766.13286696165</v>
      </c>
      <c r="AM18" s="210">
        <v>2420.4973864093286</v>
      </c>
      <c r="AN18" s="210">
        <v>1243.337731733915</v>
      </c>
      <c r="AO18" s="211">
        <v>0.11333011173005246</v>
      </c>
      <c r="AP18" s="211">
        <v>0.74575532651364873</v>
      </c>
      <c r="AQ18" s="212">
        <v>-5.3724676365839196E-4</v>
      </c>
      <c r="AR18" s="212">
        <v>1.4137344990220604</v>
      </c>
      <c r="AS18" s="167"/>
      <c r="AT18" s="167"/>
      <c r="AU18" s="167"/>
      <c r="AV18" s="167"/>
      <c r="AW18" s="167"/>
      <c r="AX18" s="180"/>
      <c r="AY18" s="164"/>
    </row>
    <row r="19" spans="1:51">
      <c r="A19" s="148"/>
      <c r="B19" s="157"/>
      <c r="C19" s="708"/>
      <c r="D19" s="165"/>
      <c r="E19" s="166"/>
      <c r="F19" s="167"/>
      <c r="G19" s="167"/>
      <c r="H19" s="167"/>
      <c r="I19" s="167"/>
      <c r="J19" s="167"/>
      <c r="K19" s="236">
        <v>14</v>
      </c>
      <c r="L19" s="237" t="s">
        <v>35</v>
      </c>
      <c r="M19" s="218">
        <v>1.2388031845846939</v>
      </c>
      <c r="N19" s="218">
        <v>0.4996402118094494</v>
      </c>
      <c r="O19" s="207">
        <v>0</v>
      </c>
      <c r="P19" s="207">
        <v>0</v>
      </c>
      <c r="Q19" s="207">
        <v>0</v>
      </c>
      <c r="R19" s="207">
        <v>0</v>
      </c>
      <c r="S19" s="207">
        <v>0</v>
      </c>
      <c r="T19" s="207">
        <v>0</v>
      </c>
      <c r="U19" s="207">
        <v>0</v>
      </c>
      <c r="V19" s="207">
        <v>0</v>
      </c>
      <c r="W19" s="207">
        <v>0</v>
      </c>
      <c r="X19" s="207">
        <v>0</v>
      </c>
      <c r="Y19" s="207">
        <v>0</v>
      </c>
      <c r="Z19" s="207">
        <v>0</v>
      </c>
      <c r="AA19" s="207">
        <v>0</v>
      </c>
      <c r="AB19" s="207">
        <v>0</v>
      </c>
      <c r="AC19" s="207">
        <v>0</v>
      </c>
      <c r="AD19" s="207">
        <v>0</v>
      </c>
      <c r="AE19" s="207">
        <v>0</v>
      </c>
      <c r="AF19" s="207">
        <v>0</v>
      </c>
      <c r="AG19" s="207">
        <v>0</v>
      </c>
      <c r="AH19" s="207">
        <v>0</v>
      </c>
      <c r="AI19" s="207">
        <v>0</v>
      </c>
      <c r="AJ19" s="207">
        <v>0</v>
      </c>
      <c r="AK19" s="207">
        <v>6.798046713601065E-2</v>
      </c>
      <c r="AL19" s="210">
        <v>437875.32558404614</v>
      </c>
      <c r="AM19" s="210">
        <v>2397.8589930682233</v>
      </c>
      <c r="AN19" s="210">
        <v>754.73239929947465</v>
      </c>
      <c r="AO19" s="211">
        <v>9.3786009241644569E-2</v>
      </c>
      <c r="AP19" s="211">
        <v>1.2966972516518847</v>
      </c>
      <c r="AQ19" s="212">
        <v>-7.3208677102059975E-4</v>
      </c>
      <c r="AR19" s="212">
        <v>1.849226856839667</v>
      </c>
      <c r="AS19" s="167"/>
      <c r="AT19" s="167"/>
      <c r="AU19" s="167"/>
      <c r="AV19" s="167"/>
      <c r="AW19" s="167"/>
      <c r="AX19" s="180"/>
      <c r="AY19" s="164"/>
    </row>
    <row r="20" spans="1:51">
      <c r="A20" s="148"/>
      <c r="B20" s="157"/>
      <c r="C20" s="708"/>
      <c r="D20" s="165"/>
      <c r="E20" s="166"/>
      <c r="F20" s="167"/>
      <c r="G20" s="167"/>
      <c r="H20" s="167"/>
      <c r="I20" s="167"/>
      <c r="J20" s="167"/>
      <c r="K20" s="203">
        <v>15</v>
      </c>
      <c r="L20" s="237" t="s">
        <v>36</v>
      </c>
      <c r="M20" s="218">
        <v>1.003720355693317</v>
      </c>
      <c r="N20" s="218">
        <v>0.63488903829044796</v>
      </c>
      <c r="O20" s="207">
        <v>0</v>
      </c>
      <c r="P20" s="207">
        <v>0</v>
      </c>
      <c r="Q20" s="207">
        <v>0</v>
      </c>
      <c r="R20" s="207">
        <v>0</v>
      </c>
      <c r="S20" s="207">
        <v>0</v>
      </c>
      <c r="T20" s="207">
        <v>0</v>
      </c>
      <c r="U20" s="207">
        <v>0</v>
      </c>
      <c r="V20" s="207">
        <v>0</v>
      </c>
      <c r="W20" s="207">
        <v>0</v>
      </c>
      <c r="X20" s="207">
        <v>0</v>
      </c>
      <c r="Y20" s="207">
        <v>0</v>
      </c>
      <c r="Z20" s="207">
        <v>0</v>
      </c>
      <c r="AA20" s="207">
        <v>0</v>
      </c>
      <c r="AB20" s="207">
        <v>0</v>
      </c>
      <c r="AC20" s="207">
        <v>0</v>
      </c>
      <c r="AD20" s="207">
        <v>0</v>
      </c>
      <c r="AE20" s="207">
        <v>0</v>
      </c>
      <c r="AF20" s="207">
        <v>0</v>
      </c>
      <c r="AG20" s="207">
        <v>0</v>
      </c>
      <c r="AH20" s="207">
        <v>0</v>
      </c>
      <c r="AI20" s="207">
        <v>0</v>
      </c>
      <c r="AJ20" s="207">
        <v>0</v>
      </c>
      <c r="AK20" s="207">
        <v>0.55497238117234471</v>
      </c>
      <c r="AL20" s="210">
        <v>340637.60069047101</v>
      </c>
      <c r="AM20" s="210">
        <v>2397.8589930682233</v>
      </c>
      <c r="AN20" s="210">
        <v>754.73239929947465</v>
      </c>
      <c r="AO20" s="211">
        <v>9.3786009241644569E-2</v>
      </c>
      <c r="AP20" s="211">
        <v>1.2966972516518847</v>
      </c>
      <c r="AQ20" s="212">
        <v>-7.3208677102059975E-4</v>
      </c>
      <c r="AR20" s="212">
        <v>1.849226856839667</v>
      </c>
      <c r="AS20" s="167"/>
      <c r="AT20" s="167"/>
      <c r="AU20" s="167"/>
      <c r="AV20" s="167"/>
      <c r="AW20" s="167"/>
      <c r="AX20" s="180"/>
      <c r="AY20" s="164"/>
    </row>
    <row r="21" spans="1:51">
      <c r="A21" s="148"/>
      <c r="B21" s="157"/>
      <c r="C21" s="708"/>
      <c r="D21" s="165"/>
      <c r="E21" s="166"/>
      <c r="F21" s="167"/>
      <c r="G21" s="167"/>
      <c r="H21" s="167"/>
      <c r="I21" s="167"/>
      <c r="J21" s="167"/>
      <c r="K21" s="236">
        <v>16</v>
      </c>
      <c r="L21" s="237" t="s">
        <v>37</v>
      </c>
      <c r="M21" s="218">
        <v>1.0282762846622628</v>
      </c>
      <c r="N21" s="218">
        <v>0.43978140752225237</v>
      </c>
      <c r="O21" s="207">
        <v>0.13615262791147018</v>
      </c>
      <c r="P21" s="207">
        <v>0.10954657563676017</v>
      </c>
      <c r="Q21" s="207">
        <v>1.9927402701922516E-3</v>
      </c>
      <c r="R21" s="207">
        <v>3.487887742540377E-2</v>
      </c>
      <c r="S21" s="207">
        <v>0.32968851440848829</v>
      </c>
      <c r="T21" s="207">
        <v>5.8535248090383553E-2</v>
      </c>
      <c r="U21" s="207">
        <v>3.0461914953987954E-2</v>
      </c>
      <c r="V21" s="207">
        <v>3.1608448404508251E-2</v>
      </c>
      <c r="W21" s="207">
        <v>1.2348551396725797E-3</v>
      </c>
      <c r="X21" s="207">
        <v>0</v>
      </c>
      <c r="Y21" s="207">
        <v>1.2139365150738117E-2</v>
      </c>
      <c r="Z21" s="207">
        <v>4.6543782210694544E-2</v>
      </c>
      <c r="AA21" s="207">
        <v>6.5371979986026023E-3</v>
      </c>
      <c r="AB21" s="207">
        <v>0.4782219424452544</v>
      </c>
      <c r="AC21" s="207">
        <v>6.9837614665664668E-2</v>
      </c>
      <c r="AD21" s="207">
        <v>0</v>
      </c>
      <c r="AE21" s="207">
        <v>0</v>
      </c>
      <c r="AF21" s="207">
        <v>3.2655490956133841E-2</v>
      </c>
      <c r="AG21" s="207">
        <v>0</v>
      </c>
      <c r="AH21" s="207">
        <v>0</v>
      </c>
      <c r="AI21" s="207">
        <v>0</v>
      </c>
      <c r="AJ21" s="207">
        <v>0</v>
      </c>
      <c r="AK21" s="207">
        <v>1.4471901831826823</v>
      </c>
      <c r="AL21" s="210">
        <v>311459.0755267007</v>
      </c>
      <c r="AM21" s="210">
        <v>5090.7059956930752</v>
      </c>
      <c r="AN21" s="210">
        <v>899.74687370355002</v>
      </c>
      <c r="AO21" s="211">
        <v>5.4262980638289861E-2</v>
      </c>
      <c r="AP21" s="211">
        <v>0.6811361433762263</v>
      </c>
      <c r="AQ21" s="212">
        <v>-1.4957749395569107E-4</v>
      </c>
      <c r="AR21" s="212">
        <v>0.81571802593927101</v>
      </c>
      <c r="AS21" s="167"/>
      <c r="AT21" s="167"/>
      <c r="AU21" s="167"/>
      <c r="AV21" s="167"/>
      <c r="AW21" s="167"/>
      <c r="AX21" s="180"/>
      <c r="AY21" s="164"/>
    </row>
    <row r="22" spans="1:51">
      <c r="A22" s="148"/>
      <c r="B22" s="157"/>
      <c r="C22" s="708"/>
      <c r="D22" s="165"/>
      <c r="E22" s="166"/>
      <c r="F22" s="167"/>
      <c r="G22" s="167"/>
      <c r="H22" s="167"/>
      <c r="I22" s="167"/>
      <c r="J22" s="167"/>
      <c r="K22" s="203">
        <v>17</v>
      </c>
      <c r="L22" s="237" t="s">
        <v>460</v>
      </c>
      <c r="M22" s="218">
        <v>1.0028003529063936</v>
      </c>
      <c r="N22" s="218">
        <v>0.11637666097649073</v>
      </c>
      <c r="O22" s="207">
        <v>0</v>
      </c>
      <c r="P22" s="207">
        <v>0</v>
      </c>
      <c r="Q22" s="207">
        <v>0</v>
      </c>
      <c r="R22" s="207">
        <v>0</v>
      </c>
      <c r="S22" s="207">
        <v>0</v>
      </c>
      <c r="T22" s="207">
        <v>0</v>
      </c>
      <c r="U22" s="207">
        <v>0</v>
      </c>
      <c r="V22" s="207">
        <v>0</v>
      </c>
      <c r="W22" s="207">
        <v>0</v>
      </c>
      <c r="X22" s="207">
        <v>0</v>
      </c>
      <c r="Y22" s="207">
        <v>0</v>
      </c>
      <c r="Z22" s="207">
        <v>0</v>
      </c>
      <c r="AA22" s="207">
        <v>0</v>
      </c>
      <c r="AB22" s="207">
        <v>0</v>
      </c>
      <c r="AC22" s="207">
        <v>0</v>
      </c>
      <c r="AD22" s="207">
        <v>0</v>
      </c>
      <c r="AE22" s="207">
        <v>0</v>
      </c>
      <c r="AF22" s="207">
        <v>0</v>
      </c>
      <c r="AG22" s="207">
        <v>0</v>
      </c>
      <c r="AH22" s="207">
        <v>0</v>
      </c>
      <c r="AI22" s="207">
        <v>0</v>
      </c>
      <c r="AJ22" s="207">
        <v>0</v>
      </c>
      <c r="AK22" s="238"/>
      <c r="AL22" s="225"/>
      <c r="AM22" s="239"/>
      <c r="AN22" s="239"/>
      <c r="AO22" s="226"/>
      <c r="AP22" s="226"/>
      <c r="AQ22" s="227"/>
      <c r="AR22" s="227"/>
      <c r="AS22" s="167"/>
      <c r="AT22" s="167"/>
      <c r="AU22" s="167"/>
      <c r="AV22" s="167"/>
      <c r="AW22" s="167"/>
      <c r="AX22" s="180"/>
      <c r="AY22" s="164"/>
    </row>
    <row r="23" spans="1:51">
      <c r="A23" s="148"/>
      <c r="B23" s="157"/>
      <c r="C23" s="708"/>
      <c r="D23" s="165"/>
      <c r="E23" s="166"/>
      <c r="F23" s="167"/>
      <c r="G23" s="167"/>
      <c r="H23" s="167"/>
      <c r="I23" s="167"/>
      <c r="J23" s="167"/>
      <c r="K23" s="236">
        <v>18</v>
      </c>
      <c r="L23" s="237" t="s">
        <v>269</v>
      </c>
      <c r="M23" s="218">
        <v>1.0882606993166555</v>
      </c>
      <c r="N23" s="218">
        <v>1</v>
      </c>
      <c r="O23" s="207">
        <v>1.4948256875123973E-2</v>
      </c>
      <c r="P23" s="207">
        <v>1.5635324408798407E-2</v>
      </c>
      <c r="Q23" s="207">
        <v>0</v>
      </c>
      <c r="R23" s="207">
        <v>0</v>
      </c>
      <c r="S23" s="207">
        <v>0</v>
      </c>
      <c r="T23" s="207">
        <v>0</v>
      </c>
      <c r="U23" s="207">
        <v>0</v>
      </c>
      <c r="V23" s="207">
        <v>0</v>
      </c>
      <c r="W23" s="207">
        <v>0</v>
      </c>
      <c r="X23" s="207">
        <v>0</v>
      </c>
      <c r="Y23" s="207">
        <v>0</v>
      </c>
      <c r="Z23" s="207">
        <v>0</v>
      </c>
      <c r="AA23" s="207">
        <v>0</v>
      </c>
      <c r="AB23" s="207">
        <v>0</v>
      </c>
      <c r="AC23" s="207">
        <v>0</v>
      </c>
      <c r="AD23" s="207">
        <v>0</v>
      </c>
      <c r="AE23" s="207">
        <v>0</v>
      </c>
      <c r="AF23" s="207">
        <v>0</v>
      </c>
      <c r="AG23" s="207">
        <v>0</v>
      </c>
      <c r="AH23" s="207">
        <v>0</v>
      </c>
      <c r="AI23" s="207">
        <v>0</v>
      </c>
      <c r="AJ23" s="207">
        <v>0</v>
      </c>
      <c r="AK23" s="238"/>
      <c r="AL23" s="225"/>
      <c r="AM23" s="239"/>
      <c r="AN23" s="239"/>
      <c r="AO23" s="226"/>
      <c r="AP23" s="226"/>
      <c r="AQ23" s="227"/>
      <c r="AR23" s="227"/>
      <c r="AS23" s="167"/>
      <c r="AT23" s="167"/>
      <c r="AU23" s="167"/>
      <c r="AV23" s="167"/>
      <c r="AW23" s="167"/>
      <c r="AX23" s="180"/>
      <c r="AY23" s="164"/>
    </row>
    <row r="24" spans="1:51">
      <c r="A24" s="148"/>
      <c r="B24" s="157"/>
      <c r="C24" s="708"/>
      <c r="D24" s="165"/>
      <c r="E24" s="166"/>
      <c r="F24" s="167"/>
      <c r="G24" s="167"/>
      <c r="H24" s="167"/>
      <c r="I24" s="167"/>
      <c r="J24" s="167"/>
      <c r="K24" s="203">
        <v>19</v>
      </c>
      <c r="L24" s="237" t="s">
        <v>270</v>
      </c>
      <c r="M24" s="218">
        <v>1.0287413518373496</v>
      </c>
      <c r="N24" s="218">
        <v>1</v>
      </c>
      <c r="O24" s="207">
        <v>1.6061427607552055E-4</v>
      </c>
      <c r="P24" s="207">
        <v>2.5399407918692292E-4</v>
      </c>
      <c r="Q24" s="207">
        <v>0</v>
      </c>
      <c r="R24" s="207">
        <v>0</v>
      </c>
      <c r="S24" s="207">
        <v>0</v>
      </c>
      <c r="T24" s="207">
        <v>0</v>
      </c>
      <c r="U24" s="207">
        <v>0</v>
      </c>
      <c r="V24" s="207">
        <v>0</v>
      </c>
      <c r="W24" s="207">
        <v>0</v>
      </c>
      <c r="X24" s="207">
        <v>0</v>
      </c>
      <c r="Y24" s="207">
        <v>0</v>
      </c>
      <c r="Z24" s="207">
        <v>0</v>
      </c>
      <c r="AA24" s="207">
        <v>0</v>
      </c>
      <c r="AB24" s="207">
        <v>0</v>
      </c>
      <c r="AC24" s="207">
        <v>0</v>
      </c>
      <c r="AD24" s="207">
        <v>0</v>
      </c>
      <c r="AE24" s="207">
        <v>0</v>
      </c>
      <c r="AF24" s="207">
        <v>0</v>
      </c>
      <c r="AG24" s="207">
        <v>0</v>
      </c>
      <c r="AH24" s="207">
        <v>0</v>
      </c>
      <c r="AI24" s="207">
        <v>0</v>
      </c>
      <c r="AJ24" s="207">
        <v>0</v>
      </c>
      <c r="AK24" s="238"/>
      <c r="AL24" s="225"/>
      <c r="AM24" s="239"/>
      <c r="AN24" s="239"/>
      <c r="AO24" s="226"/>
      <c r="AP24" s="226"/>
      <c r="AQ24" s="227"/>
      <c r="AR24" s="227"/>
      <c r="AS24" s="167"/>
      <c r="AT24" s="167"/>
      <c r="AU24" s="167"/>
      <c r="AV24" s="167"/>
      <c r="AW24" s="167"/>
      <c r="AX24" s="180"/>
      <c r="AY24" s="164"/>
    </row>
    <row r="25" spans="1:51">
      <c r="A25" s="148"/>
      <c r="B25" s="157"/>
      <c r="C25" s="708"/>
      <c r="D25" s="165"/>
      <c r="E25" s="166"/>
      <c r="F25" s="167"/>
      <c r="G25" s="167"/>
      <c r="H25" s="167"/>
      <c r="I25" s="167"/>
      <c r="J25" s="167"/>
      <c r="K25" s="240">
        <v>20</v>
      </c>
      <c r="L25" s="241" t="s">
        <v>271</v>
      </c>
      <c r="M25" s="242">
        <v>1.0462282109380405</v>
      </c>
      <c r="N25" s="243">
        <v>0.34849105291281024</v>
      </c>
      <c r="O25" s="244">
        <v>1.9759728195030909E-2</v>
      </c>
      <c r="P25" s="244">
        <v>1.786278986282825E-2</v>
      </c>
      <c r="Q25" s="245">
        <v>0</v>
      </c>
      <c r="R25" s="245">
        <v>0</v>
      </c>
      <c r="S25" s="245">
        <v>0</v>
      </c>
      <c r="T25" s="245">
        <v>0</v>
      </c>
      <c r="U25" s="245">
        <v>0</v>
      </c>
      <c r="V25" s="245">
        <v>0</v>
      </c>
      <c r="W25" s="245">
        <v>0</v>
      </c>
      <c r="X25" s="245">
        <v>0</v>
      </c>
      <c r="Y25" s="245">
        <v>0</v>
      </c>
      <c r="Z25" s="245">
        <v>0</v>
      </c>
      <c r="AA25" s="245">
        <v>0</v>
      </c>
      <c r="AB25" s="245">
        <v>0</v>
      </c>
      <c r="AC25" s="245">
        <v>0</v>
      </c>
      <c r="AD25" s="245">
        <v>0</v>
      </c>
      <c r="AE25" s="245">
        <v>0</v>
      </c>
      <c r="AF25" s="245">
        <v>0</v>
      </c>
      <c r="AG25" s="245">
        <v>0</v>
      </c>
      <c r="AH25" s="245">
        <v>0</v>
      </c>
      <c r="AI25" s="245">
        <v>0</v>
      </c>
      <c r="AJ25" s="245">
        <v>0</v>
      </c>
      <c r="AK25" s="246"/>
      <c r="AL25" s="247">
        <v>247378.62353216781</v>
      </c>
      <c r="AM25" s="247">
        <v>6505.7447758165954</v>
      </c>
      <c r="AN25" s="247">
        <v>701.43395477984927</v>
      </c>
      <c r="AO25" s="230">
        <v>2.5982966316331499E-2</v>
      </c>
      <c r="AP25" s="230">
        <v>0.50106004869041998</v>
      </c>
      <c r="AQ25" s="248">
        <v>-8.1849007922224232E-5</v>
      </c>
      <c r="AR25" s="248">
        <v>0.55847172201211293</v>
      </c>
      <c r="AS25" s="167"/>
      <c r="AT25" s="167"/>
      <c r="AU25" s="167"/>
      <c r="AV25" s="167"/>
      <c r="AW25" s="167"/>
      <c r="AX25" s="180"/>
      <c r="AY25" s="164"/>
    </row>
    <row r="26" spans="1:51">
      <c r="A26" s="148"/>
      <c r="B26" s="157"/>
      <c r="C26" s="708"/>
      <c r="D26" s="165"/>
      <c r="E26" s="166"/>
      <c r="F26" s="167"/>
      <c r="G26" s="167"/>
      <c r="H26" s="167"/>
      <c r="I26" s="167"/>
      <c r="J26" s="167"/>
      <c r="K26" s="266">
        <v>70</v>
      </c>
      <c r="L26" s="267" t="s">
        <v>458</v>
      </c>
      <c r="M26" s="251">
        <v>0.98603825064722328</v>
      </c>
      <c r="N26" s="167"/>
      <c r="O26" s="252">
        <v>0.47857035935053988</v>
      </c>
      <c r="P26" s="252">
        <v>0.52876450834498689</v>
      </c>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7"/>
      <c r="AX26" s="180"/>
      <c r="AY26" s="164"/>
    </row>
    <row r="27" spans="1:51">
      <c r="A27" s="148"/>
      <c r="B27" s="157"/>
      <c r="C27" s="708"/>
      <c r="D27" s="165"/>
      <c r="E27" s="166"/>
      <c r="F27" s="167"/>
      <c r="G27" s="167"/>
      <c r="H27" s="167"/>
      <c r="I27" s="167"/>
      <c r="J27" s="167"/>
      <c r="K27" s="253">
        <v>71</v>
      </c>
      <c r="L27" s="254" t="s">
        <v>384</v>
      </c>
      <c r="M27" s="167"/>
      <c r="N27" s="167"/>
      <c r="O27" s="208">
        <v>7.2890796146006138E-3</v>
      </c>
      <c r="P27" s="208">
        <v>1.2855360413645309E-2</v>
      </c>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7"/>
      <c r="AX27" s="180"/>
      <c r="AY27" s="164"/>
    </row>
    <row r="28" spans="1:51">
      <c r="A28" s="148"/>
      <c r="B28" s="157"/>
      <c r="C28" s="708"/>
      <c r="D28" s="165"/>
      <c r="E28" s="166"/>
      <c r="F28" s="167"/>
      <c r="G28" s="167"/>
      <c r="H28" s="167"/>
      <c r="I28" s="167"/>
      <c r="J28" s="167"/>
      <c r="K28" s="203">
        <v>91</v>
      </c>
      <c r="L28" s="217" t="s">
        <v>385</v>
      </c>
      <c r="M28" s="167"/>
      <c r="N28" s="167"/>
      <c r="O28" s="207">
        <v>0.40775319533376814</v>
      </c>
      <c r="P28" s="207">
        <v>0.31299604248451368</v>
      </c>
      <c r="Q28" s="167"/>
      <c r="R28" s="167"/>
      <c r="S28" s="167"/>
      <c r="T28" s="167"/>
      <c r="U28" s="167"/>
      <c r="V28" s="167"/>
      <c r="W28" s="167"/>
      <c r="X28" s="167"/>
      <c r="Y28" s="167"/>
      <c r="Z28" s="167"/>
      <c r="AA28" s="167"/>
      <c r="AB28" s="167"/>
      <c r="AC28" s="167"/>
      <c r="AD28" s="167"/>
      <c r="AE28" s="167"/>
      <c r="AF28" s="167"/>
      <c r="AG28" s="167"/>
      <c r="AH28" s="167"/>
      <c r="AI28" s="167"/>
      <c r="AJ28" s="167"/>
      <c r="AK28" s="167"/>
      <c r="AL28" s="167"/>
      <c r="AM28" s="167"/>
      <c r="AN28" s="167"/>
      <c r="AO28" s="167"/>
      <c r="AP28" s="167"/>
      <c r="AQ28" s="167"/>
      <c r="AR28" s="167"/>
      <c r="AS28" s="167"/>
      <c r="AT28" s="167"/>
      <c r="AU28" s="167"/>
      <c r="AV28" s="167"/>
      <c r="AW28" s="167"/>
      <c r="AX28" s="180"/>
      <c r="AY28" s="164"/>
    </row>
    <row r="29" spans="1:51">
      <c r="A29" s="148"/>
      <c r="B29" s="157"/>
      <c r="C29" s="708"/>
      <c r="D29" s="165"/>
      <c r="E29" s="166"/>
      <c r="F29" s="167"/>
      <c r="G29" s="167"/>
      <c r="H29" s="167"/>
      <c r="I29" s="167"/>
      <c r="J29" s="167"/>
      <c r="K29" s="203">
        <v>92</v>
      </c>
      <c r="L29" s="217" t="s">
        <v>386</v>
      </c>
      <c r="M29" s="167"/>
      <c r="N29" s="167"/>
      <c r="O29" s="207">
        <v>1.6729242005989468E-2</v>
      </c>
      <c r="P29" s="207">
        <v>4.4951618761231361E-2</v>
      </c>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7"/>
      <c r="AX29" s="180"/>
      <c r="AY29" s="164"/>
    </row>
    <row r="30" spans="1:51" ht="17" thickBot="1">
      <c r="A30" s="148"/>
      <c r="B30" s="157"/>
      <c r="C30" s="709"/>
      <c r="D30" s="165"/>
      <c r="E30" s="166"/>
      <c r="F30" s="167"/>
      <c r="G30" s="167"/>
      <c r="H30" s="167"/>
      <c r="I30" s="167"/>
      <c r="J30" s="167"/>
      <c r="K30" s="203">
        <v>93</v>
      </c>
      <c r="L30" s="217" t="s">
        <v>387</v>
      </c>
      <c r="M30" s="167"/>
      <c r="N30" s="167"/>
      <c r="O30" s="207">
        <v>5.8628044948592042E-2</v>
      </c>
      <c r="P30" s="207">
        <v>3.9507279064424743E-2</v>
      </c>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80"/>
      <c r="AY30" s="164"/>
    </row>
    <row r="31" spans="1:51">
      <c r="A31" s="148"/>
      <c r="B31" s="150"/>
      <c r="C31" s="229"/>
      <c r="D31" s="157"/>
      <c r="E31" s="166"/>
      <c r="F31" s="167"/>
      <c r="G31" s="167"/>
      <c r="H31" s="167"/>
      <c r="I31" s="167"/>
      <c r="J31" s="167"/>
      <c r="K31" s="203">
        <v>94</v>
      </c>
      <c r="L31" s="217" t="s">
        <v>388</v>
      </c>
      <c r="M31" s="167"/>
      <c r="N31" s="167"/>
      <c r="O31" s="207">
        <v>3.8307882500706082E-2</v>
      </c>
      <c r="P31" s="207">
        <v>4.4572501948199339E-2</v>
      </c>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180"/>
      <c r="AY31" s="164"/>
    </row>
    <row r="32" spans="1:51">
      <c r="A32" s="157"/>
      <c r="B32" s="201" t="s">
        <v>7</v>
      </c>
      <c r="C32" s="164"/>
      <c r="D32" s="157"/>
      <c r="E32" s="166"/>
      <c r="F32" s="167"/>
      <c r="G32" s="167"/>
      <c r="H32" s="167"/>
      <c r="I32" s="167"/>
      <c r="J32" s="167"/>
      <c r="K32" s="203">
        <v>95</v>
      </c>
      <c r="L32" s="217" t="s">
        <v>389</v>
      </c>
      <c r="M32" s="167"/>
      <c r="N32" s="167"/>
      <c r="O32" s="207">
        <v>-2.6087398309113663E-2</v>
      </c>
      <c r="P32" s="207">
        <v>-2.7447976927975921E-6</v>
      </c>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80"/>
      <c r="AY32" s="164"/>
    </row>
    <row r="33" spans="1:51">
      <c r="A33" s="157"/>
      <c r="B33" s="201" t="s">
        <v>8</v>
      </c>
      <c r="C33" s="164"/>
      <c r="D33" s="157"/>
      <c r="E33" s="166"/>
      <c r="F33" s="167"/>
      <c r="G33" s="167"/>
      <c r="H33" s="167"/>
      <c r="I33" s="167"/>
      <c r="J33" s="167"/>
      <c r="K33" s="255"/>
      <c r="L33" s="256" t="s">
        <v>390</v>
      </c>
      <c r="M33" s="167"/>
      <c r="N33" s="167"/>
      <c r="O33" s="207">
        <v>1.8809594554917423E-2</v>
      </c>
      <c r="P33" s="207">
        <v>1.6355433780691528E-2</v>
      </c>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80"/>
      <c r="AY33" s="164"/>
    </row>
    <row r="34" spans="1:51">
      <c r="A34" s="148"/>
      <c r="B34" s="229"/>
      <c r="C34" s="148"/>
      <c r="D34" s="157"/>
      <c r="E34" s="166"/>
      <c r="F34" s="167"/>
      <c r="G34" s="167"/>
      <c r="H34" s="167"/>
      <c r="I34" s="167"/>
      <c r="J34" s="167"/>
      <c r="K34" s="249">
        <v>96</v>
      </c>
      <c r="L34" s="250" t="s">
        <v>391</v>
      </c>
      <c r="M34" s="167"/>
      <c r="N34" s="167"/>
      <c r="O34" s="244">
        <v>0.52142964064946007</v>
      </c>
      <c r="P34" s="244">
        <v>0.47123549165501311</v>
      </c>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80"/>
      <c r="AY34" s="164"/>
    </row>
    <row r="35" spans="1:51">
      <c r="A35" s="148"/>
      <c r="B35" s="148"/>
      <c r="C35" s="148"/>
      <c r="D35" s="157"/>
      <c r="E35" s="166"/>
      <c r="F35" s="167"/>
      <c r="G35" s="167"/>
      <c r="H35" s="167"/>
      <c r="I35" s="167"/>
      <c r="J35" s="167"/>
      <c r="K35" s="257">
        <v>97</v>
      </c>
      <c r="L35" s="258" t="s">
        <v>392</v>
      </c>
      <c r="M35" s="167"/>
      <c r="N35" s="167"/>
      <c r="O35" s="252">
        <v>1</v>
      </c>
      <c r="P35" s="252">
        <v>1</v>
      </c>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80"/>
      <c r="AY35" s="164"/>
    </row>
    <row r="36" spans="1:51" ht="17" thickBot="1">
      <c r="D36" s="259"/>
      <c r="E36" s="260"/>
      <c r="F36" s="261"/>
      <c r="G36" s="261"/>
      <c r="H36" s="261"/>
      <c r="I36" s="261"/>
      <c r="J36" s="261"/>
      <c r="K36" s="262"/>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3"/>
      <c r="AY36" s="164"/>
    </row>
    <row r="37" spans="1:51" ht="17" thickTop="1">
      <c r="E37" s="229"/>
      <c r="F37" s="229"/>
      <c r="G37" s="229"/>
      <c r="H37" s="229"/>
      <c r="I37" s="229"/>
      <c r="J37" s="229"/>
      <c r="K37" s="264"/>
      <c r="L37" s="229"/>
      <c r="M37" s="229"/>
      <c r="N37" s="229"/>
      <c r="O37" s="229"/>
      <c r="P37" s="229"/>
      <c r="Q37" s="229"/>
      <c r="R37" s="229"/>
      <c r="S37" s="229"/>
      <c r="T37" s="229"/>
      <c r="U37" s="229"/>
      <c r="V37" s="229"/>
      <c r="W37" s="229"/>
      <c r="X37" s="229"/>
      <c r="Y37" s="229"/>
      <c r="Z37" s="229"/>
      <c r="AA37" s="229"/>
      <c r="AB37" s="229"/>
      <c r="AC37" s="229"/>
      <c r="AD37" s="229"/>
      <c r="AE37" s="229"/>
      <c r="AF37" s="229"/>
      <c r="AG37" s="229"/>
      <c r="AH37" s="229"/>
      <c r="AI37" s="229"/>
      <c r="AJ37" s="265"/>
      <c r="AK37" s="265"/>
      <c r="AL37" s="229"/>
      <c r="AM37" s="229"/>
      <c r="AN37" s="229"/>
      <c r="AO37" s="229"/>
      <c r="AP37" s="229"/>
      <c r="AQ37" s="229"/>
      <c r="AR37" s="229"/>
      <c r="AS37" s="229"/>
      <c r="AT37" s="229"/>
      <c r="AU37" s="229"/>
      <c r="AV37" s="229"/>
      <c r="AW37" s="229"/>
      <c r="AX37" s="229"/>
      <c r="AY37" s="148"/>
    </row>
    <row r="49" s="155" customFormat="1"/>
    <row r="50" s="155" customFormat="1"/>
    <row r="51" s="155" customFormat="1"/>
    <row r="52" s="155" customFormat="1"/>
    <row r="53" s="155" customFormat="1"/>
    <row r="54" s="155" customFormat="1"/>
    <row r="55" s="155" customFormat="1"/>
    <row r="56" s="155" customFormat="1"/>
    <row r="57" s="155" customFormat="1"/>
    <row r="58" s="155" customFormat="1"/>
    <row r="59" s="155" customFormat="1"/>
    <row r="60" s="155" customFormat="1"/>
    <row r="61" s="155" customFormat="1"/>
    <row r="62" s="155" customFormat="1"/>
    <row r="63" s="155" customFormat="1"/>
    <row r="64" s="155" customFormat="1"/>
    <row r="65" s="155" customFormat="1"/>
    <row r="66" s="155" customFormat="1"/>
    <row r="67" s="155" customFormat="1"/>
    <row r="68" s="155" customFormat="1"/>
    <row r="69" s="155" customFormat="1"/>
    <row r="70" s="155" customFormat="1"/>
    <row r="71" s="155" customFormat="1"/>
    <row r="72" s="155" customFormat="1"/>
    <row r="73" s="155" customFormat="1"/>
    <row r="74" s="155" customFormat="1"/>
    <row r="75" s="155" customFormat="1"/>
    <row r="76" s="155" customFormat="1"/>
    <row r="77" s="155" customFormat="1"/>
    <row r="78" s="155" customFormat="1"/>
    <row r="79" s="155" customFormat="1"/>
    <row r="80" s="155" customFormat="1"/>
    <row r="81" s="155" customFormat="1"/>
    <row r="82" s="155" customFormat="1"/>
    <row r="83" s="155" customFormat="1"/>
    <row r="84" s="155" customFormat="1"/>
    <row r="85" s="155" customFormat="1"/>
    <row r="86" s="155" customFormat="1"/>
    <row r="87" s="155" customFormat="1"/>
    <row r="88" s="155" customFormat="1"/>
    <row r="89" s="155" customFormat="1"/>
    <row r="90" s="155" customFormat="1"/>
    <row r="91" s="155" customFormat="1"/>
    <row r="92" s="155" customFormat="1"/>
    <row r="93" s="155" customFormat="1"/>
    <row r="94" s="155" customFormat="1"/>
    <row r="95" s="155" customFormat="1"/>
    <row r="96" s="155" customFormat="1"/>
    <row r="97" s="155" customFormat="1"/>
    <row r="98" s="155" customFormat="1"/>
    <row r="99" s="155" customFormat="1"/>
    <row r="100" s="155" customFormat="1"/>
    <row r="101" s="155" customFormat="1"/>
    <row r="102" s="155" customFormat="1"/>
    <row r="103" s="155" customFormat="1"/>
    <row r="104" s="155" customFormat="1"/>
    <row r="105" s="155" customFormat="1"/>
    <row r="106" s="155" customFormat="1"/>
    <row r="107" s="155" customFormat="1"/>
    <row r="108" s="155" customFormat="1"/>
    <row r="109" s="155" customFormat="1"/>
    <row r="110" s="155" customFormat="1"/>
    <row r="111" s="155" customFormat="1"/>
    <row r="112" s="155" customFormat="1"/>
    <row r="113" s="155" customFormat="1"/>
    <row r="114" s="155" customFormat="1"/>
    <row r="115" s="155" customFormat="1"/>
    <row r="116" s="155" customFormat="1"/>
    <row r="117" s="155" customFormat="1"/>
    <row r="118" s="155" customFormat="1"/>
    <row r="119" s="155" customFormat="1"/>
    <row r="120" s="155" customFormat="1"/>
    <row r="121" s="155" customFormat="1"/>
    <row r="122" s="155" customFormat="1"/>
    <row r="123" s="155" customFormat="1"/>
    <row r="124" s="155" customFormat="1"/>
    <row r="125" s="155" customFormat="1"/>
    <row r="126" s="155" customFormat="1"/>
    <row r="127" s="155" customFormat="1"/>
    <row r="128" s="155" customFormat="1"/>
    <row r="129" s="155" customFormat="1"/>
    <row r="130" s="155" customFormat="1"/>
    <row r="131" s="155" customFormat="1"/>
    <row r="132" s="155" customFormat="1"/>
    <row r="133" s="155" customFormat="1"/>
    <row r="134" s="155" customFormat="1"/>
    <row r="135" s="155" customFormat="1"/>
  </sheetData>
  <sheetProtection sheet="1" objects="1" scenarios="1"/>
  <mergeCells count="13">
    <mergeCell ref="AW4:AW5"/>
    <mergeCell ref="AK4:AK5"/>
    <mergeCell ref="K3:L5"/>
    <mergeCell ref="C15:C30"/>
    <mergeCell ref="AU6:AU8"/>
    <mergeCell ref="AU9:AV9"/>
    <mergeCell ref="AU10:AV10"/>
    <mergeCell ref="AU11:AU16"/>
    <mergeCell ref="F3:F5"/>
    <mergeCell ref="AM4:AN4"/>
    <mergeCell ref="AO4:AP4"/>
    <mergeCell ref="AU4:AU5"/>
    <mergeCell ref="AV4:AV5"/>
  </mergeCells>
  <phoneticPr fontId="27"/>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X135"/>
  <sheetViews>
    <sheetView showRowColHeaders="0" zoomScale="80" zoomScaleNormal="80" workbookViewId="0"/>
  </sheetViews>
  <sheetFormatPr defaultColWidth="9" defaultRowHeight="13"/>
  <cols>
    <col min="1" max="2" width="1.6328125" style="1" customWidth="1"/>
    <col min="3" max="3" width="4.36328125" style="1" customWidth="1"/>
    <col min="4" max="4" width="14.08984375" style="1" customWidth="1"/>
    <col min="5" max="5" width="1.6328125" style="1" customWidth="1"/>
    <col min="6" max="6" width="5.08984375" style="1" customWidth="1"/>
    <col min="7" max="7" width="4.6328125" style="1" customWidth="1"/>
    <col min="8" max="8" width="20.6328125" style="1" customWidth="1"/>
    <col min="9" max="9" width="1.6328125" style="1" customWidth="1"/>
    <col min="10" max="10" width="5.08984375" style="1" customWidth="1"/>
    <col min="11" max="11" width="4.6328125" style="1" customWidth="1"/>
    <col min="12" max="12" width="14.08984375" style="1" customWidth="1"/>
    <col min="13" max="13" width="4.6328125" style="1" customWidth="1"/>
    <col min="14" max="14" width="14.08984375" style="1" customWidth="1"/>
    <col min="15" max="15" width="5.08984375" style="1" customWidth="1"/>
    <col min="16" max="16" width="1.6328125" style="1" customWidth="1"/>
    <col min="17" max="17" width="5.08984375" style="1" customWidth="1"/>
    <col min="18" max="18" width="11.6328125" style="1" customWidth="1"/>
    <col min="19" max="19" width="14.08984375" style="1" customWidth="1"/>
    <col min="20" max="20" width="5.08984375" style="1" customWidth="1"/>
    <col min="21" max="21" width="1.6328125" style="1" customWidth="1"/>
    <col min="22" max="22" width="14.08984375" style="1" customWidth="1"/>
    <col min="23" max="23" width="5.08984375" style="1" customWidth="1"/>
    <col min="24" max="24" width="1.6328125" style="1" customWidth="1"/>
    <col min="25" max="25" width="5.08984375" style="1" customWidth="1"/>
    <col min="26" max="16384" width="9" style="1"/>
  </cols>
  <sheetData>
    <row r="1" spans="1:24" ht="37.5" customHeight="1" thickBot="1">
      <c r="D1" s="3"/>
      <c r="E1" s="3"/>
      <c r="F1" s="3"/>
      <c r="G1" s="3"/>
      <c r="H1" s="3"/>
      <c r="I1" s="3"/>
      <c r="J1" s="3"/>
      <c r="K1" s="3"/>
      <c r="L1" s="3"/>
      <c r="M1" s="3"/>
      <c r="N1" s="3"/>
      <c r="O1" s="3"/>
      <c r="P1" s="3"/>
      <c r="Q1" s="3"/>
      <c r="R1" s="3"/>
      <c r="S1" s="3"/>
      <c r="T1" s="3"/>
      <c r="U1" s="3"/>
      <c r="V1" s="3"/>
    </row>
    <row r="2" spans="1:24" ht="13.5" thickTop="1">
      <c r="A2" s="2"/>
      <c r="B2" s="87"/>
      <c r="C2" s="88"/>
      <c r="D2" s="89"/>
      <c r="E2" s="7"/>
      <c r="F2" s="78"/>
      <c r="G2" s="79"/>
      <c r="H2" s="80"/>
      <c r="I2" s="7"/>
      <c r="J2" s="55"/>
      <c r="K2" s="56"/>
      <c r="L2" s="56"/>
      <c r="M2" s="56"/>
      <c r="N2" s="56"/>
      <c r="O2" s="57"/>
      <c r="P2" s="7"/>
      <c r="Q2" s="44"/>
      <c r="R2" s="45"/>
      <c r="S2" s="45"/>
      <c r="T2" s="45"/>
      <c r="U2" s="45"/>
      <c r="V2" s="45"/>
      <c r="W2" s="46"/>
      <c r="X2" s="5"/>
    </row>
    <row r="3" spans="1:24">
      <c r="A3" s="2"/>
      <c r="B3" s="90"/>
      <c r="C3" s="34"/>
      <c r="D3" s="91"/>
      <c r="E3" s="7"/>
      <c r="F3" s="95" t="s">
        <v>61</v>
      </c>
      <c r="G3" s="96" t="s">
        <v>62</v>
      </c>
      <c r="H3" s="81"/>
      <c r="I3" s="7"/>
      <c r="J3" s="58" t="s">
        <v>63</v>
      </c>
      <c r="K3" s="39" t="s">
        <v>49</v>
      </c>
      <c r="L3" s="38"/>
      <c r="M3" s="38"/>
      <c r="N3" s="38"/>
      <c r="O3" s="59"/>
      <c r="P3" s="7"/>
      <c r="Q3" s="47">
        <v>2</v>
      </c>
      <c r="R3" s="13" t="s">
        <v>65</v>
      </c>
      <c r="S3" s="12"/>
      <c r="T3" s="12"/>
      <c r="U3" s="12"/>
      <c r="V3" s="12"/>
      <c r="W3" s="48"/>
      <c r="X3" s="5"/>
    </row>
    <row r="4" spans="1:24" ht="15.5">
      <c r="A4" s="2"/>
      <c r="B4" s="90"/>
      <c r="C4" s="34"/>
      <c r="D4" s="91"/>
      <c r="E4" s="7"/>
      <c r="F4" s="82"/>
      <c r="G4" s="6"/>
      <c r="H4" s="81"/>
      <c r="I4" s="7"/>
      <c r="J4" s="60"/>
      <c r="K4" s="38"/>
      <c r="L4" s="38"/>
      <c r="M4" s="38"/>
      <c r="N4" s="97"/>
      <c r="O4" s="59" t="s">
        <v>64</v>
      </c>
      <c r="P4" s="7"/>
      <c r="Q4" s="49"/>
      <c r="R4" s="13"/>
      <c r="S4" s="12"/>
      <c r="T4" s="12"/>
      <c r="U4" s="12"/>
      <c r="V4" s="19">
        <f>IF(V7="",S7*S10/1000,V7*S10/1000)</f>
        <v>0</v>
      </c>
      <c r="W4" s="50" t="s">
        <v>76</v>
      </c>
      <c r="X4" s="5"/>
    </row>
    <row r="5" spans="1:24">
      <c r="A5" s="2"/>
      <c r="B5" s="90"/>
      <c r="C5" s="104" t="s">
        <v>84</v>
      </c>
      <c r="D5" s="91"/>
      <c r="E5" s="7"/>
      <c r="F5" s="82"/>
      <c r="G5" s="6"/>
      <c r="H5" s="83" t="s">
        <v>330</v>
      </c>
      <c r="I5" s="7"/>
      <c r="J5" s="60"/>
      <c r="K5" s="38"/>
      <c r="L5" s="38"/>
      <c r="M5" s="38"/>
      <c r="N5" s="38"/>
      <c r="O5" s="59"/>
      <c r="P5" s="7"/>
      <c r="Q5" s="49"/>
      <c r="R5" s="13"/>
      <c r="S5" s="12"/>
      <c r="T5" s="12"/>
      <c r="U5" s="12"/>
      <c r="V5" s="12"/>
      <c r="W5" s="48"/>
      <c r="X5" s="5"/>
    </row>
    <row r="6" spans="1:24">
      <c r="A6" s="2"/>
      <c r="B6" s="90"/>
      <c r="C6" s="552" t="str">
        <f>"   "&amp;INDEX(H5:H20,F30,1)</f>
        <v xml:space="preserve">   農林漁業</v>
      </c>
      <c r="D6" s="553"/>
      <c r="E6" s="7"/>
      <c r="F6" s="82"/>
      <c r="G6" s="6"/>
      <c r="H6" s="83" t="s">
        <v>23</v>
      </c>
      <c r="I6" s="7"/>
      <c r="J6" s="69">
        <v>1</v>
      </c>
      <c r="K6" s="70" t="s">
        <v>69</v>
      </c>
      <c r="L6" s="71"/>
      <c r="M6" s="72"/>
      <c r="N6" s="72"/>
      <c r="O6" s="73"/>
      <c r="P6" s="7"/>
      <c r="Q6" s="49"/>
      <c r="R6" s="12"/>
      <c r="S6" s="14" t="s">
        <v>74</v>
      </c>
      <c r="T6" s="12"/>
      <c r="U6" s="12"/>
      <c r="V6" s="14" t="s">
        <v>75</v>
      </c>
      <c r="W6" s="51"/>
      <c r="X6" s="5"/>
    </row>
    <row r="7" spans="1:24" ht="15.5">
      <c r="A7" s="2"/>
      <c r="B7" s="90"/>
      <c r="C7" s="34"/>
      <c r="D7" s="91"/>
      <c r="E7" s="7"/>
      <c r="F7" s="82"/>
      <c r="G7" s="6"/>
      <c r="H7" s="83" t="s">
        <v>24</v>
      </c>
      <c r="I7" s="7"/>
      <c r="J7" s="74"/>
      <c r="K7" s="8"/>
      <c r="L7" s="8"/>
      <c r="M7" s="8"/>
      <c r="N7" s="26">
        <f>N8+N9+N16</f>
        <v>0</v>
      </c>
      <c r="O7" s="75" t="s">
        <v>77</v>
      </c>
      <c r="P7" s="7"/>
      <c r="Q7" s="49"/>
      <c r="R7" s="15" t="s">
        <v>66</v>
      </c>
      <c r="S7" s="24">
        <f>N4*S8/100</f>
        <v>0</v>
      </c>
      <c r="T7" s="12" t="s">
        <v>64</v>
      </c>
      <c r="U7" s="12"/>
      <c r="V7" s="99"/>
      <c r="W7" s="48" t="s">
        <v>64</v>
      </c>
      <c r="X7" s="5"/>
    </row>
    <row r="8" spans="1:24">
      <c r="A8" s="2"/>
      <c r="B8" s="90"/>
      <c r="C8" s="104" t="s">
        <v>85</v>
      </c>
      <c r="D8" s="91"/>
      <c r="E8" s="7"/>
      <c r="F8" s="82"/>
      <c r="G8" s="6"/>
      <c r="H8" s="83" t="s">
        <v>25</v>
      </c>
      <c r="I8" s="7"/>
      <c r="J8" s="74"/>
      <c r="K8" s="8"/>
      <c r="L8" s="8" t="s">
        <v>44</v>
      </c>
      <c r="M8" s="8"/>
      <c r="N8" s="27">
        <f>IF(L30=TRUE,N4*固定資本!AW7/1000,0)</f>
        <v>0</v>
      </c>
      <c r="O8" s="76"/>
      <c r="P8" s="7"/>
      <c r="Q8" s="49"/>
      <c r="R8" s="16" t="s">
        <v>67</v>
      </c>
      <c r="S8" s="25">
        <f>DATA!AQ12*100</f>
        <v>40.383080534709556</v>
      </c>
      <c r="T8" s="12" t="s">
        <v>68</v>
      </c>
      <c r="U8" s="12"/>
      <c r="V8" s="25" t="str">
        <f>IF(V7="","",V7/N4*100)</f>
        <v/>
      </c>
      <c r="W8" s="48" t="s">
        <v>68</v>
      </c>
      <c r="X8" s="5"/>
    </row>
    <row r="9" spans="1:24">
      <c r="A9" s="2"/>
      <c r="B9" s="90"/>
      <c r="C9" s="554">
        <f>N4</f>
        <v>0</v>
      </c>
      <c r="D9" s="555"/>
      <c r="E9" s="7"/>
      <c r="F9" s="82"/>
      <c r="G9" s="6"/>
      <c r="H9" s="83" t="s">
        <v>26</v>
      </c>
      <c r="I9" s="7"/>
      <c r="J9" s="74"/>
      <c r="K9" s="8"/>
      <c r="L9" s="8" t="s">
        <v>45</v>
      </c>
      <c r="M9" s="8"/>
      <c r="N9" s="27">
        <f>IF(L28=TRUE,N4*固定資本!AW8/1000,0)</f>
        <v>0</v>
      </c>
      <c r="O9" s="76"/>
      <c r="P9" s="7"/>
      <c r="Q9" s="49"/>
      <c r="R9" s="12"/>
      <c r="S9" s="12"/>
      <c r="T9" s="12"/>
      <c r="U9" s="12"/>
      <c r="V9" s="12"/>
      <c r="W9" s="48"/>
      <c r="X9" s="5"/>
    </row>
    <row r="10" spans="1:24" ht="15.5">
      <c r="A10" s="2"/>
      <c r="B10" s="90"/>
      <c r="C10" s="34"/>
      <c r="D10" s="91"/>
      <c r="E10" s="7"/>
      <c r="F10" s="82"/>
      <c r="G10" s="6"/>
      <c r="H10" s="83" t="s">
        <v>27</v>
      </c>
      <c r="I10" s="7"/>
      <c r="J10" s="74"/>
      <c r="K10" s="8"/>
      <c r="L10" s="8"/>
      <c r="M10" s="8"/>
      <c r="N10" s="8"/>
      <c r="O10" s="76"/>
      <c r="P10" s="7"/>
      <c r="Q10" s="49"/>
      <c r="R10" s="17" t="s">
        <v>70</v>
      </c>
      <c r="S10" s="19">
        <f>INDEX(固定資本!AL6:AL21,DATA!AM3,1)</f>
        <v>133040.14530148212</v>
      </c>
      <c r="T10" s="12" t="s">
        <v>78</v>
      </c>
      <c r="U10" s="12"/>
      <c r="V10" s="12"/>
      <c r="W10" s="48"/>
      <c r="X10" s="5"/>
    </row>
    <row r="11" spans="1:24">
      <c r="A11" s="2"/>
      <c r="B11" s="90"/>
      <c r="C11" s="104" t="s">
        <v>86</v>
      </c>
      <c r="D11" s="91"/>
      <c r="E11" s="7"/>
      <c r="F11" s="82"/>
      <c r="G11" s="6"/>
      <c r="H11" s="83" t="s">
        <v>28</v>
      </c>
      <c r="I11" s="7"/>
      <c r="J11" s="74"/>
      <c r="K11" s="8"/>
      <c r="L11" s="9" t="s">
        <v>48</v>
      </c>
      <c r="M11" s="8"/>
      <c r="N11" s="8" t="str">
        <f>IF(J30=1,"整地費","")</f>
        <v>整地費</v>
      </c>
      <c r="O11" s="76"/>
      <c r="P11" s="7"/>
      <c r="Q11" s="52"/>
      <c r="R11" s="53"/>
      <c r="S11" s="53"/>
      <c r="T11" s="53"/>
      <c r="U11" s="53"/>
      <c r="V11" s="53"/>
      <c r="W11" s="54"/>
      <c r="X11" s="5"/>
    </row>
    <row r="12" spans="1:24">
      <c r="A12" s="2"/>
      <c r="B12" s="90"/>
      <c r="C12" s="35"/>
      <c r="D12" s="105">
        <f>N7</f>
        <v>0</v>
      </c>
      <c r="E12" s="7"/>
      <c r="F12" s="82"/>
      <c r="G12" s="6"/>
      <c r="H12" s="83" t="s">
        <v>29</v>
      </c>
      <c r="I12" s="7"/>
      <c r="J12" s="74"/>
      <c r="K12" s="8"/>
      <c r="L12" s="8"/>
      <c r="M12" s="8"/>
      <c r="N12" s="8" t="str">
        <f>IF(J30=1,"土盛体積","")</f>
        <v>土盛体積</v>
      </c>
      <c r="O12" s="76"/>
      <c r="P12" s="7"/>
      <c r="Q12" s="43">
        <v>3</v>
      </c>
      <c r="R12" s="37" t="s">
        <v>79</v>
      </c>
      <c r="S12" s="20"/>
      <c r="T12" s="20"/>
      <c r="U12" s="20"/>
      <c r="V12" s="20"/>
      <c r="W12" s="42"/>
      <c r="X12" s="5"/>
    </row>
    <row r="13" spans="1:24">
      <c r="A13" s="2"/>
      <c r="B13" s="90"/>
      <c r="C13" s="104" t="s">
        <v>87</v>
      </c>
      <c r="D13" s="91"/>
      <c r="E13" s="7"/>
      <c r="F13" s="82"/>
      <c r="G13" s="6"/>
      <c r="H13" s="83" t="s">
        <v>30</v>
      </c>
      <c r="I13" s="7"/>
      <c r="J13" s="74"/>
      <c r="K13" s="8"/>
      <c r="L13" s="8"/>
      <c r="M13" s="8"/>
      <c r="N13" s="98"/>
      <c r="O13" s="77" t="str">
        <f>IF(J30=1," m3","")</f>
        <v xml:space="preserve"> m3</v>
      </c>
      <c r="P13" s="7"/>
      <c r="Q13" s="40"/>
      <c r="R13" s="20"/>
      <c r="S13" s="20"/>
      <c r="T13" s="20"/>
      <c r="U13" s="20"/>
      <c r="V13" s="23">
        <f>IF(V16="",S16,V16)</f>
        <v>0</v>
      </c>
      <c r="W13" s="41" t="s">
        <v>77</v>
      </c>
      <c r="X13" s="5"/>
    </row>
    <row r="14" spans="1:24">
      <c r="A14" s="2"/>
      <c r="B14" s="90"/>
      <c r="C14" s="35"/>
      <c r="D14" s="105">
        <f>V4</f>
        <v>0</v>
      </c>
      <c r="E14" s="7"/>
      <c r="F14" s="82"/>
      <c r="G14" s="6"/>
      <c r="H14" s="83" t="s">
        <v>31</v>
      </c>
      <c r="I14" s="7"/>
      <c r="J14" s="74"/>
      <c r="K14" s="8"/>
      <c r="L14" s="8"/>
      <c r="M14" s="8"/>
      <c r="N14" s="8" t="str">
        <f>IF(J30=1,"土止め擁壁面積","")</f>
        <v>土止め擁壁面積</v>
      </c>
      <c r="O14" s="76"/>
      <c r="P14" s="7"/>
      <c r="Q14" s="40"/>
      <c r="R14" s="20"/>
      <c r="S14" s="20"/>
      <c r="T14" s="20"/>
      <c r="U14" s="20"/>
      <c r="V14" s="20"/>
      <c r="W14" s="42"/>
      <c r="X14" s="5"/>
    </row>
    <row r="15" spans="1:24">
      <c r="A15" s="2"/>
      <c r="B15" s="90"/>
      <c r="C15" s="104" t="s">
        <v>88</v>
      </c>
      <c r="D15" s="91"/>
      <c r="E15" s="7"/>
      <c r="F15" s="82"/>
      <c r="G15" s="6"/>
      <c r="H15" s="83" t="s">
        <v>32</v>
      </c>
      <c r="I15" s="7"/>
      <c r="J15" s="74"/>
      <c r="K15" s="8"/>
      <c r="L15" s="8"/>
      <c r="M15" s="8"/>
      <c r="N15" s="98"/>
      <c r="O15" s="76" t="str">
        <f>IF(J30=1," m2","")</f>
        <v xml:space="preserve"> m2</v>
      </c>
      <c r="P15" s="7"/>
      <c r="Q15" s="40"/>
      <c r="R15" s="20"/>
      <c r="S15" s="21" t="s">
        <v>74</v>
      </c>
      <c r="T15" s="20"/>
      <c r="U15" s="20"/>
      <c r="V15" s="21" t="s">
        <v>75</v>
      </c>
      <c r="W15" s="42"/>
      <c r="X15" s="5"/>
    </row>
    <row r="16" spans="1:24">
      <c r="A16" s="2"/>
      <c r="B16" s="90"/>
      <c r="C16" s="35"/>
      <c r="D16" s="105">
        <f>V13</f>
        <v>0</v>
      </c>
      <c r="E16" s="7"/>
      <c r="F16" s="82"/>
      <c r="G16" s="6"/>
      <c r="H16" s="83" t="s">
        <v>33</v>
      </c>
      <c r="I16" s="7"/>
      <c r="J16" s="74"/>
      <c r="K16" s="8"/>
      <c r="L16" s="8"/>
      <c r="M16" s="8"/>
      <c r="N16" s="28">
        <f>IF(J30=1,(IF(N30=TRUE,N4*固定資本!AW6,0)+IFERROR(N13*固定資本!AW9,0)+IFERROR(N15*固定資本!AW10,0))/1000,N4*INDEX(固定資本!AW11:AW16,J28,1)/1000)</f>
        <v>0</v>
      </c>
      <c r="O16" s="76"/>
      <c r="P16" s="7"/>
      <c r="Q16" s="40"/>
      <c r="R16" s="20"/>
      <c r="S16" s="23">
        <f>V4*INDEX(固定資本!AK6:AK21,DATA!AM3,1)</f>
        <v>0</v>
      </c>
      <c r="T16" s="22" t="s">
        <v>77</v>
      </c>
      <c r="U16" s="20"/>
      <c r="V16" s="98"/>
      <c r="W16" s="41" t="s">
        <v>77</v>
      </c>
      <c r="X16" s="5"/>
    </row>
    <row r="17" spans="1:24">
      <c r="A17" s="2"/>
      <c r="B17" s="90"/>
      <c r="C17" s="104" t="s">
        <v>89</v>
      </c>
      <c r="D17" s="91"/>
      <c r="E17" s="7"/>
      <c r="F17" s="82"/>
      <c r="G17" s="6"/>
      <c r="H17" s="83" t="s">
        <v>34</v>
      </c>
      <c r="I17" s="7"/>
      <c r="J17" s="74"/>
      <c r="K17" s="8"/>
      <c r="L17" s="9" t="s">
        <v>47</v>
      </c>
      <c r="M17" s="8"/>
      <c r="N17" s="10" t="str">
        <f>IF(J30=2,"　３度超　　５度以下","")</f>
        <v/>
      </c>
      <c r="O17" s="76"/>
      <c r="P17" s="7"/>
      <c r="Q17" s="40"/>
      <c r="R17" s="20"/>
      <c r="S17" s="20"/>
      <c r="T17" s="20"/>
      <c r="U17" s="20"/>
      <c r="V17" s="20"/>
      <c r="W17" s="42"/>
      <c r="X17" s="5"/>
    </row>
    <row r="18" spans="1:24">
      <c r="A18" s="2"/>
      <c r="B18" s="90"/>
      <c r="C18" s="34"/>
      <c r="D18" s="105">
        <f>V19</f>
        <v>6349.2534636753626</v>
      </c>
      <c r="E18" s="7"/>
      <c r="F18" s="82"/>
      <c r="G18" s="6"/>
      <c r="H18" s="83" t="s">
        <v>35</v>
      </c>
      <c r="I18" s="7"/>
      <c r="J18" s="74"/>
      <c r="K18" s="8"/>
      <c r="L18" s="8"/>
      <c r="M18" s="8"/>
      <c r="N18" s="11" t="str">
        <f>IF(J30=2,"　５度超　１０度以下","")</f>
        <v/>
      </c>
      <c r="O18" s="76"/>
      <c r="P18" s="7"/>
      <c r="Q18" s="61">
        <v>4</v>
      </c>
      <c r="R18" s="62" t="s">
        <v>80</v>
      </c>
      <c r="S18" s="63"/>
      <c r="T18" s="63"/>
      <c r="U18" s="63"/>
      <c r="V18" s="63"/>
      <c r="W18" s="64"/>
      <c r="X18" s="5"/>
    </row>
    <row r="19" spans="1:24">
      <c r="A19" s="2"/>
      <c r="B19" s="90"/>
      <c r="C19" s="34"/>
      <c r="D19" s="91"/>
      <c r="E19" s="7"/>
      <c r="F19" s="82"/>
      <c r="G19" s="6"/>
      <c r="H19" s="83" t="s">
        <v>36</v>
      </c>
      <c r="I19" s="7"/>
      <c r="J19" s="74"/>
      <c r="K19" s="8"/>
      <c r="L19" s="8"/>
      <c r="M19" s="8"/>
      <c r="N19" s="11" t="str">
        <f>IF(J30=2,"１０度超　１５度以下","")</f>
        <v/>
      </c>
      <c r="O19" s="76"/>
      <c r="P19" s="7"/>
      <c r="Q19" s="65"/>
      <c r="R19" s="29"/>
      <c r="S19" s="29"/>
      <c r="T19" s="29"/>
      <c r="U19" s="29"/>
      <c r="V19" s="18">
        <f>IF(V24="",S22,S22/S24*V24)</f>
        <v>6349.2534636753626</v>
      </c>
      <c r="W19" s="66" t="s">
        <v>77</v>
      </c>
      <c r="X19" s="5"/>
    </row>
    <row r="20" spans="1:24">
      <c r="A20" s="2"/>
      <c r="B20" s="90"/>
      <c r="C20" s="34"/>
      <c r="D20" s="91"/>
      <c r="E20" s="7"/>
      <c r="F20" s="82"/>
      <c r="G20" s="6"/>
      <c r="H20" s="83" t="s">
        <v>37</v>
      </c>
      <c r="I20" s="7"/>
      <c r="J20" s="74"/>
      <c r="K20" s="8"/>
      <c r="L20" s="8"/>
      <c r="M20" s="8"/>
      <c r="N20" s="11" t="str">
        <f>IF($J$30=2,"１５度超　２０度以下","")</f>
        <v/>
      </c>
      <c r="O20" s="76"/>
      <c r="P20" s="7"/>
      <c r="Q20" s="65"/>
      <c r="R20" s="29"/>
      <c r="S20" s="29"/>
      <c r="T20" s="29"/>
      <c r="U20" s="29"/>
      <c r="V20" s="29"/>
      <c r="W20" s="67"/>
      <c r="X20" s="5"/>
    </row>
    <row r="21" spans="1:24" ht="13.5" thickBot="1">
      <c r="A21" s="2"/>
      <c r="B21" s="92"/>
      <c r="C21" s="93"/>
      <c r="D21" s="94"/>
      <c r="E21" s="7"/>
      <c r="F21" s="84"/>
      <c r="G21" s="85"/>
      <c r="H21" s="86"/>
      <c r="I21" s="7"/>
      <c r="J21" s="74"/>
      <c r="K21" s="8"/>
      <c r="L21" s="8"/>
      <c r="M21" s="8"/>
      <c r="N21" s="11" t="str">
        <f>IF($J$30=2,"２０度超　２５度以下","")</f>
        <v/>
      </c>
      <c r="O21" s="76"/>
      <c r="P21" s="7"/>
      <c r="Q21" s="65"/>
      <c r="R21" s="551" t="s">
        <v>81</v>
      </c>
      <c r="S21" s="29"/>
      <c r="T21" s="29"/>
      <c r="U21" s="29"/>
      <c r="V21" s="29"/>
      <c r="W21" s="67"/>
      <c r="X21" s="5"/>
    </row>
    <row r="22" spans="1:24" ht="13.5" thickTop="1">
      <c r="B22" s="36"/>
      <c r="C22" s="36"/>
      <c r="D22" s="36"/>
      <c r="E22" s="3"/>
      <c r="F22" s="36"/>
      <c r="G22" s="36"/>
      <c r="H22" s="36"/>
      <c r="I22" s="103"/>
      <c r="J22" s="113"/>
      <c r="K22" s="112"/>
      <c r="L22" s="112"/>
      <c r="M22" s="112"/>
      <c r="N22" s="11" t="str">
        <f>IF($J$30=2,"２５度超　３０度以下","")</f>
        <v/>
      </c>
      <c r="O22" s="114"/>
      <c r="P22" s="7"/>
      <c r="Q22" s="65"/>
      <c r="R22" s="551"/>
      <c r="S22" s="18">
        <f>INDEX(係数!AD6:AD21,F30,1)</f>
        <v>6349.2534636753626</v>
      </c>
      <c r="T22" s="30" t="s">
        <v>77</v>
      </c>
      <c r="U22" s="29"/>
      <c r="V22" s="29"/>
      <c r="W22" s="67"/>
      <c r="X22" s="5"/>
    </row>
    <row r="23" spans="1:24" ht="13.5" customHeight="1">
      <c r="A23" s="2"/>
      <c r="I23" s="2"/>
      <c r="J23" s="115"/>
      <c r="K23" s="116"/>
      <c r="L23" s="116"/>
      <c r="M23" s="116"/>
      <c r="N23" s="116"/>
      <c r="O23" s="117"/>
      <c r="P23" s="7"/>
      <c r="Q23" s="65"/>
      <c r="R23" s="551" t="s">
        <v>82</v>
      </c>
      <c r="S23" s="29"/>
      <c r="T23" s="29"/>
      <c r="U23" s="29"/>
      <c r="V23" s="33" t="s">
        <v>75</v>
      </c>
      <c r="W23" s="67"/>
      <c r="X23" s="5"/>
    </row>
    <row r="24" spans="1:24" ht="13.5" thickBot="1">
      <c r="A24" s="2"/>
      <c r="J24" s="4"/>
      <c r="K24" s="4"/>
      <c r="L24" s="4"/>
      <c r="M24" s="4"/>
      <c r="N24" s="4"/>
      <c r="O24" s="4"/>
      <c r="P24" s="7"/>
      <c r="Q24" s="65"/>
      <c r="R24" s="551"/>
      <c r="S24" s="32">
        <f>INDEX(係数!AE6:AE21,F30,1)</f>
        <v>1.8377523032562064</v>
      </c>
      <c r="T24" s="31" t="s">
        <v>83</v>
      </c>
      <c r="U24" s="29"/>
      <c r="V24" s="100"/>
      <c r="W24" s="68" t="s">
        <v>83</v>
      </c>
      <c r="X24" s="5"/>
    </row>
    <row r="25" spans="1:24" ht="15.5">
      <c r="A25" s="2"/>
      <c r="B25" s="106"/>
      <c r="C25" s="541" t="s">
        <v>193</v>
      </c>
      <c r="D25" s="541"/>
      <c r="E25" s="541"/>
      <c r="F25" s="541"/>
      <c r="G25" s="541"/>
      <c r="H25" s="541"/>
      <c r="I25" s="541"/>
      <c r="J25" s="541"/>
      <c r="K25" s="541"/>
      <c r="L25" s="541"/>
      <c r="M25" s="541"/>
      <c r="N25" s="541"/>
      <c r="O25" s="542"/>
      <c r="P25" s="7"/>
      <c r="Q25" s="65"/>
      <c r="R25" s="29"/>
      <c r="S25" s="29"/>
      <c r="T25" s="29"/>
      <c r="U25" s="29"/>
      <c r="V25" s="109" t="s">
        <v>197</v>
      </c>
      <c r="W25" s="67"/>
      <c r="X25" s="5"/>
    </row>
    <row r="26" spans="1:24">
      <c r="B26" s="107"/>
      <c r="C26" s="543"/>
      <c r="D26" s="543"/>
      <c r="E26" s="543"/>
      <c r="F26" s="543"/>
      <c r="G26" s="543"/>
      <c r="H26" s="543"/>
      <c r="I26" s="543"/>
      <c r="J26" s="543"/>
      <c r="K26" s="543"/>
      <c r="L26" s="543"/>
      <c r="M26" s="543"/>
      <c r="N26" s="543"/>
      <c r="O26" s="544"/>
      <c r="P26" s="2"/>
      <c r="Q26" s="110"/>
      <c r="R26" s="547" t="s">
        <v>198</v>
      </c>
      <c r="S26" s="547"/>
      <c r="T26" s="547"/>
      <c r="U26" s="547"/>
      <c r="V26" s="547"/>
      <c r="W26" s="548"/>
      <c r="X26" s="5"/>
    </row>
    <row r="27" spans="1:24" ht="13.5" thickBot="1">
      <c r="B27" s="108"/>
      <c r="C27" s="545"/>
      <c r="D27" s="545"/>
      <c r="E27" s="545"/>
      <c r="F27" s="545"/>
      <c r="G27" s="545"/>
      <c r="H27" s="545"/>
      <c r="I27" s="545"/>
      <c r="J27" s="545"/>
      <c r="K27" s="545"/>
      <c r="L27" s="545"/>
      <c r="M27" s="545"/>
      <c r="N27" s="545"/>
      <c r="O27" s="546"/>
      <c r="P27" s="2"/>
      <c r="Q27" s="111"/>
      <c r="R27" s="549"/>
      <c r="S27" s="549"/>
      <c r="T27" s="549"/>
      <c r="U27" s="549"/>
      <c r="V27" s="549"/>
      <c r="W27" s="550"/>
      <c r="X27" s="5"/>
    </row>
    <row r="28" spans="1:24">
      <c r="J28" s="102">
        <v>1</v>
      </c>
      <c r="L28" s="102" t="b">
        <v>0</v>
      </c>
      <c r="Q28" s="4"/>
      <c r="R28" s="4"/>
      <c r="S28" s="4"/>
      <c r="T28" s="4"/>
      <c r="U28" s="4"/>
      <c r="V28" s="4"/>
      <c r="W28" s="4"/>
    </row>
    <row r="30" spans="1:24">
      <c r="F30" s="101">
        <v>1</v>
      </c>
      <c r="J30" s="101">
        <v>1</v>
      </c>
      <c r="L30" s="101" t="b">
        <v>0</v>
      </c>
      <c r="N30" s="101" t="b">
        <v>0</v>
      </c>
    </row>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sheetData>
  <sheetProtection sheet="1" objects="1" scenarios="1"/>
  <mergeCells count="6">
    <mergeCell ref="C25:O27"/>
    <mergeCell ref="R26:W27"/>
    <mergeCell ref="R21:R22"/>
    <mergeCell ref="R23:R24"/>
    <mergeCell ref="C6:D6"/>
    <mergeCell ref="C9:D9"/>
  </mergeCells>
  <phoneticPr fontId="27"/>
  <conditionalFormatting sqref="N13">
    <cfRule type="expression" dxfId="1" priority="7">
      <formula>J30=2</formula>
    </cfRule>
  </conditionalFormatting>
  <conditionalFormatting sqref="N15">
    <cfRule type="expression" dxfId="0" priority="8">
      <formula>J30=2</formula>
    </cfRule>
  </conditionalFormatting>
  <pageMargins left="0.7" right="0.7" top="0.75" bottom="0.75" header="0.3" footer="0.3"/>
  <pageSetup paperSize="9" scale="81" orientation="landscape" r:id="rId1"/>
  <ignoredErrors>
    <ignoredError sqref="S22 S24"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locked="0" defaultSize="0" autoFill="0" autoLine="0" autoPict="0">
                <anchor moveWithCells="1">
                  <from>
                    <xdr:col>6</xdr:col>
                    <xdr:colOff>57150</xdr:colOff>
                    <xdr:row>4</xdr:row>
                    <xdr:rowOff>12700</xdr:rowOff>
                  </from>
                  <to>
                    <xdr:col>6</xdr:col>
                    <xdr:colOff>298450</xdr:colOff>
                    <xdr:row>5</xdr:row>
                    <xdr:rowOff>50800</xdr:rowOff>
                  </to>
                </anchor>
              </controlPr>
            </control>
          </mc:Choice>
        </mc:AlternateContent>
        <mc:AlternateContent xmlns:mc="http://schemas.openxmlformats.org/markup-compatibility/2006">
          <mc:Choice Requires="x14">
            <control shapeId="5129" r:id="rId5" name="Option Button 9">
              <controlPr locked="0" defaultSize="0" autoFill="0" autoLine="0" autoPict="0">
                <anchor moveWithCells="1">
                  <from>
                    <xdr:col>6</xdr:col>
                    <xdr:colOff>57150</xdr:colOff>
                    <xdr:row>5</xdr:row>
                    <xdr:rowOff>0</xdr:rowOff>
                  </from>
                  <to>
                    <xdr:col>6</xdr:col>
                    <xdr:colOff>298450</xdr:colOff>
                    <xdr:row>6</xdr:row>
                    <xdr:rowOff>38100</xdr:rowOff>
                  </to>
                </anchor>
              </controlPr>
            </control>
          </mc:Choice>
        </mc:AlternateContent>
        <mc:AlternateContent xmlns:mc="http://schemas.openxmlformats.org/markup-compatibility/2006">
          <mc:Choice Requires="x14">
            <control shapeId="5130" r:id="rId6" name="Option Button 10">
              <controlPr locked="0" defaultSize="0" autoFill="0" autoLine="0" autoPict="0">
                <anchor moveWithCells="1">
                  <from>
                    <xdr:col>6</xdr:col>
                    <xdr:colOff>57150</xdr:colOff>
                    <xdr:row>6</xdr:row>
                    <xdr:rowOff>0</xdr:rowOff>
                  </from>
                  <to>
                    <xdr:col>6</xdr:col>
                    <xdr:colOff>298450</xdr:colOff>
                    <xdr:row>7</xdr:row>
                    <xdr:rowOff>12700</xdr:rowOff>
                  </to>
                </anchor>
              </controlPr>
            </control>
          </mc:Choice>
        </mc:AlternateContent>
        <mc:AlternateContent xmlns:mc="http://schemas.openxmlformats.org/markup-compatibility/2006">
          <mc:Choice Requires="x14">
            <control shapeId="5131" r:id="rId7" name="Option Button 11">
              <controlPr locked="0" defaultSize="0" autoFill="0" autoLine="0" autoPict="0">
                <anchor moveWithCells="1">
                  <from>
                    <xdr:col>6</xdr:col>
                    <xdr:colOff>57150</xdr:colOff>
                    <xdr:row>7</xdr:row>
                    <xdr:rowOff>0</xdr:rowOff>
                  </from>
                  <to>
                    <xdr:col>6</xdr:col>
                    <xdr:colOff>298450</xdr:colOff>
                    <xdr:row>8</xdr:row>
                    <xdr:rowOff>38100</xdr:rowOff>
                  </to>
                </anchor>
              </controlPr>
            </control>
          </mc:Choice>
        </mc:AlternateContent>
        <mc:AlternateContent xmlns:mc="http://schemas.openxmlformats.org/markup-compatibility/2006">
          <mc:Choice Requires="x14">
            <control shapeId="5132" r:id="rId8" name="Option Button 12">
              <controlPr locked="0" defaultSize="0" autoFill="0" autoLine="0" autoPict="0">
                <anchor moveWithCells="1">
                  <from>
                    <xdr:col>6</xdr:col>
                    <xdr:colOff>57150</xdr:colOff>
                    <xdr:row>8</xdr:row>
                    <xdr:rowOff>0</xdr:rowOff>
                  </from>
                  <to>
                    <xdr:col>6</xdr:col>
                    <xdr:colOff>298450</xdr:colOff>
                    <xdr:row>9</xdr:row>
                    <xdr:rowOff>38100</xdr:rowOff>
                  </to>
                </anchor>
              </controlPr>
            </control>
          </mc:Choice>
        </mc:AlternateContent>
        <mc:AlternateContent xmlns:mc="http://schemas.openxmlformats.org/markup-compatibility/2006">
          <mc:Choice Requires="x14">
            <control shapeId="5133" r:id="rId9" name="Option Button 13">
              <controlPr defaultSize="0" autoFill="0" autoLine="0" autoPict="0">
                <anchor moveWithCells="1">
                  <from>
                    <xdr:col>6</xdr:col>
                    <xdr:colOff>57150</xdr:colOff>
                    <xdr:row>9</xdr:row>
                    <xdr:rowOff>0</xdr:rowOff>
                  </from>
                  <to>
                    <xdr:col>6</xdr:col>
                    <xdr:colOff>298450</xdr:colOff>
                    <xdr:row>10</xdr:row>
                    <xdr:rowOff>12700</xdr:rowOff>
                  </to>
                </anchor>
              </controlPr>
            </control>
          </mc:Choice>
        </mc:AlternateContent>
        <mc:AlternateContent xmlns:mc="http://schemas.openxmlformats.org/markup-compatibility/2006">
          <mc:Choice Requires="x14">
            <control shapeId="5134" r:id="rId10" name="Option Button 14">
              <controlPr defaultSize="0" autoFill="0" autoLine="0" autoPict="0">
                <anchor moveWithCells="1">
                  <from>
                    <xdr:col>6</xdr:col>
                    <xdr:colOff>57150</xdr:colOff>
                    <xdr:row>10</xdr:row>
                    <xdr:rowOff>0</xdr:rowOff>
                  </from>
                  <to>
                    <xdr:col>6</xdr:col>
                    <xdr:colOff>298450</xdr:colOff>
                    <xdr:row>11</xdr:row>
                    <xdr:rowOff>38100</xdr:rowOff>
                  </to>
                </anchor>
              </controlPr>
            </control>
          </mc:Choice>
        </mc:AlternateContent>
        <mc:AlternateContent xmlns:mc="http://schemas.openxmlformats.org/markup-compatibility/2006">
          <mc:Choice Requires="x14">
            <control shapeId="5135" r:id="rId11" name="Option Button 15">
              <controlPr defaultSize="0" autoFill="0" autoLine="0" autoPict="0">
                <anchor moveWithCells="1">
                  <from>
                    <xdr:col>6</xdr:col>
                    <xdr:colOff>57150</xdr:colOff>
                    <xdr:row>11</xdr:row>
                    <xdr:rowOff>0</xdr:rowOff>
                  </from>
                  <to>
                    <xdr:col>6</xdr:col>
                    <xdr:colOff>298450</xdr:colOff>
                    <xdr:row>12</xdr:row>
                    <xdr:rowOff>38100</xdr:rowOff>
                  </to>
                </anchor>
              </controlPr>
            </control>
          </mc:Choice>
        </mc:AlternateContent>
        <mc:AlternateContent xmlns:mc="http://schemas.openxmlformats.org/markup-compatibility/2006">
          <mc:Choice Requires="x14">
            <control shapeId="5136" r:id="rId12" name="Option Button 16">
              <controlPr defaultSize="0" autoFill="0" autoLine="0" autoPict="0">
                <anchor moveWithCells="1">
                  <from>
                    <xdr:col>6</xdr:col>
                    <xdr:colOff>57150</xdr:colOff>
                    <xdr:row>12</xdr:row>
                    <xdr:rowOff>0</xdr:rowOff>
                  </from>
                  <to>
                    <xdr:col>6</xdr:col>
                    <xdr:colOff>298450</xdr:colOff>
                    <xdr:row>13</xdr:row>
                    <xdr:rowOff>38100</xdr:rowOff>
                  </to>
                </anchor>
              </controlPr>
            </control>
          </mc:Choice>
        </mc:AlternateContent>
        <mc:AlternateContent xmlns:mc="http://schemas.openxmlformats.org/markup-compatibility/2006">
          <mc:Choice Requires="x14">
            <control shapeId="5137" r:id="rId13" name="Option Button 17">
              <controlPr defaultSize="0" autoFill="0" autoLine="0" autoPict="0">
                <anchor moveWithCells="1">
                  <from>
                    <xdr:col>6</xdr:col>
                    <xdr:colOff>57150</xdr:colOff>
                    <xdr:row>13</xdr:row>
                    <xdr:rowOff>0</xdr:rowOff>
                  </from>
                  <to>
                    <xdr:col>6</xdr:col>
                    <xdr:colOff>298450</xdr:colOff>
                    <xdr:row>14</xdr:row>
                    <xdr:rowOff>38100</xdr:rowOff>
                  </to>
                </anchor>
              </controlPr>
            </control>
          </mc:Choice>
        </mc:AlternateContent>
        <mc:AlternateContent xmlns:mc="http://schemas.openxmlformats.org/markup-compatibility/2006">
          <mc:Choice Requires="x14">
            <control shapeId="5138" r:id="rId14" name="Option Button 18">
              <controlPr defaultSize="0" autoFill="0" autoLine="0" autoPict="0">
                <anchor moveWithCells="1">
                  <from>
                    <xdr:col>6</xdr:col>
                    <xdr:colOff>57150</xdr:colOff>
                    <xdr:row>14</xdr:row>
                    <xdr:rowOff>0</xdr:rowOff>
                  </from>
                  <to>
                    <xdr:col>6</xdr:col>
                    <xdr:colOff>298450</xdr:colOff>
                    <xdr:row>15</xdr:row>
                    <xdr:rowOff>38100</xdr:rowOff>
                  </to>
                </anchor>
              </controlPr>
            </control>
          </mc:Choice>
        </mc:AlternateContent>
        <mc:AlternateContent xmlns:mc="http://schemas.openxmlformats.org/markup-compatibility/2006">
          <mc:Choice Requires="x14">
            <control shapeId="5139" r:id="rId15" name="Option Button 19">
              <controlPr defaultSize="0" autoFill="0" autoLine="0" autoPict="0">
                <anchor moveWithCells="1">
                  <from>
                    <xdr:col>6</xdr:col>
                    <xdr:colOff>57150</xdr:colOff>
                    <xdr:row>15</xdr:row>
                    <xdr:rowOff>0</xdr:rowOff>
                  </from>
                  <to>
                    <xdr:col>6</xdr:col>
                    <xdr:colOff>298450</xdr:colOff>
                    <xdr:row>16</xdr:row>
                    <xdr:rowOff>38100</xdr:rowOff>
                  </to>
                </anchor>
              </controlPr>
            </control>
          </mc:Choice>
        </mc:AlternateContent>
        <mc:AlternateContent xmlns:mc="http://schemas.openxmlformats.org/markup-compatibility/2006">
          <mc:Choice Requires="x14">
            <control shapeId="5140" r:id="rId16" name="Option Button 20">
              <controlPr defaultSize="0" autoFill="0" autoLine="0" autoPict="0">
                <anchor moveWithCells="1">
                  <from>
                    <xdr:col>6</xdr:col>
                    <xdr:colOff>57150</xdr:colOff>
                    <xdr:row>16</xdr:row>
                    <xdr:rowOff>0</xdr:rowOff>
                  </from>
                  <to>
                    <xdr:col>6</xdr:col>
                    <xdr:colOff>298450</xdr:colOff>
                    <xdr:row>17</xdr:row>
                    <xdr:rowOff>38100</xdr:rowOff>
                  </to>
                </anchor>
              </controlPr>
            </control>
          </mc:Choice>
        </mc:AlternateContent>
        <mc:AlternateContent xmlns:mc="http://schemas.openxmlformats.org/markup-compatibility/2006">
          <mc:Choice Requires="x14">
            <control shapeId="5141" r:id="rId17" name="Option Button 21">
              <controlPr defaultSize="0" autoFill="0" autoLine="0" autoPict="0">
                <anchor moveWithCells="1">
                  <from>
                    <xdr:col>6</xdr:col>
                    <xdr:colOff>57150</xdr:colOff>
                    <xdr:row>17</xdr:row>
                    <xdr:rowOff>0</xdr:rowOff>
                  </from>
                  <to>
                    <xdr:col>6</xdr:col>
                    <xdr:colOff>298450</xdr:colOff>
                    <xdr:row>18</xdr:row>
                    <xdr:rowOff>38100</xdr:rowOff>
                  </to>
                </anchor>
              </controlPr>
            </control>
          </mc:Choice>
        </mc:AlternateContent>
        <mc:AlternateContent xmlns:mc="http://schemas.openxmlformats.org/markup-compatibility/2006">
          <mc:Choice Requires="x14">
            <control shapeId="5142" r:id="rId18" name="Option Button 22">
              <controlPr defaultSize="0" autoFill="0" autoLine="0" autoPict="0">
                <anchor moveWithCells="1">
                  <from>
                    <xdr:col>6</xdr:col>
                    <xdr:colOff>57150</xdr:colOff>
                    <xdr:row>18</xdr:row>
                    <xdr:rowOff>0</xdr:rowOff>
                  </from>
                  <to>
                    <xdr:col>6</xdr:col>
                    <xdr:colOff>298450</xdr:colOff>
                    <xdr:row>19</xdr:row>
                    <xdr:rowOff>38100</xdr:rowOff>
                  </to>
                </anchor>
              </controlPr>
            </control>
          </mc:Choice>
        </mc:AlternateContent>
        <mc:AlternateContent xmlns:mc="http://schemas.openxmlformats.org/markup-compatibility/2006">
          <mc:Choice Requires="x14">
            <control shapeId="5143" r:id="rId19" name="Option Button 23">
              <controlPr defaultSize="0" autoFill="0" autoLine="0" autoPict="0">
                <anchor moveWithCells="1">
                  <from>
                    <xdr:col>6</xdr:col>
                    <xdr:colOff>57150</xdr:colOff>
                    <xdr:row>19</xdr:row>
                    <xdr:rowOff>0</xdr:rowOff>
                  </from>
                  <to>
                    <xdr:col>6</xdr:col>
                    <xdr:colOff>298450</xdr:colOff>
                    <xdr:row>20</xdr:row>
                    <xdr:rowOff>38100</xdr:rowOff>
                  </to>
                </anchor>
              </controlPr>
            </control>
          </mc:Choice>
        </mc:AlternateContent>
        <mc:AlternateContent xmlns:mc="http://schemas.openxmlformats.org/markup-compatibility/2006">
          <mc:Choice Requires="x14">
            <control shapeId="5145" r:id="rId20" name="Group Box 25">
              <controlPr defaultSize="0" autoFill="0" autoPict="0">
                <anchor moveWithCells="1">
                  <from>
                    <xdr:col>5</xdr:col>
                    <xdr:colOff>355600</xdr:colOff>
                    <xdr:row>3</xdr:row>
                    <xdr:rowOff>57150</xdr:rowOff>
                  </from>
                  <to>
                    <xdr:col>8</xdr:col>
                    <xdr:colOff>0</xdr:colOff>
                    <xdr:row>24</xdr:row>
                    <xdr:rowOff>76200</xdr:rowOff>
                  </to>
                </anchor>
              </controlPr>
            </control>
          </mc:Choice>
        </mc:AlternateContent>
        <mc:AlternateContent xmlns:mc="http://schemas.openxmlformats.org/markup-compatibility/2006">
          <mc:Choice Requires="x14">
            <control shapeId="5146" r:id="rId21" name="Check Box 26">
              <controlPr defaultSize="0" autoFill="0" autoLine="0" autoPict="0">
                <anchor moveWithCells="1">
                  <from>
                    <xdr:col>10</xdr:col>
                    <xdr:colOff>69850</xdr:colOff>
                    <xdr:row>7</xdr:row>
                    <xdr:rowOff>12700</xdr:rowOff>
                  </from>
                  <to>
                    <xdr:col>10</xdr:col>
                    <xdr:colOff>298450</xdr:colOff>
                    <xdr:row>8</xdr:row>
                    <xdr:rowOff>50800</xdr:rowOff>
                  </to>
                </anchor>
              </controlPr>
            </control>
          </mc:Choice>
        </mc:AlternateContent>
        <mc:AlternateContent xmlns:mc="http://schemas.openxmlformats.org/markup-compatibility/2006">
          <mc:Choice Requires="x14">
            <control shapeId="5147" r:id="rId22" name="Check Box 27">
              <controlPr defaultSize="0" autoFill="0" autoLine="0" autoPict="0">
                <anchor moveWithCells="1">
                  <from>
                    <xdr:col>10</xdr:col>
                    <xdr:colOff>69850</xdr:colOff>
                    <xdr:row>8</xdr:row>
                    <xdr:rowOff>12700</xdr:rowOff>
                  </from>
                  <to>
                    <xdr:col>10</xdr:col>
                    <xdr:colOff>298450</xdr:colOff>
                    <xdr:row>9</xdr:row>
                    <xdr:rowOff>50800</xdr:rowOff>
                  </to>
                </anchor>
              </controlPr>
            </control>
          </mc:Choice>
        </mc:AlternateContent>
        <mc:AlternateContent xmlns:mc="http://schemas.openxmlformats.org/markup-compatibility/2006">
          <mc:Choice Requires="x14">
            <control shapeId="5148" r:id="rId23" name="Option Button 28">
              <controlPr defaultSize="0" autoFill="0" autoLine="0" autoPict="0">
                <anchor moveWithCells="1">
                  <from>
                    <xdr:col>10</xdr:col>
                    <xdr:colOff>50800</xdr:colOff>
                    <xdr:row>10</xdr:row>
                    <xdr:rowOff>12700</xdr:rowOff>
                  </from>
                  <to>
                    <xdr:col>10</xdr:col>
                    <xdr:colOff>323850</xdr:colOff>
                    <xdr:row>11</xdr:row>
                    <xdr:rowOff>31750</xdr:rowOff>
                  </to>
                </anchor>
              </controlPr>
            </control>
          </mc:Choice>
        </mc:AlternateContent>
        <mc:AlternateContent xmlns:mc="http://schemas.openxmlformats.org/markup-compatibility/2006">
          <mc:Choice Requires="x14">
            <control shapeId="5150" r:id="rId24" name="Group Box 30">
              <controlPr defaultSize="0" autoFill="0" autoPict="0">
                <anchor moveWithCells="1">
                  <from>
                    <xdr:col>9</xdr:col>
                    <xdr:colOff>342900</xdr:colOff>
                    <xdr:row>9</xdr:row>
                    <xdr:rowOff>76200</xdr:rowOff>
                  </from>
                  <to>
                    <xdr:col>11</xdr:col>
                    <xdr:colOff>895350</xdr:colOff>
                    <xdr:row>21</xdr:row>
                    <xdr:rowOff>12700</xdr:rowOff>
                  </to>
                </anchor>
              </controlPr>
            </control>
          </mc:Choice>
        </mc:AlternateContent>
        <mc:AlternateContent xmlns:mc="http://schemas.openxmlformats.org/markup-compatibility/2006">
          <mc:Choice Requires="x14">
            <control shapeId="5153" r:id="rId25" name="Check Box 33">
              <controlPr defaultSize="0" autoFill="0" autoLine="0" autoPict="0">
                <anchor moveWithCells="1">
                  <from>
                    <xdr:col>12</xdr:col>
                    <xdr:colOff>69850</xdr:colOff>
                    <xdr:row>10</xdr:row>
                    <xdr:rowOff>12700</xdr:rowOff>
                  </from>
                  <to>
                    <xdr:col>12</xdr:col>
                    <xdr:colOff>298450</xdr:colOff>
                    <xdr:row>11</xdr:row>
                    <xdr:rowOff>50800</xdr:rowOff>
                  </to>
                </anchor>
              </controlPr>
            </control>
          </mc:Choice>
        </mc:AlternateContent>
        <mc:AlternateContent xmlns:mc="http://schemas.openxmlformats.org/markup-compatibility/2006">
          <mc:Choice Requires="x14">
            <control shapeId="5154" r:id="rId26" name="Option Button 34">
              <controlPr defaultSize="0" autoFill="0" autoLine="0" autoPict="0">
                <anchor moveWithCells="1">
                  <from>
                    <xdr:col>10</xdr:col>
                    <xdr:colOff>50800</xdr:colOff>
                    <xdr:row>16</xdr:row>
                    <xdr:rowOff>12700</xdr:rowOff>
                  </from>
                  <to>
                    <xdr:col>10</xdr:col>
                    <xdr:colOff>323850</xdr:colOff>
                    <xdr:row>17</xdr:row>
                    <xdr:rowOff>31750</xdr:rowOff>
                  </to>
                </anchor>
              </controlPr>
            </control>
          </mc:Choice>
        </mc:AlternateContent>
        <mc:AlternateContent xmlns:mc="http://schemas.openxmlformats.org/markup-compatibility/2006">
          <mc:Choice Requires="x14">
            <control shapeId="5155" r:id="rId27" name="Option Button 35">
              <controlPr defaultSize="0" autoFill="0" autoLine="0" autoPict="0">
                <anchor moveWithCells="1">
                  <from>
                    <xdr:col>12</xdr:col>
                    <xdr:colOff>50800</xdr:colOff>
                    <xdr:row>16</xdr:row>
                    <xdr:rowOff>0</xdr:rowOff>
                  </from>
                  <to>
                    <xdr:col>12</xdr:col>
                    <xdr:colOff>317500</xdr:colOff>
                    <xdr:row>17</xdr:row>
                    <xdr:rowOff>31750</xdr:rowOff>
                  </to>
                </anchor>
              </controlPr>
            </control>
          </mc:Choice>
        </mc:AlternateContent>
        <mc:AlternateContent xmlns:mc="http://schemas.openxmlformats.org/markup-compatibility/2006">
          <mc:Choice Requires="x14">
            <control shapeId="5156" r:id="rId28" name="Option Button 36">
              <controlPr defaultSize="0" autoFill="0" autoLine="0" autoPict="0">
                <anchor moveWithCells="1">
                  <from>
                    <xdr:col>12</xdr:col>
                    <xdr:colOff>50800</xdr:colOff>
                    <xdr:row>17</xdr:row>
                    <xdr:rowOff>0</xdr:rowOff>
                  </from>
                  <to>
                    <xdr:col>12</xdr:col>
                    <xdr:colOff>317500</xdr:colOff>
                    <xdr:row>18</xdr:row>
                    <xdr:rowOff>31750</xdr:rowOff>
                  </to>
                </anchor>
              </controlPr>
            </control>
          </mc:Choice>
        </mc:AlternateContent>
        <mc:AlternateContent xmlns:mc="http://schemas.openxmlformats.org/markup-compatibility/2006">
          <mc:Choice Requires="x14">
            <control shapeId="5157" r:id="rId29" name="Option Button 37">
              <controlPr defaultSize="0" autoFill="0" autoLine="0" autoPict="0">
                <anchor moveWithCells="1">
                  <from>
                    <xdr:col>12</xdr:col>
                    <xdr:colOff>50800</xdr:colOff>
                    <xdr:row>18</xdr:row>
                    <xdr:rowOff>0</xdr:rowOff>
                  </from>
                  <to>
                    <xdr:col>12</xdr:col>
                    <xdr:colOff>317500</xdr:colOff>
                    <xdr:row>19</xdr:row>
                    <xdr:rowOff>31750</xdr:rowOff>
                  </to>
                </anchor>
              </controlPr>
            </control>
          </mc:Choice>
        </mc:AlternateContent>
        <mc:AlternateContent xmlns:mc="http://schemas.openxmlformats.org/markup-compatibility/2006">
          <mc:Choice Requires="x14">
            <control shapeId="5158" r:id="rId30" name="Option Button 38">
              <controlPr defaultSize="0" autoFill="0" autoLine="0" autoPict="0">
                <anchor moveWithCells="1">
                  <from>
                    <xdr:col>12</xdr:col>
                    <xdr:colOff>50800</xdr:colOff>
                    <xdr:row>19</xdr:row>
                    <xdr:rowOff>0</xdr:rowOff>
                  </from>
                  <to>
                    <xdr:col>12</xdr:col>
                    <xdr:colOff>317500</xdr:colOff>
                    <xdr:row>20</xdr:row>
                    <xdr:rowOff>31750</xdr:rowOff>
                  </to>
                </anchor>
              </controlPr>
            </control>
          </mc:Choice>
        </mc:AlternateContent>
        <mc:AlternateContent xmlns:mc="http://schemas.openxmlformats.org/markup-compatibility/2006">
          <mc:Choice Requires="x14">
            <control shapeId="5159" r:id="rId31" name="Group Box 39">
              <controlPr defaultSize="0" autoFill="0" autoPict="0">
                <anchor moveWithCells="1">
                  <from>
                    <xdr:col>11</xdr:col>
                    <xdr:colOff>1041400</xdr:colOff>
                    <xdr:row>15</xdr:row>
                    <xdr:rowOff>107950</xdr:rowOff>
                  </from>
                  <to>
                    <xdr:col>14</xdr:col>
                    <xdr:colOff>209550</xdr:colOff>
                    <xdr:row>23</xdr:row>
                    <xdr:rowOff>76200</xdr:rowOff>
                  </to>
                </anchor>
              </controlPr>
            </control>
          </mc:Choice>
        </mc:AlternateContent>
        <mc:AlternateContent xmlns:mc="http://schemas.openxmlformats.org/markup-compatibility/2006">
          <mc:Choice Requires="x14">
            <control shapeId="5160" r:id="rId32" name="Option Button 40">
              <controlPr defaultSize="0" autoFill="0" autoLine="0" autoPict="0">
                <anchor moveWithCells="1">
                  <from>
                    <xdr:col>12</xdr:col>
                    <xdr:colOff>50800</xdr:colOff>
                    <xdr:row>20</xdr:row>
                    <xdr:rowOff>0</xdr:rowOff>
                  </from>
                  <to>
                    <xdr:col>12</xdr:col>
                    <xdr:colOff>317500</xdr:colOff>
                    <xdr:row>21</xdr:row>
                    <xdr:rowOff>19050</xdr:rowOff>
                  </to>
                </anchor>
              </controlPr>
            </control>
          </mc:Choice>
        </mc:AlternateContent>
        <mc:AlternateContent xmlns:mc="http://schemas.openxmlformats.org/markup-compatibility/2006">
          <mc:Choice Requires="x14">
            <control shapeId="5161" r:id="rId33" name="Option Button 41">
              <controlPr defaultSize="0" autoFill="0" autoLine="0" autoPict="0">
                <anchor moveWithCells="1">
                  <from>
                    <xdr:col>12</xdr:col>
                    <xdr:colOff>50800</xdr:colOff>
                    <xdr:row>21</xdr:row>
                    <xdr:rowOff>0</xdr:rowOff>
                  </from>
                  <to>
                    <xdr:col>12</xdr:col>
                    <xdr:colOff>317500</xdr:colOff>
                    <xdr:row>22</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autoPageBreaks="0" fitToPage="1"/>
  </sheetPr>
  <dimension ref="A1:P135"/>
  <sheetViews>
    <sheetView showRowColHeaders="0" topLeftCell="A36" zoomScale="80" zoomScaleNormal="80" workbookViewId="0"/>
  </sheetViews>
  <sheetFormatPr defaultColWidth="9" defaultRowHeight="16.5"/>
  <cols>
    <col min="1" max="1" width="1.6328125" style="155" customWidth="1"/>
    <col min="2" max="3" width="4.6328125" style="155" customWidth="1"/>
    <col min="4" max="4" width="7.08984375" style="155" customWidth="1"/>
    <col min="5" max="13" width="11.6328125" style="155" customWidth="1"/>
    <col min="14" max="14" width="2.6328125" style="155" customWidth="1"/>
    <col min="15" max="16384" width="9" style="155"/>
  </cols>
  <sheetData>
    <row r="1" spans="1:16" ht="37.5" customHeight="1">
      <c r="B1" s="470"/>
      <c r="C1" s="471"/>
      <c r="D1" s="472"/>
      <c r="E1" s="269"/>
      <c r="F1" s="269"/>
      <c r="G1" s="269"/>
      <c r="H1" s="269"/>
      <c r="I1" s="269"/>
      <c r="J1" s="269"/>
    </row>
    <row r="2" spans="1:16" ht="7.5" customHeight="1">
      <c r="B2" s="473"/>
      <c r="C2" s="474"/>
      <c r="D2" s="475"/>
      <c r="E2" s="269"/>
      <c r="F2" s="269"/>
      <c r="G2" s="269"/>
      <c r="H2" s="269"/>
      <c r="I2" s="269"/>
      <c r="J2" s="269"/>
    </row>
    <row r="3" spans="1:16" ht="15.75" customHeight="1">
      <c r="E3" s="269"/>
      <c r="F3" s="283" t="s">
        <v>140</v>
      </c>
      <c r="G3" s="155" t="s">
        <v>141</v>
      </c>
      <c r="H3" s="269"/>
      <c r="I3" s="259"/>
      <c r="K3" s="476" t="s">
        <v>6</v>
      </c>
    </row>
    <row r="4" spans="1:16" ht="15.75" customHeight="1">
      <c r="E4" s="269"/>
      <c r="F4" s="283" t="s">
        <v>140</v>
      </c>
      <c r="G4" s="155" t="s">
        <v>142</v>
      </c>
      <c r="H4" s="269"/>
      <c r="I4" s="477"/>
      <c r="K4" s="506" t="s">
        <v>7</v>
      </c>
    </row>
    <row r="5" spans="1:16">
      <c r="E5" s="269"/>
      <c r="F5" s="269"/>
      <c r="G5" s="269"/>
      <c r="H5" s="269"/>
      <c r="J5" s="270"/>
      <c r="L5" s="589">
        <f ca="1">IF(K4="はい",TODAY(),"")</f>
        <v>46111</v>
      </c>
      <c r="M5" s="590"/>
    </row>
    <row r="6" spans="1:16" ht="16.5" customHeight="1">
      <c r="E6" s="269"/>
      <c r="F6" s="269"/>
      <c r="G6" s="269"/>
      <c r="H6" s="269"/>
      <c r="I6" s="278"/>
      <c r="J6" s="269"/>
      <c r="K6" s="269"/>
      <c r="P6" s="155" t="s">
        <v>356</v>
      </c>
    </row>
    <row r="7" spans="1:16" ht="17.25" customHeight="1">
      <c r="B7" s="259"/>
      <c r="C7" s="591"/>
      <c r="D7" s="592"/>
      <c r="E7" s="593" t="s">
        <v>358</v>
      </c>
      <c r="F7" s="594"/>
      <c r="G7" s="594"/>
      <c r="H7" s="594"/>
      <c r="I7" s="594"/>
      <c r="J7" s="594"/>
      <c r="K7" s="595"/>
      <c r="L7" s="274"/>
      <c r="P7" s="282"/>
    </row>
    <row r="8" spans="1:16" ht="17" thickBot="1">
      <c r="D8" s="259"/>
      <c r="E8" s="596"/>
      <c r="F8" s="597"/>
      <c r="G8" s="597"/>
      <c r="H8" s="597"/>
      <c r="I8" s="597"/>
      <c r="J8" s="597"/>
      <c r="K8" s="598"/>
    </row>
    <row r="9" spans="1:16">
      <c r="E9" s="270"/>
      <c r="F9" s="270"/>
      <c r="G9" s="270"/>
      <c r="H9" s="270"/>
      <c r="I9" s="270"/>
      <c r="J9" s="270"/>
      <c r="K9" s="270"/>
    </row>
    <row r="10" spans="1:16" ht="18">
      <c r="B10" s="259"/>
      <c r="C10" s="599" t="s">
        <v>143</v>
      </c>
      <c r="D10" s="600"/>
      <c r="L10" s="601" t="str">
        <f>"単位："&amp;+K3&amp;"、倍、人"</f>
        <v>単位：千円、倍、人</v>
      </c>
      <c r="M10" s="602"/>
    </row>
    <row r="11" spans="1:16" ht="6.75" customHeight="1">
      <c r="B11" s="269"/>
      <c r="C11" s="269"/>
      <c r="D11" s="269"/>
      <c r="E11" s="269"/>
      <c r="F11" s="269"/>
      <c r="G11" s="269"/>
      <c r="H11" s="269"/>
      <c r="I11" s="269"/>
      <c r="J11" s="269"/>
      <c r="L11" s="603"/>
      <c r="M11" s="604"/>
    </row>
    <row r="12" spans="1:16" s="482" customFormat="1" ht="34.5" customHeight="1">
      <c r="A12" s="478"/>
      <c r="B12" s="583"/>
      <c r="C12" s="585" t="s">
        <v>144</v>
      </c>
      <c r="D12" s="586"/>
      <c r="E12" s="479" t="s">
        <v>145</v>
      </c>
      <c r="F12" s="480" t="s">
        <v>120</v>
      </c>
      <c r="G12" s="480" t="s">
        <v>107</v>
      </c>
      <c r="H12" s="480" t="s">
        <v>115</v>
      </c>
      <c r="I12" s="479" t="s">
        <v>116</v>
      </c>
      <c r="J12" s="479" t="s">
        <v>146</v>
      </c>
      <c r="K12" s="479" t="s">
        <v>147</v>
      </c>
      <c r="L12" s="479" t="s">
        <v>148</v>
      </c>
      <c r="M12" s="479" t="s">
        <v>393</v>
      </c>
      <c r="N12" s="481"/>
    </row>
    <row r="13" spans="1:16" s="268" customFormat="1" ht="16.5" customHeight="1">
      <c r="A13" s="465"/>
      <c r="B13" s="584"/>
      <c r="C13" s="587"/>
      <c r="D13" s="588"/>
      <c r="E13" s="483" t="s">
        <v>149</v>
      </c>
      <c r="F13" s="484" t="s">
        <v>150</v>
      </c>
      <c r="G13" s="484" t="s">
        <v>151</v>
      </c>
      <c r="H13" s="483" t="s">
        <v>152</v>
      </c>
      <c r="I13" s="483" t="s">
        <v>153</v>
      </c>
      <c r="J13" s="483" t="s">
        <v>154</v>
      </c>
      <c r="K13" s="483" t="s">
        <v>155</v>
      </c>
      <c r="L13" s="483" t="s">
        <v>156</v>
      </c>
      <c r="M13" s="483" t="s">
        <v>157</v>
      </c>
      <c r="N13" s="433"/>
    </row>
    <row r="14" spans="1:16" ht="15" customHeight="1">
      <c r="A14" s="259"/>
      <c r="B14" s="576" t="s">
        <v>131</v>
      </c>
      <c r="C14" s="562" t="s">
        <v>158</v>
      </c>
      <c r="D14" s="564"/>
      <c r="E14" s="569">
        <f>造成波及!V26*1000/固定資本!$C$11</f>
        <v>0</v>
      </c>
      <c r="F14" s="569">
        <f>造成波及!V26*1000/固定資本!$C$11</f>
        <v>0</v>
      </c>
      <c r="G14" s="569">
        <f>造成波及!W26*1000/固定資本!$C$11</f>
        <v>0</v>
      </c>
      <c r="H14" s="569">
        <f>造成波及!X26*1000/固定資本!$C$11</f>
        <v>0</v>
      </c>
      <c r="I14" s="569">
        <f>SUM(F14:H14)</f>
        <v>0</v>
      </c>
      <c r="J14" s="574" t="str">
        <f>IFERROR(I14/E14,"-")</f>
        <v>-</v>
      </c>
      <c r="K14" s="574" t="str">
        <f>IFERROR(I14/F14,"-")</f>
        <v>-</v>
      </c>
      <c r="L14" s="569">
        <f>造成波及!AC26*1000/固定資本!$C$11</f>
        <v>0</v>
      </c>
      <c r="M14" s="485">
        <f>造成波及!AG26</f>
        <v>0</v>
      </c>
      <c r="N14" s="274"/>
    </row>
    <row r="15" spans="1:16" ht="15" customHeight="1">
      <c r="A15" s="259"/>
      <c r="B15" s="577"/>
      <c r="C15" s="581"/>
      <c r="D15" s="582"/>
      <c r="E15" s="570"/>
      <c r="F15" s="570"/>
      <c r="G15" s="570"/>
      <c r="H15" s="570"/>
      <c r="I15" s="570"/>
      <c r="J15" s="575"/>
      <c r="K15" s="575"/>
      <c r="L15" s="570"/>
      <c r="M15" s="486">
        <f>造成波及!AF26</f>
        <v>0</v>
      </c>
      <c r="N15" s="274"/>
    </row>
    <row r="16" spans="1:16" ht="15" customHeight="1">
      <c r="A16" s="259"/>
      <c r="B16" s="577"/>
      <c r="C16" s="562" t="s">
        <v>178</v>
      </c>
      <c r="D16" s="564"/>
      <c r="E16" s="569">
        <f>建築波及!V26*1000/固定資本!$C$11</f>
        <v>0</v>
      </c>
      <c r="F16" s="569">
        <f>建築波及!V26*1000/固定資本!$C$11</f>
        <v>0</v>
      </c>
      <c r="G16" s="569">
        <f>建築波及!W26*1000/固定資本!$C$11</f>
        <v>0</v>
      </c>
      <c r="H16" s="569">
        <f>建築波及!X26*1000/固定資本!$C$11</f>
        <v>0</v>
      </c>
      <c r="I16" s="569">
        <f t="shared" ref="I16:I22" si="0">SUM(F16:H16)</f>
        <v>0</v>
      </c>
      <c r="J16" s="574" t="str">
        <f>IFERROR(I16/E16,"-")</f>
        <v>-</v>
      </c>
      <c r="K16" s="574" t="str">
        <f>IFERROR(I16/F16,"-")</f>
        <v>-</v>
      </c>
      <c r="L16" s="569">
        <f>建築波及!AC26*1000/固定資本!$C$11</f>
        <v>0</v>
      </c>
      <c r="M16" s="485">
        <f>建築波及!AG26</f>
        <v>0</v>
      </c>
      <c r="N16" s="274"/>
    </row>
    <row r="17" spans="1:14" ht="15" customHeight="1">
      <c r="A17" s="259"/>
      <c r="B17" s="577"/>
      <c r="C17" s="581"/>
      <c r="D17" s="582"/>
      <c r="E17" s="570"/>
      <c r="F17" s="570"/>
      <c r="G17" s="570"/>
      <c r="H17" s="570"/>
      <c r="I17" s="570"/>
      <c r="J17" s="575"/>
      <c r="K17" s="575"/>
      <c r="L17" s="570"/>
      <c r="M17" s="486">
        <f>建築波及!AF26</f>
        <v>0</v>
      </c>
      <c r="N17" s="274"/>
    </row>
    <row r="18" spans="1:14" ht="15" customHeight="1">
      <c r="A18" s="259"/>
      <c r="B18" s="577"/>
      <c r="C18" s="562" t="s">
        <v>159</v>
      </c>
      <c r="D18" s="564"/>
      <c r="E18" s="569">
        <f>設備波及!D26*1000/固定資本!$C$11</f>
        <v>0</v>
      </c>
      <c r="F18" s="569">
        <f>設備波及!V26*1000/固定資本!$C$11</f>
        <v>0</v>
      </c>
      <c r="G18" s="569">
        <f>設備波及!W26*1000/固定資本!$C$11</f>
        <v>0</v>
      </c>
      <c r="H18" s="569">
        <f>設備波及!X26*1000/固定資本!$C$11</f>
        <v>0</v>
      </c>
      <c r="I18" s="569">
        <f t="shared" si="0"/>
        <v>0</v>
      </c>
      <c r="J18" s="574" t="str">
        <f>IFERROR(I18/E18,"-")</f>
        <v>-</v>
      </c>
      <c r="K18" s="574" t="str">
        <f>IFERROR(I18/F18,"-")</f>
        <v>-</v>
      </c>
      <c r="L18" s="569">
        <f>設備波及!AC26*1000/固定資本!$C$11</f>
        <v>0</v>
      </c>
      <c r="M18" s="485">
        <f>設備波及!AG26</f>
        <v>0</v>
      </c>
      <c r="N18" s="274"/>
    </row>
    <row r="19" spans="1:14" ht="15" customHeight="1">
      <c r="A19" s="259"/>
      <c r="B19" s="578"/>
      <c r="C19" s="581"/>
      <c r="D19" s="582"/>
      <c r="E19" s="570"/>
      <c r="F19" s="570"/>
      <c r="G19" s="570"/>
      <c r="H19" s="570"/>
      <c r="I19" s="570"/>
      <c r="J19" s="575"/>
      <c r="K19" s="575"/>
      <c r="L19" s="570"/>
      <c r="M19" s="486">
        <f>設備波及!AF26</f>
        <v>0</v>
      </c>
      <c r="N19" s="274"/>
    </row>
    <row r="20" spans="1:14" ht="15" customHeight="1">
      <c r="A20" s="259"/>
      <c r="B20" s="579"/>
      <c r="C20" s="561" t="s">
        <v>121</v>
      </c>
      <c r="D20" s="561"/>
      <c r="E20" s="571">
        <f>SUBTOTAL(109,E14:E18)</f>
        <v>0</v>
      </c>
      <c r="F20" s="571">
        <f t="shared" ref="F20:I20" si="1">SUBTOTAL(109,F14:F18)</f>
        <v>0</v>
      </c>
      <c r="G20" s="571">
        <f t="shared" si="1"/>
        <v>0</v>
      </c>
      <c r="H20" s="571">
        <f t="shared" si="1"/>
        <v>0</v>
      </c>
      <c r="I20" s="571">
        <f t="shared" si="1"/>
        <v>0</v>
      </c>
      <c r="J20" s="574" t="str">
        <f>IFERROR(I20/E20,"-")</f>
        <v>-</v>
      </c>
      <c r="K20" s="574" t="str">
        <f>IFERROR(I20/F20,"-")</f>
        <v>-</v>
      </c>
      <c r="L20" s="571">
        <f t="shared" ref="L20" si="2">SUBTOTAL(109,L14:L18)</f>
        <v>0</v>
      </c>
      <c r="M20" s="485">
        <f>M14+M16+M18</f>
        <v>0</v>
      </c>
      <c r="N20" s="274"/>
    </row>
    <row r="21" spans="1:14" ht="15" customHeight="1">
      <c r="A21" s="259"/>
      <c r="B21" s="579"/>
      <c r="C21" s="561"/>
      <c r="D21" s="561"/>
      <c r="E21" s="571"/>
      <c r="F21" s="571"/>
      <c r="G21" s="571"/>
      <c r="H21" s="571"/>
      <c r="I21" s="571"/>
      <c r="J21" s="575"/>
      <c r="K21" s="575"/>
      <c r="L21" s="571"/>
      <c r="M21" s="486">
        <f>M15+M17+M19</f>
        <v>0</v>
      </c>
      <c r="N21" s="274"/>
    </row>
    <row r="22" spans="1:14" ht="15" customHeight="1">
      <c r="A22" s="259" t="s">
        <v>160</v>
      </c>
      <c r="B22" s="580" t="s">
        <v>161</v>
      </c>
      <c r="C22" s="561" t="s">
        <v>162</v>
      </c>
      <c r="D22" s="561"/>
      <c r="E22" s="569">
        <f>生産波及!T26*1000/固定資本!$C$11</f>
        <v>6349.2534636753626</v>
      </c>
      <c r="F22" s="569">
        <f>生産波及!T26*1000/固定資本!$C$11</f>
        <v>6349.2534636753626</v>
      </c>
      <c r="G22" s="569">
        <f>生産波及!U26*1000/固定資本!$C$11</f>
        <v>1965.2379228090381</v>
      </c>
      <c r="H22" s="569">
        <f>生産波及!V26*1000/固定資本!$C$11</f>
        <v>1619.2121734917216</v>
      </c>
      <c r="I22" s="571">
        <f t="shared" si="0"/>
        <v>9933.7035599761221</v>
      </c>
      <c r="J22" s="574">
        <f>IFERROR(I22/E22,"-")</f>
        <v>1.5645467009322771</v>
      </c>
      <c r="K22" s="574">
        <f>IFERROR(I22/F22,"-")</f>
        <v>1.5645467009322771</v>
      </c>
      <c r="L22" s="569">
        <f>生産波及!AA26*1000/固定資本!$C$11</f>
        <v>4606.3231272162166</v>
      </c>
      <c r="M22" s="485">
        <f>生産波及!AE26</f>
        <v>0.86380328538289275</v>
      </c>
      <c r="N22" s="274"/>
    </row>
    <row r="23" spans="1:14" ht="15" customHeight="1">
      <c r="A23" s="259"/>
      <c r="B23" s="580"/>
      <c r="C23" s="561"/>
      <c r="D23" s="561"/>
      <c r="E23" s="570"/>
      <c r="F23" s="570"/>
      <c r="G23" s="570"/>
      <c r="H23" s="570"/>
      <c r="I23" s="571"/>
      <c r="J23" s="575"/>
      <c r="K23" s="575"/>
      <c r="L23" s="570"/>
      <c r="M23" s="486">
        <f>生産波及!AD26</f>
        <v>0.65934593282150822</v>
      </c>
      <c r="N23" s="274"/>
    </row>
    <row r="24" spans="1:14" ht="8" customHeight="1">
      <c r="B24" s="278"/>
      <c r="C24" s="278"/>
      <c r="D24" s="278"/>
      <c r="E24" s="278"/>
      <c r="F24" s="278"/>
      <c r="G24" s="278"/>
      <c r="H24" s="278"/>
      <c r="I24" s="278"/>
      <c r="J24" s="278"/>
      <c r="K24" s="278"/>
      <c r="L24" s="289"/>
      <c r="M24" s="270"/>
    </row>
    <row r="25" spans="1:14">
      <c r="B25" s="487"/>
      <c r="C25" s="566" t="s">
        <v>340</v>
      </c>
      <c r="D25" s="567"/>
      <c r="E25" s="567"/>
      <c r="F25" s="567"/>
      <c r="G25" s="567"/>
      <c r="H25" s="568"/>
      <c r="I25" s="488" t="str">
        <f>"単位："&amp;K3</f>
        <v>単位：千円</v>
      </c>
      <c r="L25" s="572"/>
      <c r="M25" s="573"/>
    </row>
    <row r="26" spans="1:14" ht="17.25" customHeight="1">
      <c r="B26" s="489" t="s">
        <v>163</v>
      </c>
      <c r="C26" s="562" t="s">
        <v>176</v>
      </c>
      <c r="D26" s="563"/>
      <c r="E26" s="564"/>
      <c r="F26" s="489" t="s">
        <v>120</v>
      </c>
      <c r="G26" s="490" t="s">
        <v>164</v>
      </c>
      <c r="H26" s="490" t="s">
        <v>165</v>
      </c>
      <c r="I26" s="489" t="s">
        <v>116</v>
      </c>
      <c r="L26" s="274"/>
    </row>
    <row r="27" spans="1:14" ht="17.25" customHeight="1">
      <c r="B27" s="491">
        <v>1</v>
      </c>
      <c r="C27" s="565" t="str">
        <f>IFERROR(DATA!O6,"-")</f>
        <v>農林漁業</v>
      </c>
      <c r="D27" s="565"/>
      <c r="E27" s="565"/>
      <c r="F27" s="492">
        <f>IFERROR(DATA!P6*1000/固定資本!$C$11,"-")</f>
        <v>0</v>
      </c>
      <c r="G27" s="492">
        <f>IFERROR(DATA!Q6*1000/固定資本!$C$11,"-")</f>
        <v>0</v>
      </c>
      <c r="H27" s="492">
        <f>IFERROR(DATA!R6*1000/固定資本!$C$11,"-")</f>
        <v>0</v>
      </c>
      <c r="I27" s="492">
        <f>SUM(F27:H27)</f>
        <v>0</v>
      </c>
      <c r="L27" s="274"/>
    </row>
    <row r="28" spans="1:14" ht="17.25" customHeight="1">
      <c r="B28" s="493">
        <v>2</v>
      </c>
      <c r="C28" s="556" t="str">
        <f>IFERROR(DATA!O7,"-")</f>
        <v>-</v>
      </c>
      <c r="D28" s="556"/>
      <c r="E28" s="556"/>
      <c r="F28" s="494" t="str">
        <f>IFERROR(DATA!P7*1000/固定資本!$C$11,"-")</f>
        <v>-</v>
      </c>
      <c r="G28" s="494" t="str">
        <f>IFERROR(DATA!Q7*1000/固定資本!$C$11,"-")</f>
        <v>-</v>
      </c>
      <c r="H28" s="494" t="str">
        <f>IFERROR(DATA!R7*1000/固定資本!$C$11,"-")</f>
        <v>-</v>
      </c>
      <c r="I28" s="495">
        <f t="shared" ref="I28:I34" si="3">SUM(F28:H28)</f>
        <v>0</v>
      </c>
      <c r="L28" s="274"/>
    </row>
    <row r="29" spans="1:14" ht="17.25" customHeight="1">
      <c r="B29" s="493">
        <v>3</v>
      </c>
      <c r="C29" s="556" t="str">
        <f>IFERROR(DATA!O8,"-")</f>
        <v>-</v>
      </c>
      <c r="D29" s="556"/>
      <c r="E29" s="556"/>
      <c r="F29" s="494" t="str">
        <f>IFERROR(DATA!P8*1000/固定資本!$C$11,"-")</f>
        <v>-</v>
      </c>
      <c r="G29" s="494" t="str">
        <f>IFERROR(DATA!Q8*1000/固定資本!$C$11,"-")</f>
        <v>-</v>
      </c>
      <c r="H29" s="494" t="str">
        <f>IFERROR(DATA!R8*1000/固定資本!$C$11,"-")</f>
        <v>-</v>
      </c>
      <c r="I29" s="495">
        <f t="shared" si="3"/>
        <v>0</v>
      </c>
      <c r="L29" s="274"/>
    </row>
    <row r="30" spans="1:14" ht="17.25" customHeight="1">
      <c r="B30" s="493">
        <v>4</v>
      </c>
      <c r="C30" s="556" t="str">
        <f>IFERROR(DATA!O9,"-")</f>
        <v>-</v>
      </c>
      <c r="D30" s="556"/>
      <c r="E30" s="556"/>
      <c r="F30" s="494" t="str">
        <f>IFERROR(DATA!P9*1000/固定資本!$C$11,"-")</f>
        <v>-</v>
      </c>
      <c r="G30" s="494" t="str">
        <f>IFERROR(DATA!Q9*1000/固定資本!$C$11,"-")</f>
        <v>-</v>
      </c>
      <c r="H30" s="494" t="str">
        <f>IFERROR(DATA!R9*1000/固定資本!$C$11,"-")</f>
        <v>-</v>
      </c>
      <c r="I30" s="495">
        <f t="shared" si="3"/>
        <v>0</v>
      </c>
      <c r="L30" s="274"/>
    </row>
    <row r="31" spans="1:14" ht="17.25" customHeight="1">
      <c r="B31" s="493">
        <v>5</v>
      </c>
      <c r="C31" s="556" t="str">
        <f>IFERROR(DATA!O10,"-")</f>
        <v>-</v>
      </c>
      <c r="D31" s="556"/>
      <c r="E31" s="556"/>
      <c r="F31" s="494" t="str">
        <f>IFERROR(DATA!P10*1000/固定資本!$C$11,"-")</f>
        <v>-</v>
      </c>
      <c r="G31" s="494" t="str">
        <f>IFERROR(DATA!Q10*1000/固定資本!$C$11,"-")</f>
        <v>-</v>
      </c>
      <c r="H31" s="494" t="str">
        <f>IFERROR(DATA!R10*1000/固定資本!$C$11,"-")</f>
        <v>-</v>
      </c>
      <c r="I31" s="495">
        <f t="shared" si="3"/>
        <v>0</v>
      </c>
      <c r="L31" s="274"/>
    </row>
    <row r="32" spans="1:14" ht="17.25" customHeight="1">
      <c r="B32" s="493">
        <v>6</v>
      </c>
      <c r="C32" s="556" t="str">
        <f>IFERROR(DATA!O11,"-")</f>
        <v>-</v>
      </c>
      <c r="D32" s="556"/>
      <c r="E32" s="556"/>
      <c r="F32" s="494" t="str">
        <f>IFERROR(DATA!P11*1000/固定資本!$C$11,"-")</f>
        <v>-</v>
      </c>
      <c r="G32" s="494" t="str">
        <f>IFERROR(DATA!Q11*1000/固定資本!$C$11,"-")</f>
        <v>-</v>
      </c>
      <c r="H32" s="494" t="str">
        <f>IFERROR(DATA!R11*1000/固定資本!$C$11,"-")</f>
        <v>-</v>
      </c>
      <c r="I32" s="495">
        <f t="shared" si="3"/>
        <v>0</v>
      </c>
      <c r="L32" s="274"/>
    </row>
    <row r="33" spans="1:14" ht="17.25" customHeight="1">
      <c r="B33" s="493">
        <v>7</v>
      </c>
      <c r="C33" s="556" t="str">
        <f>IFERROR(DATA!O12,"-")</f>
        <v>-</v>
      </c>
      <c r="D33" s="556"/>
      <c r="E33" s="556"/>
      <c r="F33" s="494" t="str">
        <f>IFERROR(DATA!P12*1000/固定資本!$C$11,"-")</f>
        <v>-</v>
      </c>
      <c r="G33" s="494" t="str">
        <f>IFERROR(DATA!Q12*1000/固定資本!$C$11,"-")</f>
        <v>-</v>
      </c>
      <c r="H33" s="494" t="str">
        <f>IFERROR(DATA!R12*1000/固定資本!$C$11,"-")</f>
        <v>-</v>
      </c>
      <c r="I33" s="495">
        <f t="shared" si="3"/>
        <v>0</v>
      </c>
      <c r="L33" s="274"/>
    </row>
    <row r="34" spans="1:14" ht="17.25" customHeight="1">
      <c r="B34" s="493">
        <v>8</v>
      </c>
      <c r="C34" s="556" t="str">
        <f>IFERROR(DATA!O13,"-")</f>
        <v>-</v>
      </c>
      <c r="D34" s="556"/>
      <c r="E34" s="556"/>
      <c r="F34" s="494" t="str">
        <f>IFERROR(DATA!P13*1000/固定資本!$C$11,"-")</f>
        <v>-</v>
      </c>
      <c r="G34" s="494" t="str">
        <f>IFERROR(DATA!Q13*1000/固定資本!$C$11,"-")</f>
        <v>-</v>
      </c>
      <c r="H34" s="494" t="str">
        <f>IFERROR(DATA!R13*1000/固定資本!$C$11,"-")</f>
        <v>-</v>
      </c>
      <c r="I34" s="495">
        <f t="shared" si="3"/>
        <v>0</v>
      </c>
      <c r="L34" s="274"/>
    </row>
    <row r="35" spans="1:14" ht="17.25" customHeight="1">
      <c r="B35" s="493">
        <v>9</v>
      </c>
      <c r="C35" s="556" t="str">
        <f>IFERROR(DATA!O14,"-")</f>
        <v>-</v>
      </c>
      <c r="D35" s="556"/>
      <c r="E35" s="556"/>
      <c r="F35" s="494" t="str">
        <f>IFERROR(DATA!P14*1000/固定資本!$C$11,"-")</f>
        <v>-</v>
      </c>
      <c r="G35" s="494" t="str">
        <f>IFERROR(DATA!Q14*1000/固定資本!$C$11,"-")</f>
        <v>-</v>
      </c>
      <c r="H35" s="494" t="str">
        <f>IFERROR(DATA!R14*1000/固定資本!$C$11,"-")</f>
        <v>-</v>
      </c>
      <c r="I35" s="495">
        <f t="shared" ref="I35:I43" si="4">SUM(F35:H35)</f>
        <v>0</v>
      </c>
      <c r="L35" s="274"/>
    </row>
    <row r="36" spans="1:14" ht="17.25" customHeight="1">
      <c r="B36" s="493">
        <v>10</v>
      </c>
      <c r="C36" s="556" t="str">
        <f>IFERROR(DATA!O15,"-")</f>
        <v>-</v>
      </c>
      <c r="D36" s="556"/>
      <c r="E36" s="556"/>
      <c r="F36" s="494" t="str">
        <f>IFERROR(DATA!P15*1000/固定資本!$C$11,"-")</f>
        <v>-</v>
      </c>
      <c r="G36" s="494" t="str">
        <f>IFERROR(DATA!Q15*1000/固定資本!$C$11,"-")</f>
        <v>-</v>
      </c>
      <c r="H36" s="494" t="str">
        <f>IFERROR(DATA!R15*1000/固定資本!$C$11,"-")</f>
        <v>-</v>
      </c>
      <c r="I36" s="495">
        <f t="shared" si="4"/>
        <v>0</v>
      </c>
      <c r="L36" s="274"/>
    </row>
    <row r="37" spans="1:14" ht="17.25" customHeight="1">
      <c r="B37" s="493">
        <v>11</v>
      </c>
      <c r="C37" s="556" t="str">
        <f>IFERROR(DATA!O16,"-")</f>
        <v>-</v>
      </c>
      <c r="D37" s="556"/>
      <c r="E37" s="556"/>
      <c r="F37" s="494" t="str">
        <f>IFERROR(DATA!P16*1000/固定資本!$C$11,"-")</f>
        <v>-</v>
      </c>
      <c r="G37" s="494" t="str">
        <f>IFERROR(DATA!Q16*1000/固定資本!$C$11,"-")</f>
        <v>-</v>
      </c>
      <c r="H37" s="494" t="str">
        <f>IFERROR(DATA!R16*1000/固定資本!$C$11,"-")</f>
        <v>-</v>
      </c>
      <c r="I37" s="495">
        <f t="shared" si="4"/>
        <v>0</v>
      </c>
      <c r="L37" s="274"/>
    </row>
    <row r="38" spans="1:14" ht="17.25" customHeight="1">
      <c r="B38" s="493">
        <v>12</v>
      </c>
      <c r="C38" s="556" t="str">
        <f>IFERROR(DATA!O17,"-")</f>
        <v>-</v>
      </c>
      <c r="D38" s="556"/>
      <c r="E38" s="556"/>
      <c r="F38" s="494" t="str">
        <f>IFERROR(DATA!P17*1000/固定資本!$C$11,"-")</f>
        <v>-</v>
      </c>
      <c r="G38" s="494" t="str">
        <f>IFERROR(DATA!Q17*1000/固定資本!$C$11,"-")</f>
        <v>-</v>
      </c>
      <c r="H38" s="494" t="str">
        <f>IFERROR(DATA!R17*1000/固定資本!$C$11,"-")</f>
        <v>-</v>
      </c>
      <c r="I38" s="495">
        <f t="shared" si="4"/>
        <v>0</v>
      </c>
      <c r="L38" s="274"/>
    </row>
    <row r="39" spans="1:14" ht="17.25" customHeight="1">
      <c r="B39" s="493">
        <v>13</v>
      </c>
      <c r="C39" s="556" t="str">
        <f>IFERROR(DATA!O18,"-")</f>
        <v>-</v>
      </c>
      <c r="D39" s="556"/>
      <c r="E39" s="556"/>
      <c r="F39" s="494" t="str">
        <f>IFERROR(DATA!P18*1000/固定資本!$C$11,"-")</f>
        <v>-</v>
      </c>
      <c r="G39" s="494" t="str">
        <f>IFERROR(DATA!Q18*1000/固定資本!$C$11,"-")</f>
        <v>-</v>
      </c>
      <c r="H39" s="494" t="str">
        <f>IFERROR(DATA!R18*1000/固定資本!$C$11,"-")</f>
        <v>-</v>
      </c>
      <c r="I39" s="495">
        <f t="shared" si="4"/>
        <v>0</v>
      </c>
      <c r="L39" s="274"/>
    </row>
    <row r="40" spans="1:14" ht="17.25" customHeight="1">
      <c r="B40" s="493">
        <v>14</v>
      </c>
      <c r="C40" s="556" t="str">
        <f>IFERROR(DATA!O19,"-")</f>
        <v>-</v>
      </c>
      <c r="D40" s="556"/>
      <c r="E40" s="556"/>
      <c r="F40" s="494" t="str">
        <f>IFERROR(DATA!P19*1000/固定資本!$C$11,"-")</f>
        <v>-</v>
      </c>
      <c r="G40" s="494" t="str">
        <f>IFERROR(DATA!Q19*1000/固定資本!$C$11,"-")</f>
        <v>-</v>
      </c>
      <c r="H40" s="494" t="str">
        <f>IFERROR(DATA!R19*1000/固定資本!$C$11,"-")</f>
        <v>-</v>
      </c>
      <c r="I40" s="495">
        <f t="shared" si="4"/>
        <v>0</v>
      </c>
      <c r="L40" s="274"/>
    </row>
    <row r="41" spans="1:14" ht="17.25" customHeight="1">
      <c r="B41" s="493">
        <v>15</v>
      </c>
      <c r="C41" s="556" t="str">
        <f>IFERROR(DATA!O20,"-")</f>
        <v>-</v>
      </c>
      <c r="D41" s="556"/>
      <c r="E41" s="556"/>
      <c r="F41" s="494" t="str">
        <f>IFERROR(DATA!P20*1000/固定資本!$C$11,"-")</f>
        <v>-</v>
      </c>
      <c r="G41" s="494" t="str">
        <f>IFERROR(DATA!Q20*1000/固定資本!$C$11,"-")</f>
        <v>-</v>
      </c>
      <c r="H41" s="494" t="str">
        <f>IFERROR(DATA!R20*1000/固定資本!$C$11,"-")</f>
        <v>-</v>
      </c>
      <c r="I41" s="495">
        <f t="shared" si="4"/>
        <v>0</v>
      </c>
      <c r="L41" s="274"/>
    </row>
    <row r="42" spans="1:14" ht="17.25" customHeight="1">
      <c r="B42" s="493">
        <v>16</v>
      </c>
      <c r="C42" s="556" t="str">
        <f>IFERROR(DATA!O21,"-")</f>
        <v>-</v>
      </c>
      <c r="D42" s="556"/>
      <c r="E42" s="556"/>
      <c r="F42" s="494" t="str">
        <f>IFERROR(DATA!P21*1000/固定資本!$C$11,"-")</f>
        <v>-</v>
      </c>
      <c r="G42" s="494" t="str">
        <f>IFERROR(DATA!Q21*1000/固定資本!$C$11,"-")</f>
        <v>-</v>
      </c>
      <c r="H42" s="494" t="str">
        <f>IFERROR(DATA!R21*1000/固定資本!$C$11,"-")</f>
        <v>-</v>
      </c>
      <c r="I42" s="495">
        <f t="shared" si="4"/>
        <v>0</v>
      </c>
      <c r="L42" s="274"/>
    </row>
    <row r="43" spans="1:14" ht="17.25" customHeight="1">
      <c r="B43" s="496"/>
      <c r="C43" s="558" t="str">
        <f>IFERROR(DATA!O22,"-")</f>
        <v>その他</v>
      </c>
      <c r="D43" s="559"/>
      <c r="E43" s="560"/>
      <c r="F43" s="497">
        <f>IFERROR(DATA!P22*1000/固定資本!$C$11,"-")</f>
        <v>0</v>
      </c>
      <c r="G43" s="497">
        <f>IFERROR(DATA!Q22*1000/固定資本!$C$11,"-")</f>
        <v>0</v>
      </c>
      <c r="H43" s="497">
        <f>IFERROR(DATA!R22*1000/固定資本!$C$11,"-")</f>
        <v>0</v>
      </c>
      <c r="I43" s="498">
        <f t="shared" si="4"/>
        <v>0</v>
      </c>
      <c r="L43" s="274"/>
    </row>
    <row r="44" spans="1:14" ht="17.25" customHeight="1">
      <c r="A44" s="259"/>
      <c r="B44" s="561" t="s">
        <v>166</v>
      </c>
      <c r="C44" s="561"/>
      <c r="D44" s="561"/>
      <c r="E44" s="561"/>
      <c r="F44" s="499">
        <f>SUM(F27:F43)</f>
        <v>0</v>
      </c>
      <c r="G44" s="420">
        <f t="shared" ref="G44:I44" si="5">SUM(G27:G43)</f>
        <v>0</v>
      </c>
      <c r="H44" s="420">
        <f t="shared" si="5"/>
        <v>0</v>
      </c>
      <c r="I44" s="420">
        <f t="shared" si="5"/>
        <v>0</v>
      </c>
      <c r="L44" s="274"/>
    </row>
    <row r="45" spans="1:14" ht="8" customHeight="1">
      <c r="B45" s="270"/>
      <c r="C45" s="270"/>
      <c r="D45" s="270"/>
      <c r="E45" s="270"/>
      <c r="F45" s="500"/>
      <c r="G45" s="269"/>
      <c r="H45" s="269"/>
      <c r="I45" s="269"/>
      <c r="J45" s="269"/>
      <c r="K45" s="269"/>
      <c r="L45" s="274"/>
    </row>
    <row r="46" spans="1:14">
      <c r="B46" s="487"/>
      <c r="C46" s="566" t="s">
        <v>341</v>
      </c>
      <c r="D46" s="567"/>
      <c r="E46" s="567"/>
      <c r="F46" s="567"/>
      <c r="G46" s="567"/>
      <c r="H46" s="568"/>
      <c r="I46" s="488" t="str">
        <f>"単位："&amp;K3</f>
        <v>単位：千円</v>
      </c>
      <c r="L46" s="274"/>
      <c r="M46" s="274"/>
      <c r="N46" s="274"/>
    </row>
    <row r="47" spans="1:14" ht="17.25" customHeight="1">
      <c r="B47" s="489" t="s">
        <v>163</v>
      </c>
      <c r="C47" s="562"/>
      <c r="D47" s="563"/>
      <c r="E47" s="564"/>
      <c r="F47" s="489" t="s">
        <v>120</v>
      </c>
      <c r="G47" s="490" t="s">
        <v>164</v>
      </c>
      <c r="H47" s="490" t="s">
        <v>165</v>
      </c>
      <c r="I47" s="489" t="s">
        <v>116</v>
      </c>
      <c r="J47" s="270"/>
      <c r="K47" s="270"/>
      <c r="L47" s="274"/>
    </row>
    <row r="48" spans="1:14" ht="17.25" customHeight="1">
      <c r="B48" s="491">
        <v>1</v>
      </c>
      <c r="C48" s="565" t="str">
        <f>IFERROR(DATA!AE6,"-")</f>
        <v>農林漁業</v>
      </c>
      <c r="D48" s="565"/>
      <c r="E48" s="565"/>
      <c r="F48" s="492">
        <f>IFERROR(DATA!AF6*1000/固定資本!$C$11,"-")</f>
        <v>6349.2534636753626</v>
      </c>
      <c r="G48" s="492">
        <f>IFERROR(DATA!AG6*1000/固定資本!$C$11,"-")</f>
        <v>108.29008587675511</v>
      </c>
      <c r="H48" s="492">
        <f>IFERROR(DATA!AH6*1000/固定資本!$C$11,"-")</f>
        <v>5.7144000660390901</v>
      </c>
      <c r="I48" s="492">
        <f>SUM(F48:H48)</f>
        <v>6463.257949618157</v>
      </c>
      <c r="J48" s="274"/>
      <c r="L48" s="274"/>
    </row>
    <row r="49" spans="2:12" ht="17.25" customHeight="1">
      <c r="B49" s="493">
        <v>2</v>
      </c>
      <c r="C49" s="556" t="str">
        <f>IFERROR(DATA!AE7,"-")</f>
        <v>商業</v>
      </c>
      <c r="D49" s="556"/>
      <c r="E49" s="556"/>
      <c r="F49" s="494">
        <f>IFERROR(DATA!AF7*1000/固定資本!$C$11,"-")</f>
        <v>0</v>
      </c>
      <c r="G49" s="494">
        <f>IFERROR(DATA!AG7*1000/固定資本!$C$11,"-")</f>
        <v>383.81898555991728</v>
      </c>
      <c r="H49" s="494">
        <f>IFERROR(DATA!AH7*1000/固定資本!$C$11,"-")</f>
        <v>261.04928773472307</v>
      </c>
      <c r="I49" s="494">
        <f t="shared" ref="I49:I64" si="6">SUM(F49:H49)</f>
        <v>644.8682732946404</v>
      </c>
      <c r="J49" s="274"/>
      <c r="L49" s="274"/>
    </row>
    <row r="50" spans="2:12" ht="17.25" customHeight="1">
      <c r="B50" s="493">
        <v>3</v>
      </c>
      <c r="C50" s="556" t="str">
        <f>IFERROR(DATA!AE8,"-")</f>
        <v>その他のサービス業</v>
      </c>
      <c r="D50" s="556"/>
      <c r="E50" s="556"/>
      <c r="F50" s="494">
        <f>IFERROR(DATA!AF8*1000/固定資本!$C$11,"-")</f>
        <v>0</v>
      </c>
      <c r="G50" s="494">
        <f>IFERROR(DATA!AG8*1000/固定資本!$C$11,"-")</f>
        <v>298.65790774760893</v>
      </c>
      <c r="H50" s="494">
        <f>IFERROR(DATA!AH8*1000/固定資本!$C$11,"-")</f>
        <v>168.8086290214201</v>
      </c>
      <c r="I50" s="494">
        <f t="shared" si="6"/>
        <v>467.46653676902906</v>
      </c>
      <c r="J50" s="274"/>
      <c r="L50" s="274"/>
    </row>
    <row r="51" spans="2:12" ht="17.25" customHeight="1">
      <c r="B51" s="493">
        <v>4</v>
      </c>
      <c r="C51" s="556" t="str">
        <f>IFERROR(DATA!AE9,"-")</f>
        <v>製造業</v>
      </c>
      <c r="D51" s="556"/>
      <c r="E51" s="556"/>
      <c r="F51" s="494">
        <f>IFERROR(DATA!AF9*1000/固定資本!$C$11,"-")</f>
        <v>0</v>
      </c>
      <c r="G51" s="494">
        <f>IFERROR(DATA!AG9*1000/固定資本!$C$11,"-")</f>
        <v>335.48618147842893</v>
      </c>
      <c r="H51" s="494">
        <f>IFERROR(DATA!AH9*1000/固定資本!$C$11,"-")</f>
        <v>116.03907969229505</v>
      </c>
      <c r="I51" s="494">
        <f t="shared" si="6"/>
        <v>451.52526117072398</v>
      </c>
      <c r="J51" s="274"/>
    </row>
    <row r="52" spans="2:12" ht="17.25" customHeight="1">
      <c r="B52" s="493">
        <v>5</v>
      </c>
      <c r="C52" s="556" t="str">
        <f>IFERROR(DATA!AE10,"-")</f>
        <v>運輸・郵便</v>
      </c>
      <c r="D52" s="556"/>
      <c r="E52" s="556"/>
      <c r="F52" s="494">
        <f>IFERROR(DATA!AF10*1000/固定資本!$C$11,"-")</f>
        <v>0</v>
      </c>
      <c r="G52" s="494">
        <f>IFERROR(DATA!AG10*1000/固定資本!$C$11,"-")</f>
        <v>124.11051113992677</v>
      </c>
      <c r="H52" s="494">
        <f>IFERROR(DATA!AH10*1000/固定資本!$C$11,"-")</f>
        <v>63.216497848051134</v>
      </c>
      <c r="I52" s="494">
        <f t="shared" si="6"/>
        <v>187.32700898797791</v>
      </c>
      <c r="J52" s="274"/>
    </row>
    <row r="53" spans="2:12" ht="17.25" customHeight="1">
      <c r="B53" s="493">
        <v>6</v>
      </c>
      <c r="C53" s="556" t="str">
        <f>IFERROR(DATA!AE11,"-")</f>
        <v>金融・保険</v>
      </c>
      <c r="D53" s="556"/>
      <c r="E53" s="556"/>
      <c r="F53" s="494">
        <f>IFERROR(DATA!AF11*1000/固定資本!$C$11,"-")</f>
        <v>0</v>
      </c>
      <c r="G53" s="494">
        <f>IFERROR(DATA!AG11*1000/固定資本!$C$11,"-")</f>
        <v>58.423663490384243</v>
      </c>
      <c r="H53" s="494">
        <f>IFERROR(DATA!AH11*1000/固定資本!$C$11,"-")</f>
        <v>115.58849959963413</v>
      </c>
      <c r="I53" s="494">
        <f t="shared" si="6"/>
        <v>174.01216309001836</v>
      </c>
      <c r="J53" s="274"/>
    </row>
    <row r="54" spans="2:12" ht="17.25" customHeight="1">
      <c r="B54" s="493">
        <v>7</v>
      </c>
      <c r="C54" s="556" t="str">
        <f>IFERROR(DATA!AE12,"-")</f>
        <v>不動産</v>
      </c>
      <c r="D54" s="556"/>
      <c r="E54" s="556"/>
      <c r="F54" s="494">
        <f>IFERROR(DATA!AF12*1000/固定資本!$C$11,"-")</f>
        <v>0</v>
      </c>
      <c r="G54" s="494">
        <f>IFERROR(DATA!AG12*1000/固定資本!$C$11,"-")</f>
        <v>36.19253677585354</v>
      </c>
      <c r="H54" s="494">
        <f>IFERROR(DATA!AH12*1000/固定資本!$C$11,"-")</f>
        <v>121.01540902883001</v>
      </c>
      <c r="I54" s="494">
        <f t="shared" si="6"/>
        <v>157.20794580468356</v>
      </c>
      <c r="J54" s="274"/>
    </row>
    <row r="55" spans="2:12" ht="17.25" customHeight="1">
      <c r="B55" s="493">
        <v>8</v>
      </c>
      <c r="C55" s="556" t="str">
        <f>IFERROR(DATA!AE13,"-")</f>
        <v>電気・ガス・水道</v>
      </c>
      <c r="D55" s="556"/>
      <c r="E55" s="556"/>
      <c r="F55" s="494">
        <f>IFERROR(DATA!AF13*1000/固定資本!$C$11,"-")</f>
        <v>0</v>
      </c>
      <c r="G55" s="494">
        <f>IFERROR(DATA!AG13*1000/固定資本!$C$11,"-")</f>
        <v>91.851609870718647</v>
      </c>
      <c r="H55" s="494">
        <f>IFERROR(DATA!AH13*1000/固定資本!$C$11,"-")</f>
        <v>63.658476674936445</v>
      </c>
      <c r="I55" s="494">
        <f t="shared" si="6"/>
        <v>155.5100865456551</v>
      </c>
      <c r="J55" s="274"/>
    </row>
    <row r="56" spans="2:12" ht="17.25" customHeight="1">
      <c r="B56" s="493">
        <v>9</v>
      </c>
      <c r="C56" s="556" t="str">
        <f>IFERROR(DATA!AE14,"-")</f>
        <v>医療・福祉業</v>
      </c>
      <c r="D56" s="556"/>
      <c r="E56" s="556"/>
      <c r="F56" s="494">
        <f>IFERROR(DATA!AF14*1000/固定資本!$C$11,"-")</f>
        <v>0</v>
      </c>
      <c r="G56" s="494">
        <f>IFERROR(DATA!AG14*1000/固定資本!$C$11,"-")</f>
        <v>0.15644034239025273</v>
      </c>
      <c r="H56" s="494">
        <f>IFERROR(DATA!AH14*1000/固定資本!$C$11,"-")</f>
        <v>82.836480722253995</v>
      </c>
      <c r="I56" s="494">
        <f t="shared" si="6"/>
        <v>82.99292106464425</v>
      </c>
      <c r="J56" s="274"/>
    </row>
    <row r="57" spans="2:12" ht="17.25" customHeight="1">
      <c r="B57" s="493">
        <v>10</v>
      </c>
      <c r="C57" s="556" t="str">
        <f>IFERROR(DATA!AE15,"-")</f>
        <v>情報通信</v>
      </c>
      <c r="D57" s="556"/>
      <c r="E57" s="556"/>
      <c r="F57" s="494">
        <f>IFERROR(DATA!AF15*1000/固定資本!$C$11,"-")</f>
        <v>0</v>
      </c>
      <c r="G57" s="494">
        <f>IFERROR(DATA!AG15*1000/固定資本!$C$11,"-")</f>
        <v>24.960797742181271</v>
      </c>
      <c r="H57" s="494">
        <f>IFERROR(DATA!AH15*1000/固定資本!$C$11,"-")</f>
        <v>54.157039674457494</v>
      </c>
      <c r="I57" s="494">
        <f t="shared" si="6"/>
        <v>79.117837416638764</v>
      </c>
      <c r="J57" s="274"/>
    </row>
    <row r="58" spans="2:12" ht="17.25" customHeight="1">
      <c r="B58" s="493">
        <v>11</v>
      </c>
      <c r="C58" s="556" t="str">
        <f>IFERROR(DATA!AE16,"-")</f>
        <v>飲食サービス業</v>
      </c>
      <c r="D58" s="556"/>
      <c r="E58" s="556"/>
      <c r="F58" s="494">
        <f>IFERROR(DATA!AF16*1000/固定資本!$C$11,"-")</f>
        <v>0</v>
      </c>
      <c r="G58" s="494">
        <f>IFERROR(DATA!AG16*1000/固定資本!$C$11,"-")</f>
        <v>8.7622882566915604E-3</v>
      </c>
      <c r="H58" s="494">
        <f>IFERROR(DATA!AH16*1000/固定資本!$C$11,"-")</f>
        <v>70.891819853561088</v>
      </c>
      <c r="I58" s="494">
        <f t="shared" si="6"/>
        <v>70.900582141817779</v>
      </c>
      <c r="J58" s="274"/>
    </row>
    <row r="59" spans="2:12" ht="17.25" customHeight="1">
      <c r="B59" s="493">
        <v>12</v>
      </c>
      <c r="C59" s="556" t="str">
        <f>IFERROR(DATA!AE17,"-")</f>
        <v>教育・学習支援業</v>
      </c>
      <c r="D59" s="556"/>
      <c r="E59" s="556"/>
      <c r="F59" s="494">
        <f>IFERROR(DATA!AF17*1000/固定資本!$C$11,"-")</f>
        <v>0</v>
      </c>
      <c r="G59" s="494">
        <f>IFERROR(DATA!AG17*1000/固定資本!$C$11,"-")</f>
        <v>0.86622317792424475</v>
      </c>
      <c r="H59" s="494">
        <f>IFERROR(DATA!AH17*1000/固定資本!$C$11,"-")</f>
        <v>41.121915332982617</v>
      </c>
      <c r="I59" s="494">
        <f t="shared" si="6"/>
        <v>41.988138510906865</v>
      </c>
      <c r="J59" s="274"/>
    </row>
    <row r="60" spans="2:12" ht="17.25" customHeight="1">
      <c r="B60" s="493">
        <v>13</v>
      </c>
      <c r="C60" s="556" t="str">
        <f>IFERROR(DATA!AE18,"-")</f>
        <v>建設</v>
      </c>
      <c r="D60" s="556"/>
      <c r="E60" s="556"/>
      <c r="F60" s="494">
        <f>IFERROR(DATA!AF18*1000/固定資本!$C$11,"-")</f>
        <v>0</v>
      </c>
      <c r="G60" s="494">
        <f>IFERROR(DATA!AG18*1000/固定資本!$C$11,"-")</f>
        <v>17.542424996686851</v>
      </c>
      <c r="H60" s="494">
        <f>IFERROR(DATA!AH18*1000/固定資本!$C$11,"-")</f>
        <v>6.0071224315110276</v>
      </c>
      <c r="I60" s="494">
        <f t="shared" si="6"/>
        <v>23.549547428197879</v>
      </c>
      <c r="J60" s="274"/>
    </row>
    <row r="61" spans="2:12" ht="17.25" customHeight="1">
      <c r="B61" s="493">
        <v>14</v>
      </c>
      <c r="C61" s="556" t="str">
        <f>IFERROR(DATA!AE19,"-")</f>
        <v>公務</v>
      </c>
      <c r="D61" s="556"/>
      <c r="E61" s="556"/>
      <c r="F61" s="494">
        <f>IFERROR(DATA!AF19*1000/固定資本!$C$11,"-")</f>
        <v>0</v>
      </c>
      <c r="G61" s="494">
        <f>IFERROR(DATA!AG19*1000/固定資本!$C$11,"-")</f>
        <v>2.5663653702411047</v>
      </c>
      <c r="H61" s="494">
        <f>IFERROR(DATA!AH19*1000/固定資本!$C$11,"-")</f>
        <v>5.9442947874597758</v>
      </c>
      <c r="I61" s="494">
        <f t="shared" si="6"/>
        <v>8.5106601577008796</v>
      </c>
      <c r="J61" s="274"/>
    </row>
    <row r="62" spans="2:12" ht="17.25" customHeight="1">
      <c r="B62" s="493">
        <v>15</v>
      </c>
      <c r="C62" s="556" t="str">
        <f>IFERROR(DATA!AE20,"-")</f>
        <v>宿泊業</v>
      </c>
      <c r="D62" s="556"/>
      <c r="E62" s="556"/>
      <c r="F62" s="494">
        <f>IFERROR(DATA!AF20*1000/固定資本!$C$11,"-")</f>
        <v>0</v>
      </c>
      <c r="G62" s="494">
        <f>IFERROR(DATA!AG20*1000/固定資本!$C$11,"-")</f>
        <v>0</v>
      </c>
      <c r="H62" s="494">
        <f>IFERROR(DATA!AH20*1000/固定資本!$C$11,"-")</f>
        <v>1.8135385998892768</v>
      </c>
      <c r="I62" s="494">
        <f t="shared" si="6"/>
        <v>1.8135385998892768</v>
      </c>
      <c r="J62" s="274"/>
    </row>
    <row r="63" spans="2:12" ht="17.25" customHeight="1">
      <c r="B63" s="493">
        <v>16</v>
      </c>
      <c r="C63" s="556" t="str">
        <f>IFERROR(DATA!AE21,"-")</f>
        <v>鉱業</v>
      </c>
      <c r="D63" s="556"/>
      <c r="E63" s="556"/>
      <c r="F63" s="494">
        <f>IFERROR(DATA!AF21*1000/固定資本!$C$11,"-")</f>
        <v>0</v>
      </c>
      <c r="G63" s="494">
        <f>IFERROR(DATA!AG21*1000/固定資本!$C$11,"-")</f>
        <v>0.65130813230795193</v>
      </c>
      <c r="H63" s="494">
        <f>IFERROR(DATA!AH21*1000/固定資本!$C$11,"-")</f>
        <v>0.42220118602208023</v>
      </c>
      <c r="I63" s="494">
        <f t="shared" si="6"/>
        <v>1.0735093183300322</v>
      </c>
      <c r="J63" s="274"/>
    </row>
    <row r="64" spans="2:12" ht="17.25" customHeight="1">
      <c r="B64" s="501"/>
      <c r="C64" s="557" t="str">
        <f>IFERROR(DATA!AE22,"-")</f>
        <v>その他</v>
      </c>
      <c r="D64" s="557"/>
      <c r="E64" s="557"/>
      <c r="F64" s="502">
        <f>IFERROR(DATA!AF22*1000/固定資本!$C$11,"-")</f>
        <v>0</v>
      </c>
      <c r="G64" s="502">
        <f>IFERROR(DATA!AG22*1000/固定資本!$C$11,"-")</f>
        <v>481.65411881945607</v>
      </c>
      <c r="H64" s="502">
        <f>IFERROR(DATA!AH22*1000/固定資本!$C$11,"-")</f>
        <v>440.92748123765489</v>
      </c>
      <c r="I64" s="502">
        <f t="shared" si="6"/>
        <v>922.58160005711102</v>
      </c>
      <c r="J64" s="274"/>
    </row>
    <row r="65" spans="1:10" ht="17.25" customHeight="1">
      <c r="A65" s="259"/>
      <c r="B65" s="561" t="s">
        <v>166</v>
      </c>
      <c r="C65" s="561"/>
      <c r="D65" s="561"/>
      <c r="E65" s="561"/>
      <c r="F65" s="499">
        <f>SUM(F48:F64)</f>
        <v>6349.2534636753626</v>
      </c>
      <c r="G65" s="420">
        <f t="shared" ref="G65:I65" si="7">SUM(G48:G64)</f>
        <v>1965.2379228090381</v>
      </c>
      <c r="H65" s="420">
        <f t="shared" si="7"/>
        <v>1619.2121734917214</v>
      </c>
      <c r="I65" s="420">
        <f t="shared" si="7"/>
        <v>9933.7035599761184</v>
      </c>
      <c r="J65" s="274"/>
    </row>
    <row r="66" spans="1:10" ht="9.5" customHeight="1">
      <c r="B66" s="270"/>
      <c r="C66" s="270"/>
      <c r="D66" s="270"/>
      <c r="E66" s="270"/>
    </row>
    <row r="67" spans="1:10" ht="12" customHeight="1">
      <c r="C67" s="155" t="s">
        <v>167</v>
      </c>
    </row>
    <row r="68" spans="1:10" ht="12" customHeight="1">
      <c r="C68" s="155" t="s">
        <v>168</v>
      </c>
    </row>
    <row r="69" spans="1:10" ht="5" customHeight="1"/>
    <row r="70" spans="1:10">
      <c r="C70" s="155" t="s">
        <v>169</v>
      </c>
    </row>
    <row r="71" spans="1:10" ht="2" customHeight="1"/>
    <row r="72" spans="1:10" ht="12" customHeight="1">
      <c r="D72" s="155" t="s">
        <v>394</v>
      </c>
    </row>
    <row r="73" spans="1:10" ht="12" customHeight="1">
      <c r="D73" s="155" t="s">
        <v>170</v>
      </c>
      <c r="F73" s="503">
        <f>固定資本!F6</f>
        <v>2025</v>
      </c>
    </row>
    <row r="74" spans="1:10" ht="12" customHeight="1">
      <c r="D74" s="155" t="s">
        <v>171</v>
      </c>
      <c r="F74" s="504">
        <f>固定資本!H6</f>
        <v>0.9410230177254062</v>
      </c>
    </row>
    <row r="75" spans="1:10" ht="12" customHeight="1">
      <c r="D75" s="155" t="s">
        <v>172</v>
      </c>
      <c r="F75" s="505">
        <f>固定資本!I6</f>
        <v>0.78403790917303728</v>
      </c>
    </row>
    <row r="81" s="155" customFormat="1"/>
    <row r="82" s="155" customFormat="1"/>
    <row r="83" s="155" customFormat="1"/>
    <row r="84" s="155" customFormat="1"/>
    <row r="85" s="155" customFormat="1"/>
    <row r="86" s="155" customFormat="1"/>
    <row r="87" s="155" customFormat="1"/>
    <row r="88" s="155" customFormat="1"/>
    <row r="89" s="155" customFormat="1"/>
    <row r="90" s="155" customFormat="1"/>
    <row r="91" s="155" customFormat="1"/>
    <row r="92" s="155" customFormat="1"/>
    <row r="93" s="155" customFormat="1"/>
    <row r="94" s="155" customFormat="1"/>
    <row r="95" s="155" customFormat="1"/>
    <row r="96" s="155" customFormat="1"/>
    <row r="97" s="155" customFormat="1"/>
    <row r="98" s="155" customFormat="1"/>
    <row r="99" s="155" customFormat="1"/>
    <row r="100" s="155" customFormat="1"/>
    <row r="101" s="155" customFormat="1"/>
    <row r="102" s="155" customFormat="1"/>
    <row r="103" s="155" customFormat="1"/>
    <row r="104" s="155" customFormat="1"/>
    <row r="105" s="155" customFormat="1"/>
    <row r="106" s="155" customFormat="1"/>
    <row r="107" s="155" customFormat="1"/>
    <row r="108" s="155" customFormat="1"/>
    <row r="109" s="155" customFormat="1"/>
    <row r="110" s="155" customFormat="1"/>
    <row r="111" s="155" customFormat="1"/>
    <row r="112" s="155" customFormat="1"/>
    <row r="113" s="155" customFormat="1"/>
    <row r="114" s="155" customFormat="1"/>
    <row r="115" s="155" customFormat="1"/>
    <row r="116" s="155" customFormat="1"/>
    <row r="117" s="155" customFormat="1"/>
    <row r="118" s="155" customFormat="1"/>
    <row r="119" s="155" customFormat="1"/>
    <row r="120" s="155" customFormat="1"/>
    <row r="121" s="155" customFormat="1"/>
    <row r="122" s="155" customFormat="1"/>
    <row r="123" s="155" customFormat="1"/>
    <row r="124" s="155" customFormat="1"/>
    <row r="125" s="155" customFormat="1"/>
    <row r="126" s="155" customFormat="1"/>
    <row r="127" s="155" customFormat="1"/>
    <row r="128" s="155" customFormat="1"/>
    <row r="129" s="155" customFormat="1"/>
    <row r="130" s="155" customFormat="1"/>
    <row r="131" s="155" customFormat="1"/>
    <row r="132" s="155" customFormat="1"/>
    <row r="133" s="155" customFormat="1"/>
    <row r="134" s="155" customFormat="1"/>
    <row r="135" s="155" customFormat="1"/>
  </sheetData>
  <sheetProtection sheet="1" objects="1" scenarios="1"/>
  <mergeCells count="96">
    <mergeCell ref="B12:B13"/>
    <mergeCell ref="C12:D13"/>
    <mergeCell ref="L5:M5"/>
    <mergeCell ref="C7:D7"/>
    <mergeCell ref="E7:K8"/>
    <mergeCell ref="C10:D10"/>
    <mergeCell ref="L10:M11"/>
    <mergeCell ref="K14:K15"/>
    <mergeCell ref="L14:L15"/>
    <mergeCell ref="C16:D17"/>
    <mergeCell ref="E16:E17"/>
    <mergeCell ref="F16:F17"/>
    <mergeCell ref="G16:G17"/>
    <mergeCell ref="H16:H17"/>
    <mergeCell ref="I16:I17"/>
    <mergeCell ref="C14:D15"/>
    <mergeCell ref="E14:E15"/>
    <mergeCell ref="F14:F15"/>
    <mergeCell ref="G14:G15"/>
    <mergeCell ref="H14:H15"/>
    <mergeCell ref="J16:J17"/>
    <mergeCell ref="K16:K17"/>
    <mergeCell ref="L16:L17"/>
    <mergeCell ref="I18:I19"/>
    <mergeCell ref="J18:J19"/>
    <mergeCell ref="K18:K19"/>
    <mergeCell ref="L18:L19"/>
    <mergeCell ref="J20:J21"/>
    <mergeCell ref="L20:L21"/>
    <mergeCell ref="B14:B19"/>
    <mergeCell ref="C25:H25"/>
    <mergeCell ref="B20:B21"/>
    <mergeCell ref="C20:D21"/>
    <mergeCell ref="E20:E21"/>
    <mergeCell ref="F20:F21"/>
    <mergeCell ref="G20:G21"/>
    <mergeCell ref="B22:B23"/>
    <mergeCell ref="C18:D19"/>
    <mergeCell ref="E18:E19"/>
    <mergeCell ref="F18:F19"/>
    <mergeCell ref="G18:G19"/>
    <mergeCell ref="H18:H19"/>
    <mergeCell ref="I14:I15"/>
    <mergeCell ref="J14:J15"/>
    <mergeCell ref="C35:E35"/>
    <mergeCell ref="C36:E36"/>
    <mergeCell ref="K20:K21"/>
    <mergeCell ref="C22:D23"/>
    <mergeCell ref="E22:E23"/>
    <mergeCell ref="F22:F23"/>
    <mergeCell ref="G22:G23"/>
    <mergeCell ref="H22:H23"/>
    <mergeCell ref="I22:I23"/>
    <mergeCell ref="J22:J23"/>
    <mergeCell ref="K22:K23"/>
    <mergeCell ref="C32:E32"/>
    <mergeCell ref="C33:E33"/>
    <mergeCell ref="C34:E34"/>
    <mergeCell ref="L22:L23"/>
    <mergeCell ref="H20:H21"/>
    <mergeCell ref="I20:I21"/>
    <mergeCell ref="C30:E30"/>
    <mergeCell ref="C31:E31"/>
    <mergeCell ref="L25:M25"/>
    <mergeCell ref="C26:E26"/>
    <mergeCell ref="C27:E27"/>
    <mergeCell ref="C28:E28"/>
    <mergeCell ref="C29:E29"/>
    <mergeCell ref="C37:E37"/>
    <mergeCell ref="C38:E38"/>
    <mergeCell ref="C39:E39"/>
    <mergeCell ref="C40:E40"/>
    <mergeCell ref="C41:E41"/>
    <mergeCell ref="C42:E42"/>
    <mergeCell ref="C43:E43"/>
    <mergeCell ref="B44:E44"/>
    <mergeCell ref="B65:E65"/>
    <mergeCell ref="C47:E47"/>
    <mergeCell ref="C48:E48"/>
    <mergeCell ref="C49:E49"/>
    <mergeCell ref="C50:E50"/>
    <mergeCell ref="C51:E51"/>
    <mergeCell ref="C52:E52"/>
    <mergeCell ref="C53:E53"/>
    <mergeCell ref="C54:E54"/>
    <mergeCell ref="C55:E55"/>
    <mergeCell ref="C56:E56"/>
    <mergeCell ref="C57:E57"/>
    <mergeCell ref="C46:H46"/>
    <mergeCell ref="C63:E63"/>
    <mergeCell ref="C64:E64"/>
    <mergeCell ref="C58:E58"/>
    <mergeCell ref="C59:E59"/>
    <mergeCell ref="C60:E60"/>
    <mergeCell ref="C61:E61"/>
    <mergeCell ref="C62:E62"/>
  </mergeCells>
  <phoneticPr fontId="27"/>
  <pageMargins left="0.70866141732283472" right="0.51181102362204722" top="0.55118110236220474" bottom="0.15748031496062992" header="0.31496062992125984" footer="0.31496062992125984"/>
  <pageSetup paperSize="9" scale="73" orientation="portrait" r:id="rId1"/>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200-000000000000}">
          <x14:formula1>
            <xm:f>固定資本!$B$32:$B$33</xm:f>
          </x14:formula1>
          <xm:sqref>K4</xm:sqref>
        </x14:dataValidation>
        <x14:dataValidation type="list" allowBlank="1" showInputMessage="1" showErrorMessage="1" xr:uid="{00000000-0002-0000-0200-000001000000}">
          <x14:formula1>
            <xm:f>固定資本!$B$6:$B$9</xm:f>
          </x14:formula1>
          <xm:sqref>K3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CF135"/>
  <sheetViews>
    <sheetView showRowColHeaders="0" zoomScale="80" zoomScaleNormal="80" workbookViewId="0"/>
  </sheetViews>
  <sheetFormatPr defaultRowHeight="16.5"/>
  <cols>
    <col min="1" max="1" width="1.6328125" style="284" customWidth="1"/>
    <col min="2" max="2" width="16.7265625" style="284" customWidth="1"/>
    <col min="3" max="3" width="5.7265625" style="284" customWidth="1"/>
    <col min="4" max="4" width="3" style="284" customWidth="1"/>
    <col min="5" max="5" width="11.6328125" style="284" customWidth="1"/>
    <col min="6" max="6" width="9.08984375" style="284" customWidth="1"/>
    <col min="7" max="7" width="3.36328125" style="284" customWidth="1"/>
    <col min="8" max="8" width="3.08984375" style="284" customWidth="1"/>
    <col min="9" max="9" width="11.6328125" style="284" customWidth="1"/>
    <col min="10" max="10" width="11.7265625" style="284" customWidth="1"/>
    <col min="11" max="11" width="3.36328125" style="284" customWidth="1"/>
    <col min="12" max="13" width="3.08984375" style="284" customWidth="1"/>
    <col min="14" max="14" width="11.6328125" style="284" customWidth="1"/>
    <col min="15" max="15" width="7.6328125" style="284" customWidth="1"/>
    <col min="16" max="18" width="3.08984375" style="284" customWidth="1"/>
    <col min="19" max="19" width="11.6328125" style="284" customWidth="1"/>
    <col min="20" max="20" width="7.6328125" style="284" customWidth="1"/>
    <col min="21" max="21" width="3.08984375" style="284" customWidth="1"/>
    <col min="22" max="22" width="1.6328125" style="284" customWidth="1"/>
    <col min="23" max="23" width="16.6328125" style="284" customWidth="1"/>
    <col min="24" max="24" width="5.7265625" style="284" customWidth="1"/>
    <col min="25" max="25" width="3" style="284" customWidth="1"/>
    <col min="26" max="26" width="11.6328125" style="284" customWidth="1"/>
    <col min="27" max="27" width="9.36328125" style="284" customWidth="1"/>
    <col min="28" max="28" width="3.36328125" style="284" customWidth="1"/>
    <col min="29" max="29" width="3.08984375" style="284" customWidth="1"/>
    <col min="30" max="30" width="11.6328125" style="284" customWidth="1"/>
    <col min="31" max="31" width="8.90625" style="284" customWidth="1"/>
    <col min="32" max="32" width="3.36328125" style="284" customWidth="1"/>
    <col min="33" max="34" width="3.08984375" style="284" customWidth="1"/>
    <col min="35" max="35" width="11.6328125" style="284" customWidth="1"/>
    <col min="36" max="36" width="7.6328125" style="284" customWidth="1"/>
    <col min="37" max="39" width="3.08984375" style="284" customWidth="1"/>
    <col min="40" max="40" width="11.6328125" style="284" customWidth="1"/>
    <col min="41" max="41" width="7.6328125" style="284" customWidth="1"/>
    <col min="42" max="42" width="3.08984375" style="284" customWidth="1"/>
    <col min="43" max="43" width="1.6328125" style="284" customWidth="1"/>
    <col min="44" max="44" width="16.6328125" style="284" customWidth="1"/>
    <col min="45" max="45" width="5.7265625" style="284" customWidth="1"/>
    <col min="46" max="46" width="3" style="284" customWidth="1"/>
    <col min="47" max="47" width="11.6328125" style="284" customWidth="1"/>
    <col min="48" max="48" width="9.54296875" style="284" customWidth="1"/>
    <col min="49" max="49" width="3.36328125" style="284" customWidth="1"/>
    <col min="50" max="50" width="3.08984375" style="284" customWidth="1"/>
    <col min="51" max="51" width="11.6328125" style="284" customWidth="1"/>
    <col min="52" max="52" width="9.08984375" style="284" customWidth="1"/>
    <col min="53" max="53" width="3.36328125" style="284" customWidth="1"/>
    <col min="54" max="55" width="3.08984375" style="284" customWidth="1"/>
    <col min="56" max="56" width="11.6328125" style="284" customWidth="1"/>
    <col min="57" max="57" width="7.6328125" style="284" customWidth="1"/>
    <col min="58" max="60" width="3.08984375" style="284" customWidth="1"/>
    <col min="61" max="61" width="11.6328125" style="284" customWidth="1"/>
    <col min="62" max="62" width="7.6328125" style="284" customWidth="1"/>
    <col min="63" max="63" width="3.08984375" style="284" customWidth="1"/>
    <col min="64" max="64" width="1.6328125" style="284" customWidth="1"/>
    <col min="65" max="65" width="16.6328125" style="284" customWidth="1"/>
    <col min="66" max="66" width="5.7265625" style="284" customWidth="1"/>
    <col min="67" max="67" width="3" style="284" customWidth="1"/>
    <col min="68" max="68" width="11.6328125" style="284" customWidth="1"/>
    <col min="69" max="69" width="8.90625" style="284" customWidth="1"/>
    <col min="70" max="70" width="3.36328125" style="284" customWidth="1"/>
    <col min="71" max="71" width="3.08984375" style="284" customWidth="1"/>
    <col min="72" max="72" width="11.6328125" style="284" customWidth="1"/>
    <col min="73" max="73" width="9.453125" style="284" customWidth="1"/>
    <col min="74" max="74" width="3.36328125" style="284" customWidth="1"/>
    <col min="75" max="76" width="3.08984375" style="284" customWidth="1"/>
    <col min="77" max="77" width="11.6328125" style="284" customWidth="1"/>
    <col min="78" max="78" width="7.6328125" style="284" customWidth="1"/>
    <col min="79" max="81" width="3.08984375" style="284" customWidth="1"/>
    <col min="82" max="82" width="11.6328125" style="284" customWidth="1"/>
    <col min="83" max="83" width="7.6328125" style="284" customWidth="1"/>
    <col min="84" max="84" width="3.08984375" style="284" customWidth="1"/>
    <col min="85" max="85" width="1.6328125" style="284" customWidth="1"/>
    <col min="86" max="262" width="9" style="284"/>
    <col min="263" max="264" width="3" style="284" customWidth="1"/>
    <col min="265" max="269" width="6.26953125" style="284" customWidth="1"/>
    <col min="270" max="271" width="3.08984375" style="284" customWidth="1"/>
    <col min="272" max="272" width="6.26953125" style="284" customWidth="1"/>
    <col min="273" max="273" width="6" style="284" customWidth="1"/>
    <col min="274" max="274" width="3.08984375" style="284" customWidth="1"/>
    <col min="275" max="275" width="10.26953125" style="284" bestFit="1" customWidth="1"/>
    <col min="276" max="276" width="10.90625" style="284" bestFit="1" customWidth="1"/>
    <col min="277" max="277" width="6.26953125" style="284" customWidth="1"/>
    <col min="278" max="518" width="9" style="284"/>
    <col min="519" max="520" width="3" style="284" customWidth="1"/>
    <col min="521" max="525" width="6.26953125" style="284" customWidth="1"/>
    <col min="526" max="527" width="3.08984375" style="284" customWidth="1"/>
    <col min="528" max="528" width="6.26953125" style="284" customWidth="1"/>
    <col min="529" max="529" width="6" style="284" customWidth="1"/>
    <col min="530" max="530" width="3.08984375" style="284" customWidth="1"/>
    <col min="531" max="531" width="10.26953125" style="284" bestFit="1" customWidth="1"/>
    <col min="532" max="532" width="10.90625" style="284" bestFit="1" customWidth="1"/>
    <col min="533" max="533" width="6.26953125" style="284" customWidth="1"/>
    <col min="534" max="774" width="9" style="284"/>
    <col min="775" max="776" width="3" style="284" customWidth="1"/>
    <col min="777" max="781" width="6.26953125" style="284" customWidth="1"/>
    <col min="782" max="783" width="3.08984375" style="284" customWidth="1"/>
    <col min="784" max="784" width="6.26953125" style="284" customWidth="1"/>
    <col min="785" max="785" width="6" style="284" customWidth="1"/>
    <col min="786" max="786" width="3.08984375" style="284" customWidth="1"/>
    <col min="787" max="787" width="10.26953125" style="284" bestFit="1" customWidth="1"/>
    <col min="788" max="788" width="10.90625" style="284" bestFit="1" customWidth="1"/>
    <col min="789" max="789" width="6.26953125" style="284" customWidth="1"/>
    <col min="790" max="1030" width="9" style="284"/>
    <col min="1031" max="1032" width="3" style="284" customWidth="1"/>
    <col min="1033" max="1037" width="6.26953125" style="284" customWidth="1"/>
    <col min="1038" max="1039" width="3.08984375" style="284" customWidth="1"/>
    <col min="1040" max="1040" width="6.26953125" style="284" customWidth="1"/>
    <col min="1041" max="1041" width="6" style="284" customWidth="1"/>
    <col min="1042" max="1042" width="3.08984375" style="284" customWidth="1"/>
    <col min="1043" max="1043" width="10.26953125" style="284" bestFit="1" customWidth="1"/>
    <col min="1044" max="1044" width="10.90625" style="284" bestFit="1" customWidth="1"/>
    <col min="1045" max="1045" width="6.26953125" style="284" customWidth="1"/>
    <col min="1046" max="1286" width="9" style="284"/>
    <col min="1287" max="1288" width="3" style="284" customWidth="1"/>
    <col min="1289" max="1293" width="6.26953125" style="284" customWidth="1"/>
    <col min="1294" max="1295" width="3.08984375" style="284" customWidth="1"/>
    <col min="1296" max="1296" width="6.26953125" style="284" customWidth="1"/>
    <col min="1297" max="1297" width="6" style="284" customWidth="1"/>
    <col min="1298" max="1298" width="3.08984375" style="284" customWidth="1"/>
    <col min="1299" max="1299" width="10.26953125" style="284" bestFit="1" customWidth="1"/>
    <col min="1300" max="1300" width="10.90625" style="284" bestFit="1" customWidth="1"/>
    <col min="1301" max="1301" width="6.26953125" style="284" customWidth="1"/>
    <col min="1302" max="1542" width="9" style="284"/>
    <col min="1543" max="1544" width="3" style="284" customWidth="1"/>
    <col min="1545" max="1549" width="6.26953125" style="284" customWidth="1"/>
    <col min="1550" max="1551" width="3.08984375" style="284" customWidth="1"/>
    <col min="1552" max="1552" width="6.26953125" style="284" customWidth="1"/>
    <col min="1553" max="1553" width="6" style="284" customWidth="1"/>
    <col min="1554" max="1554" width="3.08984375" style="284" customWidth="1"/>
    <col min="1555" max="1555" width="10.26953125" style="284" bestFit="1" customWidth="1"/>
    <col min="1556" max="1556" width="10.90625" style="284" bestFit="1" customWidth="1"/>
    <col min="1557" max="1557" width="6.26953125" style="284" customWidth="1"/>
    <col min="1558" max="1798" width="9" style="284"/>
    <col min="1799" max="1800" width="3" style="284" customWidth="1"/>
    <col min="1801" max="1805" width="6.26953125" style="284" customWidth="1"/>
    <col min="1806" max="1807" width="3.08984375" style="284" customWidth="1"/>
    <col min="1808" max="1808" width="6.26953125" style="284" customWidth="1"/>
    <col min="1809" max="1809" width="6" style="284" customWidth="1"/>
    <col min="1810" max="1810" width="3.08984375" style="284" customWidth="1"/>
    <col min="1811" max="1811" width="10.26953125" style="284" bestFit="1" customWidth="1"/>
    <col min="1812" max="1812" width="10.90625" style="284" bestFit="1" customWidth="1"/>
    <col min="1813" max="1813" width="6.26953125" style="284" customWidth="1"/>
    <col min="1814" max="2054" width="9" style="284"/>
    <col min="2055" max="2056" width="3" style="284" customWidth="1"/>
    <col min="2057" max="2061" width="6.26953125" style="284" customWidth="1"/>
    <col min="2062" max="2063" width="3.08984375" style="284" customWidth="1"/>
    <col min="2064" max="2064" width="6.26953125" style="284" customWidth="1"/>
    <col min="2065" max="2065" width="6" style="284" customWidth="1"/>
    <col min="2066" max="2066" width="3.08984375" style="284" customWidth="1"/>
    <col min="2067" max="2067" width="10.26953125" style="284" bestFit="1" customWidth="1"/>
    <col min="2068" max="2068" width="10.90625" style="284" bestFit="1" customWidth="1"/>
    <col min="2069" max="2069" width="6.26953125" style="284" customWidth="1"/>
    <col min="2070" max="2310" width="9" style="284"/>
    <col min="2311" max="2312" width="3" style="284" customWidth="1"/>
    <col min="2313" max="2317" width="6.26953125" style="284" customWidth="1"/>
    <col min="2318" max="2319" width="3.08984375" style="284" customWidth="1"/>
    <col min="2320" max="2320" width="6.26953125" style="284" customWidth="1"/>
    <col min="2321" max="2321" width="6" style="284" customWidth="1"/>
    <col min="2322" max="2322" width="3.08984375" style="284" customWidth="1"/>
    <col min="2323" max="2323" width="10.26953125" style="284" bestFit="1" customWidth="1"/>
    <col min="2324" max="2324" width="10.90625" style="284" bestFit="1" customWidth="1"/>
    <col min="2325" max="2325" width="6.26953125" style="284" customWidth="1"/>
    <col min="2326" max="2566" width="9" style="284"/>
    <col min="2567" max="2568" width="3" style="284" customWidth="1"/>
    <col min="2569" max="2573" width="6.26953125" style="284" customWidth="1"/>
    <col min="2574" max="2575" width="3.08984375" style="284" customWidth="1"/>
    <col min="2576" max="2576" width="6.26953125" style="284" customWidth="1"/>
    <col min="2577" max="2577" width="6" style="284" customWidth="1"/>
    <col min="2578" max="2578" width="3.08984375" style="284" customWidth="1"/>
    <col min="2579" max="2579" width="10.26953125" style="284" bestFit="1" customWidth="1"/>
    <col min="2580" max="2580" width="10.90625" style="284" bestFit="1" customWidth="1"/>
    <col min="2581" max="2581" width="6.26953125" style="284" customWidth="1"/>
    <col min="2582" max="2822" width="9" style="284"/>
    <col min="2823" max="2824" width="3" style="284" customWidth="1"/>
    <col min="2825" max="2829" width="6.26953125" style="284" customWidth="1"/>
    <col min="2830" max="2831" width="3.08984375" style="284" customWidth="1"/>
    <col min="2832" max="2832" width="6.26953125" style="284" customWidth="1"/>
    <col min="2833" max="2833" width="6" style="284" customWidth="1"/>
    <col min="2834" max="2834" width="3.08984375" style="284" customWidth="1"/>
    <col min="2835" max="2835" width="10.26953125" style="284" bestFit="1" customWidth="1"/>
    <col min="2836" max="2836" width="10.90625" style="284" bestFit="1" customWidth="1"/>
    <col min="2837" max="2837" width="6.26953125" style="284" customWidth="1"/>
    <col min="2838" max="3078" width="9" style="284"/>
    <col min="3079" max="3080" width="3" style="284" customWidth="1"/>
    <col min="3081" max="3085" width="6.26953125" style="284" customWidth="1"/>
    <col min="3086" max="3087" width="3.08984375" style="284" customWidth="1"/>
    <col min="3088" max="3088" width="6.26953125" style="284" customWidth="1"/>
    <col min="3089" max="3089" width="6" style="284" customWidth="1"/>
    <col min="3090" max="3090" width="3.08984375" style="284" customWidth="1"/>
    <col min="3091" max="3091" width="10.26953125" style="284" bestFit="1" customWidth="1"/>
    <col min="3092" max="3092" width="10.90625" style="284" bestFit="1" customWidth="1"/>
    <col min="3093" max="3093" width="6.26953125" style="284" customWidth="1"/>
    <col min="3094" max="3334" width="9" style="284"/>
    <col min="3335" max="3336" width="3" style="284" customWidth="1"/>
    <col min="3337" max="3341" width="6.26953125" style="284" customWidth="1"/>
    <col min="3342" max="3343" width="3.08984375" style="284" customWidth="1"/>
    <col min="3344" max="3344" width="6.26953125" style="284" customWidth="1"/>
    <col min="3345" max="3345" width="6" style="284" customWidth="1"/>
    <col min="3346" max="3346" width="3.08984375" style="284" customWidth="1"/>
    <col min="3347" max="3347" width="10.26953125" style="284" bestFit="1" customWidth="1"/>
    <col min="3348" max="3348" width="10.90625" style="284" bestFit="1" customWidth="1"/>
    <col min="3349" max="3349" width="6.26953125" style="284" customWidth="1"/>
    <col min="3350" max="3590" width="9" style="284"/>
    <col min="3591" max="3592" width="3" style="284" customWidth="1"/>
    <col min="3593" max="3597" width="6.26953125" style="284" customWidth="1"/>
    <col min="3598" max="3599" width="3.08984375" style="284" customWidth="1"/>
    <col min="3600" max="3600" width="6.26953125" style="284" customWidth="1"/>
    <col min="3601" max="3601" width="6" style="284" customWidth="1"/>
    <col min="3602" max="3602" width="3.08984375" style="284" customWidth="1"/>
    <col min="3603" max="3603" width="10.26953125" style="284" bestFit="1" customWidth="1"/>
    <col min="3604" max="3604" width="10.90625" style="284" bestFit="1" customWidth="1"/>
    <col min="3605" max="3605" width="6.26953125" style="284" customWidth="1"/>
    <col min="3606" max="3846" width="9" style="284"/>
    <col min="3847" max="3848" width="3" style="284" customWidth="1"/>
    <col min="3849" max="3853" width="6.26953125" style="284" customWidth="1"/>
    <col min="3854" max="3855" width="3.08984375" style="284" customWidth="1"/>
    <col min="3856" max="3856" width="6.26953125" style="284" customWidth="1"/>
    <col min="3857" max="3857" width="6" style="284" customWidth="1"/>
    <col min="3858" max="3858" width="3.08984375" style="284" customWidth="1"/>
    <col min="3859" max="3859" width="10.26953125" style="284" bestFit="1" customWidth="1"/>
    <col min="3860" max="3860" width="10.90625" style="284" bestFit="1" customWidth="1"/>
    <col min="3861" max="3861" width="6.26953125" style="284" customWidth="1"/>
    <col min="3862" max="4102" width="9" style="284"/>
    <col min="4103" max="4104" width="3" style="284" customWidth="1"/>
    <col min="4105" max="4109" width="6.26953125" style="284" customWidth="1"/>
    <col min="4110" max="4111" width="3.08984375" style="284" customWidth="1"/>
    <col min="4112" max="4112" width="6.26953125" style="284" customWidth="1"/>
    <col min="4113" max="4113" width="6" style="284" customWidth="1"/>
    <col min="4114" max="4114" width="3.08984375" style="284" customWidth="1"/>
    <col min="4115" max="4115" width="10.26953125" style="284" bestFit="1" customWidth="1"/>
    <col min="4116" max="4116" width="10.90625" style="284" bestFit="1" customWidth="1"/>
    <col min="4117" max="4117" width="6.26953125" style="284" customWidth="1"/>
    <col min="4118" max="4358" width="9" style="284"/>
    <col min="4359" max="4360" width="3" style="284" customWidth="1"/>
    <col min="4361" max="4365" width="6.26953125" style="284" customWidth="1"/>
    <col min="4366" max="4367" width="3.08984375" style="284" customWidth="1"/>
    <col min="4368" max="4368" width="6.26953125" style="284" customWidth="1"/>
    <col min="4369" max="4369" width="6" style="284" customWidth="1"/>
    <col min="4370" max="4370" width="3.08984375" style="284" customWidth="1"/>
    <col min="4371" max="4371" width="10.26953125" style="284" bestFit="1" customWidth="1"/>
    <col min="4372" max="4372" width="10.90625" style="284" bestFit="1" customWidth="1"/>
    <col min="4373" max="4373" width="6.26953125" style="284" customWidth="1"/>
    <col min="4374" max="4614" width="9" style="284"/>
    <col min="4615" max="4616" width="3" style="284" customWidth="1"/>
    <col min="4617" max="4621" width="6.26953125" style="284" customWidth="1"/>
    <col min="4622" max="4623" width="3.08984375" style="284" customWidth="1"/>
    <col min="4624" max="4624" width="6.26953125" style="284" customWidth="1"/>
    <col min="4625" max="4625" width="6" style="284" customWidth="1"/>
    <col min="4626" max="4626" width="3.08984375" style="284" customWidth="1"/>
    <col min="4627" max="4627" width="10.26953125" style="284" bestFit="1" customWidth="1"/>
    <col min="4628" max="4628" width="10.90625" style="284" bestFit="1" customWidth="1"/>
    <col min="4629" max="4629" width="6.26953125" style="284" customWidth="1"/>
    <col min="4630" max="4870" width="9" style="284"/>
    <col min="4871" max="4872" width="3" style="284" customWidth="1"/>
    <col min="4873" max="4877" width="6.26953125" style="284" customWidth="1"/>
    <col min="4878" max="4879" width="3.08984375" style="284" customWidth="1"/>
    <col min="4880" max="4880" width="6.26953125" style="284" customWidth="1"/>
    <col min="4881" max="4881" width="6" style="284" customWidth="1"/>
    <col min="4882" max="4882" width="3.08984375" style="284" customWidth="1"/>
    <col min="4883" max="4883" width="10.26953125" style="284" bestFit="1" customWidth="1"/>
    <col min="4884" max="4884" width="10.90625" style="284" bestFit="1" customWidth="1"/>
    <col min="4885" max="4885" width="6.26953125" style="284" customWidth="1"/>
    <col min="4886" max="5126" width="9" style="284"/>
    <col min="5127" max="5128" width="3" style="284" customWidth="1"/>
    <col min="5129" max="5133" width="6.26953125" style="284" customWidth="1"/>
    <col min="5134" max="5135" width="3.08984375" style="284" customWidth="1"/>
    <col min="5136" max="5136" width="6.26953125" style="284" customWidth="1"/>
    <col min="5137" max="5137" width="6" style="284" customWidth="1"/>
    <col min="5138" max="5138" width="3.08984375" style="284" customWidth="1"/>
    <col min="5139" max="5139" width="10.26953125" style="284" bestFit="1" customWidth="1"/>
    <col min="5140" max="5140" width="10.90625" style="284" bestFit="1" customWidth="1"/>
    <col min="5141" max="5141" width="6.26953125" style="284" customWidth="1"/>
    <col min="5142" max="5382" width="9" style="284"/>
    <col min="5383" max="5384" width="3" style="284" customWidth="1"/>
    <col min="5385" max="5389" width="6.26953125" style="284" customWidth="1"/>
    <col min="5390" max="5391" width="3.08984375" style="284" customWidth="1"/>
    <col min="5392" max="5392" width="6.26953125" style="284" customWidth="1"/>
    <col min="5393" max="5393" width="6" style="284" customWidth="1"/>
    <col min="5394" max="5394" width="3.08984375" style="284" customWidth="1"/>
    <col min="5395" max="5395" width="10.26953125" style="284" bestFit="1" customWidth="1"/>
    <col min="5396" max="5396" width="10.90625" style="284" bestFit="1" customWidth="1"/>
    <col min="5397" max="5397" width="6.26953125" style="284" customWidth="1"/>
    <col min="5398" max="5638" width="9" style="284"/>
    <col min="5639" max="5640" width="3" style="284" customWidth="1"/>
    <col min="5641" max="5645" width="6.26953125" style="284" customWidth="1"/>
    <col min="5646" max="5647" width="3.08984375" style="284" customWidth="1"/>
    <col min="5648" max="5648" width="6.26953125" style="284" customWidth="1"/>
    <col min="5649" max="5649" width="6" style="284" customWidth="1"/>
    <col min="5650" max="5650" width="3.08984375" style="284" customWidth="1"/>
    <col min="5651" max="5651" width="10.26953125" style="284" bestFit="1" customWidth="1"/>
    <col min="5652" max="5652" width="10.90625" style="284" bestFit="1" customWidth="1"/>
    <col min="5653" max="5653" width="6.26953125" style="284" customWidth="1"/>
    <col min="5654" max="5894" width="9" style="284"/>
    <col min="5895" max="5896" width="3" style="284" customWidth="1"/>
    <col min="5897" max="5901" width="6.26953125" style="284" customWidth="1"/>
    <col min="5902" max="5903" width="3.08984375" style="284" customWidth="1"/>
    <col min="5904" max="5904" width="6.26953125" style="284" customWidth="1"/>
    <col min="5905" max="5905" width="6" style="284" customWidth="1"/>
    <col min="5906" max="5906" width="3.08984375" style="284" customWidth="1"/>
    <col min="5907" max="5907" width="10.26953125" style="284" bestFit="1" customWidth="1"/>
    <col min="5908" max="5908" width="10.90625" style="284" bestFit="1" customWidth="1"/>
    <col min="5909" max="5909" width="6.26953125" style="284" customWidth="1"/>
    <col min="5910" max="6150" width="9" style="284"/>
    <col min="6151" max="6152" width="3" style="284" customWidth="1"/>
    <col min="6153" max="6157" width="6.26953125" style="284" customWidth="1"/>
    <col min="6158" max="6159" width="3.08984375" style="284" customWidth="1"/>
    <col min="6160" max="6160" width="6.26953125" style="284" customWidth="1"/>
    <col min="6161" max="6161" width="6" style="284" customWidth="1"/>
    <col min="6162" max="6162" width="3.08984375" style="284" customWidth="1"/>
    <col min="6163" max="6163" width="10.26953125" style="284" bestFit="1" customWidth="1"/>
    <col min="6164" max="6164" width="10.90625" style="284" bestFit="1" customWidth="1"/>
    <col min="6165" max="6165" width="6.26953125" style="284" customWidth="1"/>
    <col min="6166" max="6406" width="9" style="284"/>
    <col min="6407" max="6408" width="3" style="284" customWidth="1"/>
    <col min="6409" max="6413" width="6.26953125" style="284" customWidth="1"/>
    <col min="6414" max="6415" width="3.08984375" style="284" customWidth="1"/>
    <col min="6416" max="6416" width="6.26953125" style="284" customWidth="1"/>
    <col min="6417" max="6417" width="6" style="284" customWidth="1"/>
    <col min="6418" max="6418" width="3.08984375" style="284" customWidth="1"/>
    <col min="6419" max="6419" width="10.26953125" style="284" bestFit="1" customWidth="1"/>
    <col min="6420" max="6420" width="10.90625" style="284" bestFit="1" customWidth="1"/>
    <col min="6421" max="6421" width="6.26953125" style="284" customWidth="1"/>
    <col min="6422" max="6662" width="9" style="284"/>
    <col min="6663" max="6664" width="3" style="284" customWidth="1"/>
    <col min="6665" max="6669" width="6.26953125" style="284" customWidth="1"/>
    <col min="6670" max="6671" width="3.08984375" style="284" customWidth="1"/>
    <col min="6672" max="6672" width="6.26953125" style="284" customWidth="1"/>
    <col min="6673" max="6673" width="6" style="284" customWidth="1"/>
    <col min="6674" max="6674" width="3.08984375" style="284" customWidth="1"/>
    <col min="6675" max="6675" width="10.26953125" style="284" bestFit="1" customWidth="1"/>
    <col min="6676" max="6676" width="10.90625" style="284" bestFit="1" customWidth="1"/>
    <col min="6677" max="6677" width="6.26953125" style="284" customWidth="1"/>
    <col min="6678" max="6918" width="9" style="284"/>
    <col min="6919" max="6920" width="3" style="284" customWidth="1"/>
    <col min="6921" max="6925" width="6.26953125" style="284" customWidth="1"/>
    <col min="6926" max="6927" width="3.08984375" style="284" customWidth="1"/>
    <col min="6928" max="6928" width="6.26953125" style="284" customWidth="1"/>
    <col min="6929" max="6929" width="6" style="284" customWidth="1"/>
    <col min="6930" max="6930" width="3.08984375" style="284" customWidth="1"/>
    <col min="6931" max="6931" width="10.26953125" style="284" bestFit="1" customWidth="1"/>
    <col min="6932" max="6932" width="10.90625" style="284" bestFit="1" customWidth="1"/>
    <col min="6933" max="6933" width="6.26953125" style="284" customWidth="1"/>
    <col min="6934" max="7174" width="9" style="284"/>
    <col min="7175" max="7176" width="3" style="284" customWidth="1"/>
    <col min="7177" max="7181" width="6.26953125" style="284" customWidth="1"/>
    <col min="7182" max="7183" width="3.08984375" style="284" customWidth="1"/>
    <col min="7184" max="7184" width="6.26953125" style="284" customWidth="1"/>
    <col min="7185" max="7185" width="6" style="284" customWidth="1"/>
    <col min="7186" max="7186" width="3.08984375" style="284" customWidth="1"/>
    <col min="7187" max="7187" width="10.26953125" style="284" bestFit="1" customWidth="1"/>
    <col min="7188" max="7188" width="10.90625" style="284" bestFit="1" customWidth="1"/>
    <col min="7189" max="7189" width="6.26953125" style="284" customWidth="1"/>
    <col min="7190" max="7430" width="9" style="284"/>
    <col min="7431" max="7432" width="3" style="284" customWidth="1"/>
    <col min="7433" max="7437" width="6.26953125" style="284" customWidth="1"/>
    <col min="7438" max="7439" width="3.08984375" style="284" customWidth="1"/>
    <col min="7440" max="7440" width="6.26953125" style="284" customWidth="1"/>
    <col min="7441" max="7441" width="6" style="284" customWidth="1"/>
    <col min="7442" max="7442" width="3.08984375" style="284" customWidth="1"/>
    <col min="7443" max="7443" width="10.26953125" style="284" bestFit="1" customWidth="1"/>
    <col min="7444" max="7444" width="10.90625" style="284" bestFit="1" customWidth="1"/>
    <col min="7445" max="7445" width="6.26953125" style="284" customWidth="1"/>
    <col min="7446" max="7686" width="9" style="284"/>
    <col min="7687" max="7688" width="3" style="284" customWidth="1"/>
    <col min="7689" max="7693" width="6.26953125" style="284" customWidth="1"/>
    <col min="7694" max="7695" width="3.08984375" style="284" customWidth="1"/>
    <col min="7696" max="7696" width="6.26953125" style="284" customWidth="1"/>
    <col min="7697" max="7697" width="6" style="284" customWidth="1"/>
    <col min="7698" max="7698" width="3.08984375" style="284" customWidth="1"/>
    <col min="7699" max="7699" width="10.26953125" style="284" bestFit="1" customWidth="1"/>
    <col min="7700" max="7700" width="10.90625" style="284" bestFit="1" customWidth="1"/>
    <col min="7701" max="7701" width="6.26953125" style="284" customWidth="1"/>
    <col min="7702" max="7942" width="9" style="284"/>
    <col min="7943" max="7944" width="3" style="284" customWidth="1"/>
    <col min="7945" max="7949" width="6.26953125" style="284" customWidth="1"/>
    <col min="7950" max="7951" width="3.08984375" style="284" customWidth="1"/>
    <col min="7952" max="7952" width="6.26953125" style="284" customWidth="1"/>
    <col min="7953" max="7953" width="6" style="284" customWidth="1"/>
    <col min="7954" max="7954" width="3.08984375" style="284" customWidth="1"/>
    <col min="7955" max="7955" width="10.26953125" style="284" bestFit="1" customWidth="1"/>
    <col min="7956" max="7956" width="10.90625" style="284" bestFit="1" customWidth="1"/>
    <col min="7957" max="7957" width="6.26953125" style="284" customWidth="1"/>
    <col min="7958" max="8198" width="9" style="284"/>
    <col min="8199" max="8200" width="3" style="284" customWidth="1"/>
    <col min="8201" max="8205" width="6.26953125" style="284" customWidth="1"/>
    <col min="8206" max="8207" width="3.08984375" style="284" customWidth="1"/>
    <col min="8208" max="8208" width="6.26953125" style="284" customWidth="1"/>
    <col min="8209" max="8209" width="6" style="284" customWidth="1"/>
    <col min="8210" max="8210" width="3.08984375" style="284" customWidth="1"/>
    <col min="8211" max="8211" width="10.26953125" style="284" bestFit="1" customWidth="1"/>
    <col min="8212" max="8212" width="10.90625" style="284" bestFit="1" customWidth="1"/>
    <col min="8213" max="8213" width="6.26953125" style="284" customWidth="1"/>
    <col min="8214" max="8454" width="9" style="284"/>
    <col min="8455" max="8456" width="3" style="284" customWidth="1"/>
    <col min="8457" max="8461" width="6.26953125" style="284" customWidth="1"/>
    <col min="8462" max="8463" width="3.08984375" style="284" customWidth="1"/>
    <col min="8464" max="8464" width="6.26953125" style="284" customWidth="1"/>
    <col min="8465" max="8465" width="6" style="284" customWidth="1"/>
    <col min="8466" max="8466" width="3.08984375" style="284" customWidth="1"/>
    <col min="8467" max="8467" width="10.26953125" style="284" bestFit="1" customWidth="1"/>
    <col min="8468" max="8468" width="10.90625" style="284" bestFit="1" customWidth="1"/>
    <col min="8469" max="8469" width="6.26953125" style="284" customWidth="1"/>
    <col min="8470" max="8710" width="9" style="284"/>
    <col min="8711" max="8712" width="3" style="284" customWidth="1"/>
    <col min="8713" max="8717" width="6.26953125" style="284" customWidth="1"/>
    <col min="8718" max="8719" width="3.08984375" style="284" customWidth="1"/>
    <col min="8720" max="8720" width="6.26953125" style="284" customWidth="1"/>
    <col min="8721" max="8721" width="6" style="284" customWidth="1"/>
    <col min="8722" max="8722" width="3.08984375" style="284" customWidth="1"/>
    <col min="8723" max="8723" width="10.26953125" style="284" bestFit="1" customWidth="1"/>
    <col min="8724" max="8724" width="10.90625" style="284" bestFit="1" customWidth="1"/>
    <col min="8725" max="8725" width="6.26953125" style="284" customWidth="1"/>
    <col min="8726" max="8966" width="9" style="284"/>
    <col min="8967" max="8968" width="3" style="284" customWidth="1"/>
    <col min="8969" max="8973" width="6.26953125" style="284" customWidth="1"/>
    <col min="8974" max="8975" width="3.08984375" style="284" customWidth="1"/>
    <col min="8976" max="8976" width="6.26953125" style="284" customWidth="1"/>
    <col min="8977" max="8977" width="6" style="284" customWidth="1"/>
    <col min="8978" max="8978" width="3.08984375" style="284" customWidth="1"/>
    <col min="8979" max="8979" width="10.26953125" style="284" bestFit="1" customWidth="1"/>
    <col min="8980" max="8980" width="10.90625" style="284" bestFit="1" customWidth="1"/>
    <col min="8981" max="8981" width="6.26953125" style="284" customWidth="1"/>
    <col min="8982" max="9222" width="9" style="284"/>
    <col min="9223" max="9224" width="3" style="284" customWidth="1"/>
    <col min="9225" max="9229" width="6.26953125" style="284" customWidth="1"/>
    <col min="9230" max="9231" width="3.08984375" style="284" customWidth="1"/>
    <col min="9232" max="9232" width="6.26953125" style="284" customWidth="1"/>
    <col min="9233" max="9233" width="6" style="284" customWidth="1"/>
    <col min="9234" max="9234" width="3.08984375" style="284" customWidth="1"/>
    <col min="9235" max="9235" width="10.26953125" style="284" bestFit="1" customWidth="1"/>
    <col min="9236" max="9236" width="10.90625" style="284" bestFit="1" customWidth="1"/>
    <col min="9237" max="9237" width="6.26953125" style="284" customWidth="1"/>
    <col min="9238" max="9478" width="9" style="284"/>
    <col min="9479" max="9480" width="3" style="284" customWidth="1"/>
    <col min="9481" max="9485" width="6.26953125" style="284" customWidth="1"/>
    <col min="9486" max="9487" width="3.08984375" style="284" customWidth="1"/>
    <col min="9488" max="9488" width="6.26953125" style="284" customWidth="1"/>
    <col min="9489" max="9489" width="6" style="284" customWidth="1"/>
    <col min="9490" max="9490" width="3.08984375" style="284" customWidth="1"/>
    <col min="9491" max="9491" width="10.26953125" style="284" bestFit="1" customWidth="1"/>
    <col min="9492" max="9492" width="10.90625" style="284" bestFit="1" customWidth="1"/>
    <col min="9493" max="9493" width="6.26953125" style="284" customWidth="1"/>
    <col min="9494" max="9734" width="9" style="284"/>
    <col min="9735" max="9736" width="3" style="284" customWidth="1"/>
    <col min="9737" max="9741" width="6.26953125" style="284" customWidth="1"/>
    <col min="9742" max="9743" width="3.08984375" style="284" customWidth="1"/>
    <col min="9744" max="9744" width="6.26953125" style="284" customWidth="1"/>
    <col min="9745" max="9745" width="6" style="284" customWidth="1"/>
    <col min="9746" max="9746" width="3.08984375" style="284" customWidth="1"/>
    <col min="9747" max="9747" width="10.26953125" style="284" bestFit="1" customWidth="1"/>
    <col min="9748" max="9748" width="10.90625" style="284" bestFit="1" customWidth="1"/>
    <col min="9749" max="9749" width="6.26953125" style="284" customWidth="1"/>
    <col min="9750" max="9990" width="9" style="284"/>
    <col min="9991" max="9992" width="3" style="284" customWidth="1"/>
    <col min="9993" max="9997" width="6.26953125" style="284" customWidth="1"/>
    <col min="9998" max="9999" width="3.08984375" style="284" customWidth="1"/>
    <col min="10000" max="10000" width="6.26953125" style="284" customWidth="1"/>
    <col min="10001" max="10001" width="6" style="284" customWidth="1"/>
    <col min="10002" max="10002" width="3.08984375" style="284" customWidth="1"/>
    <col min="10003" max="10003" width="10.26953125" style="284" bestFit="1" customWidth="1"/>
    <col min="10004" max="10004" width="10.90625" style="284" bestFit="1" customWidth="1"/>
    <col min="10005" max="10005" width="6.26953125" style="284" customWidth="1"/>
    <col min="10006" max="10246" width="9" style="284"/>
    <col min="10247" max="10248" width="3" style="284" customWidth="1"/>
    <col min="10249" max="10253" width="6.26953125" style="284" customWidth="1"/>
    <col min="10254" max="10255" width="3.08984375" style="284" customWidth="1"/>
    <col min="10256" max="10256" width="6.26953125" style="284" customWidth="1"/>
    <col min="10257" max="10257" width="6" style="284" customWidth="1"/>
    <col min="10258" max="10258" width="3.08984375" style="284" customWidth="1"/>
    <col min="10259" max="10259" width="10.26953125" style="284" bestFit="1" customWidth="1"/>
    <col min="10260" max="10260" width="10.90625" style="284" bestFit="1" customWidth="1"/>
    <col min="10261" max="10261" width="6.26953125" style="284" customWidth="1"/>
    <col min="10262" max="10502" width="9" style="284"/>
    <col min="10503" max="10504" width="3" style="284" customWidth="1"/>
    <col min="10505" max="10509" width="6.26953125" style="284" customWidth="1"/>
    <col min="10510" max="10511" width="3.08984375" style="284" customWidth="1"/>
    <col min="10512" max="10512" width="6.26953125" style="284" customWidth="1"/>
    <col min="10513" max="10513" width="6" style="284" customWidth="1"/>
    <col min="10514" max="10514" width="3.08984375" style="284" customWidth="1"/>
    <col min="10515" max="10515" width="10.26953125" style="284" bestFit="1" customWidth="1"/>
    <col min="10516" max="10516" width="10.90625" style="284" bestFit="1" customWidth="1"/>
    <col min="10517" max="10517" width="6.26953125" style="284" customWidth="1"/>
    <col min="10518" max="10758" width="9" style="284"/>
    <col min="10759" max="10760" width="3" style="284" customWidth="1"/>
    <col min="10761" max="10765" width="6.26953125" style="284" customWidth="1"/>
    <col min="10766" max="10767" width="3.08984375" style="284" customWidth="1"/>
    <col min="10768" max="10768" width="6.26953125" style="284" customWidth="1"/>
    <col min="10769" max="10769" width="6" style="284" customWidth="1"/>
    <col min="10770" max="10770" width="3.08984375" style="284" customWidth="1"/>
    <col min="10771" max="10771" width="10.26953125" style="284" bestFit="1" customWidth="1"/>
    <col min="10772" max="10772" width="10.90625" style="284" bestFit="1" customWidth="1"/>
    <col min="10773" max="10773" width="6.26953125" style="284" customWidth="1"/>
    <col min="10774" max="11014" width="9" style="284"/>
    <col min="11015" max="11016" width="3" style="284" customWidth="1"/>
    <col min="11017" max="11021" width="6.26953125" style="284" customWidth="1"/>
    <col min="11022" max="11023" width="3.08984375" style="284" customWidth="1"/>
    <col min="11024" max="11024" width="6.26953125" style="284" customWidth="1"/>
    <col min="11025" max="11025" width="6" style="284" customWidth="1"/>
    <col min="11026" max="11026" width="3.08984375" style="284" customWidth="1"/>
    <col min="11027" max="11027" width="10.26953125" style="284" bestFit="1" customWidth="1"/>
    <col min="11028" max="11028" width="10.90625" style="284" bestFit="1" customWidth="1"/>
    <col min="11029" max="11029" width="6.26953125" style="284" customWidth="1"/>
    <col min="11030" max="11270" width="9" style="284"/>
    <col min="11271" max="11272" width="3" style="284" customWidth="1"/>
    <col min="11273" max="11277" width="6.26953125" style="284" customWidth="1"/>
    <col min="11278" max="11279" width="3.08984375" style="284" customWidth="1"/>
    <col min="11280" max="11280" width="6.26953125" style="284" customWidth="1"/>
    <col min="11281" max="11281" width="6" style="284" customWidth="1"/>
    <col min="11282" max="11282" width="3.08984375" style="284" customWidth="1"/>
    <col min="11283" max="11283" width="10.26953125" style="284" bestFit="1" customWidth="1"/>
    <col min="11284" max="11284" width="10.90625" style="284" bestFit="1" customWidth="1"/>
    <col min="11285" max="11285" width="6.26953125" style="284" customWidth="1"/>
    <col min="11286" max="11526" width="9" style="284"/>
    <col min="11527" max="11528" width="3" style="284" customWidth="1"/>
    <col min="11529" max="11533" width="6.26953125" style="284" customWidth="1"/>
    <col min="11534" max="11535" width="3.08984375" style="284" customWidth="1"/>
    <col min="11536" max="11536" width="6.26953125" style="284" customWidth="1"/>
    <col min="11537" max="11537" width="6" style="284" customWidth="1"/>
    <col min="11538" max="11538" width="3.08984375" style="284" customWidth="1"/>
    <col min="11539" max="11539" width="10.26953125" style="284" bestFit="1" customWidth="1"/>
    <col min="11540" max="11540" width="10.90625" style="284" bestFit="1" customWidth="1"/>
    <col min="11541" max="11541" width="6.26953125" style="284" customWidth="1"/>
    <col min="11542" max="11782" width="9" style="284"/>
    <col min="11783" max="11784" width="3" style="284" customWidth="1"/>
    <col min="11785" max="11789" width="6.26953125" style="284" customWidth="1"/>
    <col min="11790" max="11791" width="3.08984375" style="284" customWidth="1"/>
    <col min="11792" max="11792" width="6.26953125" style="284" customWidth="1"/>
    <col min="11793" max="11793" width="6" style="284" customWidth="1"/>
    <col min="11794" max="11794" width="3.08984375" style="284" customWidth="1"/>
    <col min="11795" max="11795" width="10.26953125" style="284" bestFit="1" customWidth="1"/>
    <col min="11796" max="11796" width="10.90625" style="284" bestFit="1" customWidth="1"/>
    <col min="11797" max="11797" width="6.26953125" style="284" customWidth="1"/>
    <col min="11798" max="12038" width="9" style="284"/>
    <col min="12039" max="12040" width="3" style="284" customWidth="1"/>
    <col min="12041" max="12045" width="6.26953125" style="284" customWidth="1"/>
    <col min="12046" max="12047" width="3.08984375" style="284" customWidth="1"/>
    <col min="12048" max="12048" width="6.26953125" style="284" customWidth="1"/>
    <col min="12049" max="12049" width="6" style="284" customWidth="1"/>
    <col min="12050" max="12050" width="3.08984375" style="284" customWidth="1"/>
    <col min="12051" max="12051" width="10.26953125" style="284" bestFit="1" customWidth="1"/>
    <col min="12052" max="12052" width="10.90625" style="284" bestFit="1" customWidth="1"/>
    <col min="12053" max="12053" width="6.26953125" style="284" customWidth="1"/>
    <col min="12054" max="12294" width="9" style="284"/>
    <col min="12295" max="12296" width="3" style="284" customWidth="1"/>
    <col min="12297" max="12301" width="6.26953125" style="284" customWidth="1"/>
    <col min="12302" max="12303" width="3.08984375" style="284" customWidth="1"/>
    <col min="12304" max="12304" width="6.26953125" style="284" customWidth="1"/>
    <col min="12305" max="12305" width="6" style="284" customWidth="1"/>
    <col min="12306" max="12306" width="3.08984375" style="284" customWidth="1"/>
    <col min="12307" max="12307" width="10.26953125" style="284" bestFit="1" customWidth="1"/>
    <col min="12308" max="12308" width="10.90625" style="284" bestFit="1" customWidth="1"/>
    <col min="12309" max="12309" width="6.26953125" style="284" customWidth="1"/>
    <col min="12310" max="12550" width="9" style="284"/>
    <col min="12551" max="12552" width="3" style="284" customWidth="1"/>
    <col min="12553" max="12557" width="6.26953125" style="284" customWidth="1"/>
    <col min="12558" max="12559" width="3.08984375" style="284" customWidth="1"/>
    <col min="12560" max="12560" width="6.26953125" style="284" customWidth="1"/>
    <col min="12561" max="12561" width="6" style="284" customWidth="1"/>
    <col min="12562" max="12562" width="3.08984375" style="284" customWidth="1"/>
    <col min="12563" max="12563" width="10.26953125" style="284" bestFit="1" customWidth="1"/>
    <col min="12564" max="12564" width="10.90625" style="284" bestFit="1" customWidth="1"/>
    <col min="12565" max="12565" width="6.26953125" style="284" customWidth="1"/>
    <col min="12566" max="12806" width="9" style="284"/>
    <col min="12807" max="12808" width="3" style="284" customWidth="1"/>
    <col min="12809" max="12813" width="6.26953125" style="284" customWidth="1"/>
    <col min="12814" max="12815" width="3.08984375" style="284" customWidth="1"/>
    <col min="12816" max="12816" width="6.26953125" style="284" customWidth="1"/>
    <col min="12817" max="12817" width="6" style="284" customWidth="1"/>
    <col min="12818" max="12818" width="3.08984375" style="284" customWidth="1"/>
    <col min="12819" max="12819" width="10.26953125" style="284" bestFit="1" customWidth="1"/>
    <col min="12820" max="12820" width="10.90625" style="284" bestFit="1" customWidth="1"/>
    <col min="12821" max="12821" width="6.26953125" style="284" customWidth="1"/>
    <col min="12822" max="13062" width="9" style="284"/>
    <col min="13063" max="13064" width="3" style="284" customWidth="1"/>
    <col min="13065" max="13069" width="6.26953125" style="284" customWidth="1"/>
    <col min="13070" max="13071" width="3.08984375" style="284" customWidth="1"/>
    <col min="13072" max="13072" width="6.26953125" style="284" customWidth="1"/>
    <col min="13073" max="13073" width="6" style="284" customWidth="1"/>
    <col min="13074" max="13074" width="3.08984375" style="284" customWidth="1"/>
    <col min="13075" max="13075" width="10.26953125" style="284" bestFit="1" customWidth="1"/>
    <col min="13076" max="13076" width="10.90625" style="284" bestFit="1" customWidth="1"/>
    <col min="13077" max="13077" width="6.26953125" style="284" customWidth="1"/>
    <col min="13078" max="13318" width="9" style="284"/>
    <col min="13319" max="13320" width="3" style="284" customWidth="1"/>
    <col min="13321" max="13325" width="6.26953125" style="284" customWidth="1"/>
    <col min="13326" max="13327" width="3.08984375" style="284" customWidth="1"/>
    <col min="13328" max="13328" width="6.26953125" style="284" customWidth="1"/>
    <col min="13329" max="13329" width="6" style="284" customWidth="1"/>
    <col min="13330" max="13330" width="3.08984375" style="284" customWidth="1"/>
    <col min="13331" max="13331" width="10.26953125" style="284" bestFit="1" customWidth="1"/>
    <col min="13332" max="13332" width="10.90625" style="284" bestFit="1" customWidth="1"/>
    <col min="13333" max="13333" width="6.26953125" style="284" customWidth="1"/>
    <col min="13334" max="13574" width="9" style="284"/>
    <col min="13575" max="13576" width="3" style="284" customWidth="1"/>
    <col min="13577" max="13581" width="6.26953125" style="284" customWidth="1"/>
    <col min="13582" max="13583" width="3.08984375" style="284" customWidth="1"/>
    <col min="13584" max="13584" width="6.26953125" style="284" customWidth="1"/>
    <col min="13585" max="13585" width="6" style="284" customWidth="1"/>
    <col min="13586" max="13586" width="3.08984375" style="284" customWidth="1"/>
    <col min="13587" max="13587" width="10.26953125" style="284" bestFit="1" customWidth="1"/>
    <col min="13588" max="13588" width="10.90625" style="284" bestFit="1" customWidth="1"/>
    <col min="13589" max="13589" width="6.26953125" style="284" customWidth="1"/>
    <col min="13590" max="13830" width="9" style="284"/>
    <col min="13831" max="13832" width="3" style="284" customWidth="1"/>
    <col min="13833" max="13837" width="6.26953125" style="284" customWidth="1"/>
    <col min="13838" max="13839" width="3.08984375" style="284" customWidth="1"/>
    <col min="13840" max="13840" width="6.26953125" style="284" customWidth="1"/>
    <col min="13841" max="13841" width="6" style="284" customWidth="1"/>
    <col min="13842" max="13842" width="3.08984375" style="284" customWidth="1"/>
    <col min="13843" max="13843" width="10.26953125" style="284" bestFit="1" customWidth="1"/>
    <col min="13844" max="13844" width="10.90625" style="284" bestFit="1" customWidth="1"/>
    <col min="13845" max="13845" width="6.26953125" style="284" customWidth="1"/>
    <col min="13846" max="14086" width="9" style="284"/>
    <col min="14087" max="14088" width="3" style="284" customWidth="1"/>
    <col min="14089" max="14093" width="6.26953125" style="284" customWidth="1"/>
    <col min="14094" max="14095" width="3.08984375" style="284" customWidth="1"/>
    <col min="14096" max="14096" width="6.26953125" style="284" customWidth="1"/>
    <col min="14097" max="14097" width="6" style="284" customWidth="1"/>
    <col min="14098" max="14098" width="3.08984375" style="284" customWidth="1"/>
    <col min="14099" max="14099" width="10.26953125" style="284" bestFit="1" customWidth="1"/>
    <col min="14100" max="14100" width="10.90625" style="284" bestFit="1" customWidth="1"/>
    <col min="14101" max="14101" width="6.26953125" style="284" customWidth="1"/>
    <col min="14102" max="14342" width="9" style="284"/>
    <col min="14343" max="14344" width="3" style="284" customWidth="1"/>
    <col min="14345" max="14349" width="6.26953125" style="284" customWidth="1"/>
    <col min="14350" max="14351" width="3.08984375" style="284" customWidth="1"/>
    <col min="14352" max="14352" width="6.26953125" style="284" customWidth="1"/>
    <col min="14353" max="14353" width="6" style="284" customWidth="1"/>
    <col min="14354" max="14354" width="3.08984375" style="284" customWidth="1"/>
    <col min="14355" max="14355" width="10.26953125" style="284" bestFit="1" customWidth="1"/>
    <col min="14356" max="14356" width="10.90625" style="284" bestFit="1" customWidth="1"/>
    <col min="14357" max="14357" width="6.26953125" style="284" customWidth="1"/>
    <col min="14358" max="14598" width="9" style="284"/>
    <col min="14599" max="14600" width="3" style="284" customWidth="1"/>
    <col min="14601" max="14605" width="6.26953125" style="284" customWidth="1"/>
    <col min="14606" max="14607" width="3.08984375" style="284" customWidth="1"/>
    <col min="14608" max="14608" width="6.26953125" style="284" customWidth="1"/>
    <col min="14609" max="14609" width="6" style="284" customWidth="1"/>
    <col min="14610" max="14610" width="3.08984375" style="284" customWidth="1"/>
    <col min="14611" max="14611" width="10.26953125" style="284" bestFit="1" customWidth="1"/>
    <col min="14612" max="14612" width="10.90625" style="284" bestFit="1" customWidth="1"/>
    <col min="14613" max="14613" width="6.26953125" style="284" customWidth="1"/>
    <col min="14614" max="14854" width="9" style="284"/>
    <col min="14855" max="14856" width="3" style="284" customWidth="1"/>
    <col min="14857" max="14861" width="6.26953125" style="284" customWidth="1"/>
    <col min="14862" max="14863" width="3.08984375" style="284" customWidth="1"/>
    <col min="14864" max="14864" width="6.26953125" style="284" customWidth="1"/>
    <col min="14865" max="14865" width="6" style="284" customWidth="1"/>
    <col min="14866" max="14866" width="3.08984375" style="284" customWidth="1"/>
    <col min="14867" max="14867" width="10.26953125" style="284" bestFit="1" customWidth="1"/>
    <col min="14868" max="14868" width="10.90625" style="284" bestFit="1" customWidth="1"/>
    <col min="14869" max="14869" width="6.26953125" style="284" customWidth="1"/>
    <col min="14870" max="15110" width="9" style="284"/>
    <col min="15111" max="15112" width="3" style="284" customWidth="1"/>
    <col min="15113" max="15117" width="6.26953125" style="284" customWidth="1"/>
    <col min="15118" max="15119" width="3.08984375" style="284" customWidth="1"/>
    <col min="15120" max="15120" width="6.26953125" style="284" customWidth="1"/>
    <col min="15121" max="15121" width="6" style="284" customWidth="1"/>
    <col min="15122" max="15122" width="3.08984375" style="284" customWidth="1"/>
    <col min="15123" max="15123" width="10.26953125" style="284" bestFit="1" customWidth="1"/>
    <col min="15124" max="15124" width="10.90625" style="284" bestFit="1" customWidth="1"/>
    <col min="15125" max="15125" width="6.26953125" style="284" customWidth="1"/>
    <col min="15126" max="15366" width="9" style="284"/>
    <col min="15367" max="15368" width="3" style="284" customWidth="1"/>
    <col min="15369" max="15373" width="6.26953125" style="284" customWidth="1"/>
    <col min="15374" max="15375" width="3.08984375" style="284" customWidth="1"/>
    <col min="15376" max="15376" width="6.26953125" style="284" customWidth="1"/>
    <col min="15377" max="15377" width="6" style="284" customWidth="1"/>
    <col min="15378" max="15378" width="3.08984375" style="284" customWidth="1"/>
    <col min="15379" max="15379" width="10.26953125" style="284" bestFit="1" customWidth="1"/>
    <col min="15380" max="15380" width="10.90625" style="284" bestFit="1" customWidth="1"/>
    <col min="15381" max="15381" width="6.26953125" style="284" customWidth="1"/>
    <col min="15382" max="15622" width="9" style="284"/>
    <col min="15623" max="15624" width="3" style="284" customWidth="1"/>
    <col min="15625" max="15629" width="6.26953125" style="284" customWidth="1"/>
    <col min="15630" max="15631" width="3.08984375" style="284" customWidth="1"/>
    <col min="15632" max="15632" width="6.26953125" style="284" customWidth="1"/>
    <col min="15633" max="15633" width="6" style="284" customWidth="1"/>
    <col min="15634" max="15634" width="3.08984375" style="284" customWidth="1"/>
    <col min="15635" max="15635" width="10.26953125" style="284" bestFit="1" customWidth="1"/>
    <col min="15636" max="15636" width="10.90625" style="284" bestFit="1" customWidth="1"/>
    <col min="15637" max="15637" width="6.26953125" style="284" customWidth="1"/>
    <col min="15638" max="15878" width="9" style="284"/>
    <col min="15879" max="15880" width="3" style="284" customWidth="1"/>
    <col min="15881" max="15885" width="6.26953125" style="284" customWidth="1"/>
    <col min="15886" max="15887" width="3.08984375" style="284" customWidth="1"/>
    <col min="15888" max="15888" width="6.26953125" style="284" customWidth="1"/>
    <col min="15889" max="15889" width="6" style="284" customWidth="1"/>
    <col min="15890" max="15890" width="3.08984375" style="284" customWidth="1"/>
    <col min="15891" max="15891" width="10.26953125" style="284" bestFit="1" customWidth="1"/>
    <col min="15892" max="15892" width="10.90625" style="284" bestFit="1" customWidth="1"/>
    <col min="15893" max="15893" width="6.26953125" style="284" customWidth="1"/>
    <col min="15894" max="16134" width="9" style="284"/>
    <col min="16135" max="16136" width="3" style="284" customWidth="1"/>
    <col min="16137" max="16141" width="6.26953125" style="284" customWidth="1"/>
    <col min="16142" max="16143" width="3.08984375" style="284" customWidth="1"/>
    <col min="16144" max="16144" width="6.26953125" style="284" customWidth="1"/>
    <col min="16145" max="16145" width="6" style="284" customWidth="1"/>
    <col min="16146" max="16146" width="3.08984375" style="284" customWidth="1"/>
    <col min="16147" max="16147" width="10.26953125" style="284" bestFit="1" customWidth="1"/>
    <col min="16148" max="16148" width="10.90625" style="284" bestFit="1" customWidth="1"/>
    <col min="16149" max="16149" width="6.26953125" style="284" customWidth="1"/>
    <col min="16150" max="16384" width="9" style="284"/>
  </cols>
  <sheetData>
    <row r="1" spans="1:82" ht="37.5" customHeight="1">
      <c r="B1" s="285"/>
    </row>
    <row r="3" spans="1:82">
      <c r="F3" s="286"/>
      <c r="G3" s="286"/>
      <c r="H3" s="286"/>
      <c r="I3" s="286"/>
      <c r="J3" s="286"/>
      <c r="K3" s="286"/>
      <c r="L3" s="286"/>
      <c r="M3" s="286"/>
      <c r="N3" s="286"/>
      <c r="O3" s="286"/>
      <c r="AA3" s="286"/>
      <c r="AB3" s="286"/>
      <c r="AC3" s="286"/>
      <c r="AD3" s="286"/>
      <c r="AE3" s="286"/>
      <c r="AF3" s="286"/>
      <c r="AG3" s="286"/>
      <c r="AH3" s="286"/>
      <c r="AI3" s="286"/>
      <c r="AJ3" s="286"/>
      <c r="AV3" s="286"/>
      <c r="AW3" s="286"/>
      <c r="AX3" s="286"/>
      <c r="AY3" s="286"/>
      <c r="AZ3" s="286"/>
      <c r="BA3" s="286"/>
      <c r="BB3" s="286"/>
      <c r="BC3" s="286"/>
      <c r="BD3" s="286"/>
      <c r="BE3" s="286"/>
      <c r="BQ3" s="286"/>
      <c r="BR3" s="286"/>
      <c r="BS3" s="286"/>
      <c r="BT3" s="286"/>
      <c r="BU3" s="286"/>
      <c r="BV3" s="286"/>
      <c r="BW3" s="286"/>
      <c r="BX3" s="286"/>
      <c r="BY3" s="286"/>
      <c r="BZ3" s="286"/>
    </row>
    <row r="4" spans="1:82" ht="16.5" customHeight="1">
      <c r="E4" s="287"/>
      <c r="F4" s="605" t="str">
        <f>報告書!$E$7</f>
        <v>○○工場立地による経済波及効果</v>
      </c>
      <c r="G4" s="606"/>
      <c r="H4" s="606"/>
      <c r="I4" s="606"/>
      <c r="J4" s="606"/>
      <c r="K4" s="606"/>
      <c r="L4" s="606"/>
      <c r="M4" s="606"/>
      <c r="N4" s="606"/>
      <c r="O4" s="607"/>
      <c r="P4" s="288"/>
      <c r="Z4" s="287"/>
      <c r="AA4" s="611" t="str">
        <f>報告書!$E$7</f>
        <v>○○工場立地による経済波及効果</v>
      </c>
      <c r="AB4" s="612"/>
      <c r="AC4" s="612"/>
      <c r="AD4" s="612"/>
      <c r="AE4" s="612"/>
      <c r="AF4" s="612"/>
      <c r="AG4" s="612"/>
      <c r="AH4" s="612"/>
      <c r="AI4" s="612"/>
      <c r="AJ4" s="613"/>
      <c r="AK4" s="288"/>
      <c r="AU4" s="287"/>
      <c r="AV4" s="611" t="str">
        <f>報告書!$E$7</f>
        <v>○○工場立地による経済波及効果</v>
      </c>
      <c r="AW4" s="612"/>
      <c r="AX4" s="612"/>
      <c r="AY4" s="612"/>
      <c r="AZ4" s="612"/>
      <c r="BA4" s="612"/>
      <c r="BB4" s="612"/>
      <c r="BC4" s="612"/>
      <c r="BD4" s="612"/>
      <c r="BE4" s="613"/>
      <c r="BF4" s="288"/>
      <c r="BP4" s="287"/>
      <c r="BQ4" s="611" t="str">
        <f>報告書!$E$7</f>
        <v>○○工場立地による経済波及効果</v>
      </c>
      <c r="BR4" s="612"/>
      <c r="BS4" s="612"/>
      <c r="BT4" s="612"/>
      <c r="BU4" s="612"/>
      <c r="BV4" s="612"/>
      <c r="BW4" s="612"/>
      <c r="BX4" s="612"/>
      <c r="BY4" s="612"/>
      <c r="BZ4" s="613"/>
      <c r="CA4" s="288"/>
    </row>
    <row r="5" spans="1:82" ht="17.25" customHeight="1" thickBot="1">
      <c r="E5" s="287"/>
      <c r="F5" s="608"/>
      <c r="G5" s="609"/>
      <c r="H5" s="609"/>
      <c r="I5" s="609"/>
      <c r="J5" s="609"/>
      <c r="K5" s="609"/>
      <c r="L5" s="609"/>
      <c r="M5" s="609"/>
      <c r="N5" s="609"/>
      <c r="O5" s="610"/>
      <c r="P5" s="288"/>
      <c r="Z5" s="287"/>
      <c r="AA5" s="614"/>
      <c r="AB5" s="615"/>
      <c r="AC5" s="615"/>
      <c r="AD5" s="615"/>
      <c r="AE5" s="615"/>
      <c r="AF5" s="615"/>
      <c r="AG5" s="615"/>
      <c r="AH5" s="615"/>
      <c r="AI5" s="615"/>
      <c r="AJ5" s="616"/>
      <c r="AK5" s="288"/>
      <c r="AU5" s="287"/>
      <c r="AV5" s="614"/>
      <c r="AW5" s="615"/>
      <c r="AX5" s="615"/>
      <c r="AY5" s="615"/>
      <c r="AZ5" s="615"/>
      <c r="BA5" s="615"/>
      <c r="BB5" s="615"/>
      <c r="BC5" s="615"/>
      <c r="BD5" s="615"/>
      <c r="BE5" s="616"/>
      <c r="BF5" s="288"/>
      <c r="BP5" s="287"/>
      <c r="BQ5" s="614"/>
      <c r="BR5" s="615"/>
      <c r="BS5" s="615"/>
      <c r="BT5" s="615"/>
      <c r="BU5" s="615"/>
      <c r="BV5" s="615"/>
      <c r="BW5" s="615"/>
      <c r="BX5" s="615"/>
      <c r="BY5" s="615"/>
      <c r="BZ5" s="616"/>
      <c r="CA5" s="288"/>
    </row>
    <row r="6" spans="1:82">
      <c r="C6" s="617" t="s">
        <v>158</v>
      </c>
      <c r="D6" s="618"/>
      <c r="E6" s="618"/>
      <c r="F6" s="619"/>
      <c r="G6" s="290"/>
      <c r="H6" s="290"/>
      <c r="I6" s="290"/>
      <c r="J6" s="290"/>
      <c r="K6" s="290"/>
      <c r="L6" s="290"/>
      <c r="M6" s="290"/>
      <c r="N6" s="290"/>
      <c r="O6" s="290"/>
      <c r="S6" s="291"/>
      <c r="W6" s="287"/>
      <c r="X6" s="620" t="s">
        <v>403</v>
      </c>
      <c r="Y6" s="621"/>
      <c r="Z6" s="621"/>
      <c r="AA6" s="622"/>
      <c r="AB6" s="290"/>
      <c r="AC6" s="290"/>
      <c r="AD6" s="290"/>
      <c r="AE6" s="290"/>
      <c r="AF6" s="290"/>
      <c r="AG6" s="290"/>
      <c r="AH6" s="290"/>
      <c r="AI6" s="290"/>
      <c r="AJ6" s="290"/>
      <c r="AN6" s="291"/>
      <c r="AR6" s="287"/>
      <c r="AS6" s="620" t="s">
        <v>159</v>
      </c>
      <c r="AT6" s="621"/>
      <c r="AU6" s="621"/>
      <c r="AV6" s="622"/>
      <c r="AW6" s="290"/>
      <c r="AX6" s="290"/>
      <c r="AY6" s="290"/>
      <c r="AZ6" s="290"/>
      <c r="BA6" s="290"/>
      <c r="BB6" s="290"/>
      <c r="BC6" s="290"/>
      <c r="BD6" s="290"/>
      <c r="BE6" s="290"/>
      <c r="BI6" s="291"/>
      <c r="BM6" s="287"/>
      <c r="BN6" s="620" t="s">
        <v>404</v>
      </c>
      <c r="BO6" s="621"/>
      <c r="BP6" s="621"/>
      <c r="BQ6" s="622"/>
      <c r="BR6" s="290"/>
      <c r="BS6" s="290"/>
      <c r="BT6" s="290"/>
      <c r="BU6" s="290"/>
      <c r="BV6" s="290"/>
      <c r="BW6" s="290"/>
      <c r="BX6" s="290"/>
      <c r="BY6" s="290"/>
      <c r="BZ6" s="290"/>
      <c r="CD6" s="291"/>
    </row>
    <row r="7" spans="1:82" ht="17" thickBot="1">
      <c r="D7" s="286"/>
      <c r="E7" s="623" t="str">
        <f>"単位："&amp;固定資本!$B$11</f>
        <v>単位：千円</v>
      </c>
      <c r="F7" s="624"/>
      <c r="G7" s="625"/>
      <c r="H7" s="286"/>
      <c r="I7" s="290"/>
      <c r="J7" s="292"/>
      <c r="S7" s="291"/>
      <c r="Y7" s="286"/>
      <c r="Z7" s="623" t="str">
        <f>"単位："&amp;固定資本!$B$11</f>
        <v>単位：千円</v>
      </c>
      <c r="AA7" s="624"/>
      <c r="AB7" s="625"/>
      <c r="AC7" s="286"/>
      <c r="AD7" s="290"/>
      <c r="AE7" s="292"/>
      <c r="AN7" s="291"/>
      <c r="AT7" s="286"/>
      <c r="AU7" s="623" t="str">
        <f>"単位："&amp;固定資本!$B$11</f>
        <v>単位：千円</v>
      </c>
      <c r="AV7" s="624"/>
      <c r="AW7" s="625"/>
      <c r="AX7" s="286"/>
      <c r="AY7" s="290"/>
      <c r="AZ7" s="292"/>
      <c r="BI7" s="291"/>
      <c r="BO7" s="286"/>
      <c r="BP7" s="623" t="str">
        <f>"単位："&amp;固定資本!$B$11</f>
        <v>単位：千円</v>
      </c>
      <c r="BQ7" s="624"/>
      <c r="BR7" s="625"/>
      <c r="BS7" s="286"/>
      <c r="BT7" s="290"/>
      <c r="BU7" s="292"/>
      <c r="CD7" s="291"/>
    </row>
    <row r="8" spans="1:82" ht="16.5" customHeight="1">
      <c r="A8" s="287"/>
      <c r="B8" s="287"/>
      <c r="C8" s="287"/>
      <c r="D8" s="626" t="s">
        <v>405</v>
      </c>
      <c r="E8" s="627"/>
      <c r="F8" s="627"/>
      <c r="G8" s="627"/>
      <c r="H8" s="628"/>
      <c r="I8" s="293"/>
      <c r="W8" s="287"/>
      <c r="X8" s="287"/>
      <c r="Y8" s="626" t="s">
        <v>406</v>
      </c>
      <c r="Z8" s="627"/>
      <c r="AA8" s="627"/>
      <c r="AB8" s="627"/>
      <c r="AC8" s="628"/>
      <c r="AD8" s="293"/>
      <c r="AR8" s="287"/>
      <c r="AS8" s="287"/>
      <c r="AT8" s="626" t="s">
        <v>407</v>
      </c>
      <c r="AU8" s="627"/>
      <c r="AV8" s="627"/>
      <c r="AW8" s="627"/>
      <c r="AX8" s="628"/>
      <c r="AY8" s="293"/>
      <c r="BM8" s="287"/>
      <c r="BN8" s="287"/>
      <c r="BO8" s="626" t="s">
        <v>408</v>
      </c>
      <c r="BP8" s="627"/>
      <c r="BQ8" s="627"/>
      <c r="BR8" s="627"/>
      <c r="BS8" s="628"/>
      <c r="BT8" s="293"/>
    </row>
    <row r="9" spans="1:82">
      <c r="A9" s="287"/>
      <c r="B9" s="287"/>
      <c r="C9" s="287"/>
      <c r="D9" s="629"/>
      <c r="E9" s="630"/>
      <c r="F9" s="630"/>
      <c r="G9" s="630"/>
      <c r="H9" s="631"/>
      <c r="I9" s="293"/>
      <c r="W9" s="287"/>
      <c r="X9" s="287"/>
      <c r="Y9" s="629"/>
      <c r="Z9" s="630"/>
      <c r="AA9" s="630"/>
      <c r="AB9" s="630"/>
      <c r="AC9" s="631"/>
      <c r="AD9" s="293"/>
      <c r="AR9" s="287"/>
      <c r="AS9" s="287"/>
      <c r="AT9" s="629"/>
      <c r="AU9" s="630"/>
      <c r="AV9" s="630"/>
      <c r="AW9" s="630"/>
      <c r="AX9" s="631"/>
      <c r="AY9" s="293"/>
      <c r="BM9" s="287"/>
      <c r="BN9" s="287"/>
      <c r="BO9" s="629"/>
      <c r="BP9" s="630"/>
      <c r="BQ9" s="630"/>
      <c r="BR9" s="630"/>
      <c r="BS9" s="631"/>
      <c r="BT9" s="293"/>
    </row>
    <row r="10" spans="1:82" ht="17" thickBot="1">
      <c r="A10" s="287"/>
      <c r="B10" s="287"/>
      <c r="C10" s="287"/>
      <c r="D10" s="294"/>
      <c r="E10" s="295"/>
      <c r="F10" s="632">
        <f>報告書!E14</f>
        <v>0</v>
      </c>
      <c r="G10" s="632"/>
      <c r="H10" s="633"/>
      <c r="I10" s="293"/>
      <c r="W10" s="287"/>
      <c r="X10" s="287"/>
      <c r="Y10" s="294"/>
      <c r="Z10" s="295"/>
      <c r="AA10" s="632">
        <f>報告書!E16</f>
        <v>0</v>
      </c>
      <c r="AB10" s="632"/>
      <c r="AC10" s="633"/>
      <c r="AD10" s="293"/>
      <c r="AR10" s="287"/>
      <c r="AS10" s="287"/>
      <c r="AT10" s="294"/>
      <c r="AU10" s="295"/>
      <c r="AV10" s="632">
        <f>報告書!E18</f>
        <v>0</v>
      </c>
      <c r="AW10" s="632"/>
      <c r="AX10" s="633"/>
      <c r="AY10" s="293"/>
      <c r="BM10" s="287"/>
      <c r="BN10" s="287"/>
      <c r="BO10" s="294"/>
      <c r="BP10" s="295"/>
      <c r="BQ10" s="632">
        <f>報告書!E22</f>
        <v>6349.2534636753626</v>
      </c>
      <c r="BR10" s="632"/>
      <c r="BS10" s="633"/>
      <c r="BT10" s="293"/>
    </row>
    <row r="11" spans="1:82">
      <c r="D11" s="290"/>
      <c r="E11" s="290"/>
      <c r="F11" s="290"/>
      <c r="G11" s="290"/>
      <c r="H11" s="290"/>
      <c r="I11" s="290"/>
      <c r="J11" s="290"/>
      <c r="K11" s="292"/>
      <c r="L11" s="292"/>
      <c r="M11" s="292"/>
      <c r="N11" s="292"/>
      <c r="O11" s="292"/>
      <c r="P11" s="292"/>
      <c r="Q11" s="292"/>
      <c r="R11" s="292"/>
      <c r="Y11" s="290"/>
      <c r="Z11" s="290"/>
      <c r="AA11" s="290"/>
      <c r="AB11" s="290"/>
      <c r="AC11" s="290"/>
      <c r="AD11" s="290"/>
      <c r="AE11" s="290"/>
      <c r="AF11" s="292"/>
      <c r="AG11" s="292"/>
      <c r="AH11" s="292"/>
      <c r="AI11" s="292"/>
      <c r="AJ11" s="292"/>
      <c r="AK11" s="292"/>
      <c r="AL11" s="292"/>
      <c r="AM11" s="292"/>
      <c r="AT11" s="290"/>
      <c r="AU11" s="290"/>
      <c r="AV11" s="290"/>
      <c r="AW11" s="290"/>
      <c r="AX11" s="290"/>
      <c r="AY11" s="290"/>
      <c r="AZ11" s="290"/>
      <c r="BA11" s="292"/>
      <c r="BB11" s="292"/>
      <c r="BC11" s="292"/>
      <c r="BD11" s="292"/>
      <c r="BE11" s="292"/>
      <c r="BF11" s="292"/>
      <c r="BG11" s="292"/>
      <c r="BH11" s="292"/>
      <c r="BO11" s="290"/>
      <c r="BP11" s="290"/>
      <c r="BQ11" s="290"/>
      <c r="BR11" s="290"/>
      <c r="BS11" s="290"/>
      <c r="BT11" s="290"/>
      <c r="BU11" s="290"/>
      <c r="BV11" s="292"/>
      <c r="BW11" s="292"/>
      <c r="BX11" s="292"/>
      <c r="BY11" s="292"/>
      <c r="BZ11" s="292"/>
      <c r="CA11" s="292"/>
      <c r="CB11" s="292"/>
      <c r="CC11" s="292"/>
    </row>
    <row r="12" spans="1:82" ht="17" thickBot="1">
      <c r="D12" s="292"/>
      <c r="E12" s="292"/>
      <c r="F12" s="286" t="s">
        <v>409</v>
      </c>
      <c r="G12" s="292"/>
      <c r="H12" s="292"/>
      <c r="I12" s="292"/>
      <c r="J12" s="292"/>
      <c r="K12" s="292"/>
      <c r="M12" s="286"/>
      <c r="N12" s="286"/>
      <c r="O12" s="286"/>
      <c r="P12" s="286"/>
      <c r="Y12" s="292"/>
      <c r="Z12" s="292"/>
      <c r="AA12" s="286" t="s">
        <v>409</v>
      </c>
      <c r="AB12" s="292"/>
      <c r="AC12" s="292"/>
      <c r="AD12" s="292"/>
      <c r="AE12" s="292"/>
      <c r="AF12" s="292"/>
      <c r="AH12" s="286"/>
      <c r="AI12" s="286"/>
      <c r="AJ12" s="286"/>
      <c r="AK12" s="286"/>
      <c r="AT12" s="292"/>
      <c r="AU12" s="292"/>
      <c r="AV12" s="286" t="s">
        <v>410</v>
      </c>
      <c r="AW12" s="292"/>
      <c r="AX12" s="292"/>
    </row>
    <row r="13" spans="1:82">
      <c r="C13" s="287"/>
      <c r="D13" s="296"/>
      <c r="E13" s="297"/>
      <c r="F13" s="297"/>
      <c r="G13" s="297"/>
      <c r="H13" s="298"/>
      <c r="I13" s="297"/>
      <c r="J13" s="297"/>
      <c r="K13" s="299"/>
      <c r="L13" s="288"/>
      <c r="M13" s="286"/>
      <c r="N13" s="286"/>
      <c r="O13" s="286"/>
      <c r="P13" s="286"/>
      <c r="W13" s="287"/>
      <c r="X13" s="287"/>
      <c r="Y13" s="296"/>
      <c r="Z13" s="297"/>
      <c r="AA13" s="297"/>
      <c r="AB13" s="297"/>
      <c r="AC13" s="298"/>
      <c r="AD13" s="297"/>
      <c r="AE13" s="297"/>
      <c r="AF13" s="299"/>
      <c r="AG13" s="288"/>
      <c r="AH13" s="286"/>
      <c r="AI13" s="286"/>
      <c r="AJ13" s="286"/>
      <c r="AK13" s="286"/>
      <c r="AR13" s="287"/>
      <c r="AS13" s="287"/>
      <c r="AT13" s="634" t="s">
        <v>411</v>
      </c>
      <c r="AU13" s="627"/>
      <c r="AV13" s="627"/>
      <c r="AW13" s="627"/>
      <c r="AX13" s="628"/>
      <c r="AY13" s="288"/>
    </row>
    <row r="14" spans="1:82">
      <c r="C14" s="287"/>
      <c r="D14" s="300"/>
      <c r="E14" s="301" t="s">
        <v>412</v>
      </c>
      <c r="F14" s="301"/>
      <c r="G14" s="301"/>
      <c r="H14" s="302" t="s">
        <v>413</v>
      </c>
      <c r="I14" s="301"/>
      <c r="J14" s="301"/>
      <c r="K14" s="303"/>
      <c r="L14" s="288"/>
      <c r="M14" s="286"/>
      <c r="N14" s="286"/>
      <c r="O14" s="286"/>
      <c r="P14" s="286"/>
      <c r="W14" s="287"/>
      <c r="X14" s="287"/>
      <c r="Y14" s="300"/>
      <c r="Z14" s="301" t="s">
        <v>412</v>
      </c>
      <c r="AA14" s="301"/>
      <c r="AB14" s="301"/>
      <c r="AC14" s="302" t="s">
        <v>413</v>
      </c>
      <c r="AD14" s="301"/>
      <c r="AE14" s="301"/>
      <c r="AF14" s="303"/>
      <c r="AG14" s="288"/>
      <c r="AH14" s="286"/>
      <c r="AI14" s="286"/>
      <c r="AJ14" s="286"/>
      <c r="AK14" s="286"/>
      <c r="AR14" s="287"/>
      <c r="AS14" s="287"/>
      <c r="AT14" s="629"/>
      <c r="AU14" s="630"/>
      <c r="AV14" s="630"/>
      <c r="AW14" s="630"/>
      <c r="AX14" s="631"/>
      <c r="AY14" s="288"/>
    </row>
    <row r="15" spans="1:82" ht="17" thickBot="1">
      <c r="C15" s="287"/>
      <c r="D15" s="300"/>
      <c r="E15" s="301"/>
      <c r="F15" s="301"/>
      <c r="G15" s="301"/>
      <c r="H15" s="302"/>
      <c r="I15" s="635">
        <f>造成波及!E34/固定資本!$C$11*1000</f>
        <v>0</v>
      </c>
      <c r="J15" s="635"/>
      <c r="K15" s="303"/>
      <c r="L15" s="288"/>
      <c r="M15" s="286"/>
      <c r="N15" s="286"/>
      <c r="O15" s="286"/>
      <c r="P15" s="286"/>
      <c r="W15" s="287"/>
      <c r="X15" s="287"/>
      <c r="Y15" s="300"/>
      <c r="Z15" s="301"/>
      <c r="AA15" s="301"/>
      <c r="AB15" s="301"/>
      <c r="AC15" s="302"/>
      <c r="AD15" s="635">
        <f>建築波及!E34/固定資本!$C$11*1000</f>
        <v>0</v>
      </c>
      <c r="AE15" s="635"/>
      <c r="AF15" s="303"/>
      <c r="AG15" s="288"/>
      <c r="AH15" s="286"/>
      <c r="AI15" s="286"/>
      <c r="AJ15" s="286"/>
      <c r="AK15" s="286"/>
      <c r="AR15" s="287"/>
      <c r="AS15" s="287"/>
      <c r="AT15" s="294"/>
      <c r="AU15" s="295"/>
      <c r="AV15" s="632">
        <f>設備波及!E26/固定資本!$C$11*1000</f>
        <v>0</v>
      </c>
      <c r="AW15" s="632"/>
      <c r="AX15" s="633"/>
      <c r="AY15" s="288"/>
    </row>
    <row r="16" spans="1:82">
      <c r="C16" s="287"/>
      <c r="D16" s="300"/>
      <c r="E16" s="301"/>
      <c r="F16" s="301"/>
      <c r="G16" s="301"/>
      <c r="H16" s="302"/>
      <c r="I16" s="304" t="s">
        <v>414</v>
      </c>
      <c r="J16" s="305">
        <f>造成波及!E28/固定資本!$C$11*1000</f>
        <v>0</v>
      </c>
      <c r="K16" s="306"/>
      <c r="L16" s="288"/>
      <c r="M16" s="286"/>
      <c r="N16" s="286"/>
      <c r="O16" s="286"/>
      <c r="P16" s="286"/>
      <c r="W16" s="287"/>
      <c r="X16" s="287"/>
      <c r="Y16" s="300"/>
      <c r="Z16" s="301"/>
      <c r="AA16" s="301"/>
      <c r="AB16" s="301"/>
      <c r="AC16" s="302"/>
      <c r="AD16" s="304" t="s">
        <v>414</v>
      </c>
      <c r="AE16" s="305">
        <f>建築波及!E28/固定資本!$C$11*1000</f>
        <v>0</v>
      </c>
      <c r="AF16" s="306"/>
      <c r="AG16" s="288"/>
      <c r="AH16" s="286"/>
      <c r="AI16" s="286"/>
      <c r="AJ16" s="286"/>
      <c r="AK16" s="286"/>
      <c r="AR16" s="287"/>
      <c r="AS16" s="287"/>
      <c r="AY16" s="288"/>
      <c r="BM16" s="287"/>
      <c r="BN16" s="287"/>
      <c r="BT16" s="288"/>
    </row>
    <row r="17" spans="2:80" ht="17" thickBot="1">
      <c r="C17" s="287"/>
      <c r="D17" s="294"/>
      <c r="E17" s="638">
        <f>造成波及!E26/固定資本!$C$11*1000</f>
        <v>0</v>
      </c>
      <c r="F17" s="638"/>
      <c r="G17" s="295"/>
      <c r="H17" s="307"/>
      <c r="I17" s="307" t="s">
        <v>415</v>
      </c>
      <c r="J17" s="308">
        <f>造成波及!E29/固定資本!$C$11*1000</f>
        <v>0</v>
      </c>
      <c r="K17" s="309"/>
      <c r="L17" s="288"/>
      <c r="M17" s="286"/>
      <c r="N17" s="286"/>
      <c r="O17" s="286"/>
      <c r="P17" s="286"/>
      <c r="W17" s="287"/>
      <c r="X17" s="287"/>
      <c r="Y17" s="294"/>
      <c r="Z17" s="638">
        <f>建築波及!E26/固定資本!$C$11*1000</f>
        <v>0</v>
      </c>
      <c r="AA17" s="638"/>
      <c r="AB17" s="295"/>
      <c r="AC17" s="307"/>
      <c r="AD17" s="307" t="s">
        <v>415</v>
      </c>
      <c r="AE17" s="308">
        <f>建築波及!E29/固定資本!$C$11*1000</f>
        <v>0</v>
      </c>
      <c r="AF17" s="309"/>
      <c r="AG17" s="288"/>
      <c r="AH17" s="286"/>
      <c r="AI17" s="286"/>
      <c r="AJ17" s="286"/>
      <c r="AK17" s="286"/>
      <c r="AR17" s="287"/>
      <c r="AS17" s="287"/>
      <c r="AT17" s="286"/>
      <c r="AU17" s="286"/>
      <c r="AV17" s="286" t="s">
        <v>416</v>
      </c>
      <c r="AW17" s="286"/>
      <c r="AX17" s="286"/>
      <c r="AY17" s="286"/>
      <c r="AZ17" s="286"/>
      <c r="BA17" s="286"/>
      <c r="BM17" s="287"/>
      <c r="BN17" s="287"/>
      <c r="BO17" s="286"/>
      <c r="BP17" s="286"/>
      <c r="BQ17" s="286" t="s">
        <v>417</v>
      </c>
      <c r="BR17" s="286"/>
      <c r="BS17" s="286"/>
    </row>
    <row r="18" spans="2:80" ht="17" thickBot="1">
      <c r="D18" s="292"/>
      <c r="E18" s="292"/>
      <c r="F18" s="292"/>
      <c r="G18" s="292"/>
      <c r="H18" s="292"/>
      <c r="I18" s="292"/>
      <c r="J18" s="292"/>
      <c r="K18" s="292"/>
      <c r="M18" s="286"/>
      <c r="N18" s="286"/>
      <c r="O18" s="286"/>
      <c r="P18" s="286"/>
      <c r="Y18" s="292"/>
      <c r="Z18" s="292"/>
      <c r="AA18" s="292"/>
      <c r="AB18" s="292"/>
      <c r="AC18" s="292"/>
      <c r="AD18" s="292"/>
      <c r="AE18" s="292"/>
      <c r="AF18" s="292"/>
      <c r="AH18" s="286"/>
      <c r="AI18" s="286"/>
      <c r="AJ18" s="286"/>
      <c r="AK18" s="286"/>
      <c r="AR18" s="509"/>
      <c r="AS18" s="512"/>
      <c r="AT18" s="513"/>
      <c r="AU18" s="513"/>
      <c r="AV18" s="513"/>
      <c r="AW18" s="513"/>
      <c r="AX18" s="514"/>
      <c r="AY18" s="513"/>
      <c r="AZ18" s="513"/>
      <c r="BA18" s="513"/>
      <c r="BB18" s="511"/>
      <c r="BC18" s="515"/>
      <c r="BD18" s="515"/>
      <c r="BE18" s="515"/>
      <c r="BF18" s="515"/>
      <c r="BG18" s="509"/>
      <c r="BH18" s="509"/>
      <c r="BI18" s="509"/>
      <c r="BJ18" s="509"/>
      <c r="BO18" s="311"/>
      <c r="BP18" s="312"/>
      <c r="BQ18" s="312"/>
      <c r="BR18" s="313"/>
      <c r="BS18" s="288"/>
      <c r="BY18" s="286"/>
      <c r="BZ18" s="286"/>
      <c r="CA18" s="286"/>
    </row>
    <row r="19" spans="2:80">
      <c r="D19" s="286"/>
      <c r="E19" s="286"/>
      <c r="F19" s="286" t="s">
        <v>416</v>
      </c>
      <c r="G19" s="286"/>
      <c r="H19" s="286"/>
      <c r="I19" s="286"/>
      <c r="J19" s="286"/>
      <c r="K19" s="286"/>
      <c r="M19" s="286"/>
      <c r="N19" s="286"/>
      <c r="O19" s="286"/>
      <c r="P19" s="286"/>
      <c r="Y19" s="286"/>
      <c r="Z19" s="286"/>
      <c r="AA19" s="286" t="s">
        <v>416</v>
      </c>
      <c r="AB19" s="286"/>
      <c r="AC19" s="286"/>
      <c r="AD19" s="286"/>
      <c r="AE19" s="286"/>
      <c r="AF19" s="286"/>
      <c r="AH19" s="286"/>
      <c r="AI19" s="286"/>
      <c r="AJ19" s="286"/>
      <c r="AK19" s="286"/>
      <c r="AT19" s="314"/>
      <c r="AU19" s="315"/>
      <c r="AV19" s="315"/>
      <c r="AW19" s="316"/>
      <c r="AX19" s="288"/>
      <c r="AY19" s="314"/>
      <c r="AZ19" s="315"/>
      <c r="BA19" s="316"/>
      <c r="BC19" s="286"/>
      <c r="BD19" s="286"/>
      <c r="BE19" s="286"/>
      <c r="BF19" s="286"/>
      <c r="BO19" s="314"/>
      <c r="BP19" s="315"/>
      <c r="BQ19" s="315"/>
      <c r="BR19" s="316"/>
      <c r="BS19" s="288"/>
      <c r="BY19" s="286"/>
      <c r="BZ19" s="286"/>
      <c r="CA19" s="286"/>
    </row>
    <row r="20" spans="2:80" ht="16.5" customHeight="1" thickBot="1">
      <c r="B20" s="509"/>
      <c r="C20" s="512"/>
      <c r="D20" s="513"/>
      <c r="E20" s="513"/>
      <c r="F20" s="513"/>
      <c r="G20" s="513"/>
      <c r="H20" s="514"/>
      <c r="I20" s="513"/>
      <c r="J20" s="513"/>
      <c r="K20" s="513"/>
      <c r="L20" s="511"/>
      <c r="M20" s="509"/>
      <c r="N20" s="509"/>
      <c r="O20" s="509"/>
      <c r="P20" s="509"/>
      <c r="Q20" s="509"/>
      <c r="R20" s="509"/>
      <c r="S20" s="509"/>
      <c r="T20" s="509"/>
      <c r="U20" s="509"/>
      <c r="V20" s="509"/>
      <c r="W20" s="509"/>
      <c r="X20" s="512"/>
      <c r="Y20" s="513"/>
      <c r="Z20" s="513"/>
      <c r="AA20" s="513"/>
      <c r="AB20" s="513"/>
      <c r="AC20" s="514"/>
      <c r="AD20" s="513"/>
      <c r="AE20" s="513"/>
      <c r="AF20" s="513"/>
      <c r="AG20" s="511"/>
      <c r="AH20" s="509"/>
      <c r="AI20" s="509"/>
      <c r="AJ20" s="509"/>
      <c r="AK20" s="509"/>
      <c r="AL20" s="509"/>
      <c r="AM20" s="509"/>
      <c r="AN20" s="509"/>
      <c r="AO20" s="509"/>
      <c r="AP20" s="509"/>
      <c r="AQ20" s="509"/>
      <c r="AR20" s="509"/>
      <c r="AT20" s="314"/>
      <c r="AU20" s="315"/>
      <c r="AV20" s="315"/>
      <c r="AW20" s="316"/>
      <c r="AX20" s="288"/>
      <c r="AY20" s="314"/>
      <c r="AZ20" s="315"/>
      <c r="BA20" s="316"/>
      <c r="BO20" s="314"/>
      <c r="BP20" s="315"/>
      <c r="BQ20" s="315"/>
      <c r="BR20" s="316"/>
      <c r="BS20" s="288"/>
    </row>
    <row r="21" spans="2:80">
      <c r="D21" s="314"/>
      <c r="E21" s="315"/>
      <c r="F21" s="315"/>
      <c r="G21" s="316"/>
      <c r="H21" s="288"/>
      <c r="I21" s="314"/>
      <c r="J21" s="315"/>
      <c r="K21" s="316"/>
      <c r="Y21" s="314"/>
      <c r="Z21" s="315"/>
      <c r="AA21" s="315"/>
      <c r="AB21" s="316"/>
      <c r="AC21" s="288"/>
      <c r="AD21" s="314"/>
      <c r="AE21" s="315"/>
      <c r="AF21" s="316"/>
      <c r="AT21" s="314"/>
      <c r="AU21" s="315" t="s">
        <v>418</v>
      </c>
      <c r="AV21" s="315"/>
      <c r="AW21" s="316"/>
      <c r="AX21" s="288"/>
      <c r="AY21" s="314"/>
      <c r="AZ21" s="315" t="s">
        <v>419</v>
      </c>
      <c r="BA21" s="316"/>
      <c r="BO21" s="314"/>
      <c r="BP21" s="315" t="s">
        <v>418</v>
      </c>
      <c r="BQ21" s="315"/>
      <c r="BR21" s="316"/>
      <c r="BS21" s="288"/>
    </row>
    <row r="22" spans="2:80" ht="17" thickBot="1">
      <c r="D22" s="314"/>
      <c r="E22" s="315"/>
      <c r="F22" s="315"/>
      <c r="G22" s="316"/>
      <c r="H22" s="288"/>
      <c r="I22" s="314"/>
      <c r="J22" s="315"/>
      <c r="K22" s="316"/>
      <c r="Y22" s="314"/>
      <c r="Z22" s="315"/>
      <c r="AA22" s="315"/>
      <c r="AB22" s="316"/>
      <c r="AC22" s="288"/>
      <c r="AD22" s="314"/>
      <c r="AE22" s="315"/>
      <c r="AF22" s="316"/>
      <c r="AT22" s="317"/>
      <c r="AU22" s="636">
        <f>設備波及!G26/固定資本!$C$11*1000</f>
        <v>0</v>
      </c>
      <c r="AV22" s="636"/>
      <c r="AW22" s="318"/>
      <c r="AX22" s="288"/>
      <c r="AY22" s="637">
        <f>AV15-AU22</f>
        <v>0</v>
      </c>
      <c r="AZ22" s="636"/>
      <c r="BA22" s="318"/>
      <c r="BO22" s="317"/>
      <c r="BP22" s="636">
        <f>報告書!F22</f>
        <v>6349.2534636753626</v>
      </c>
      <c r="BQ22" s="636"/>
      <c r="BR22" s="318"/>
      <c r="BS22" s="288"/>
    </row>
    <row r="23" spans="2:80">
      <c r="D23" s="314"/>
      <c r="E23" s="315" t="s">
        <v>420</v>
      </c>
      <c r="F23" s="315"/>
      <c r="G23" s="316"/>
      <c r="H23" s="288"/>
      <c r="I23" s="314"/>
      <c r="J23" s="315" t="s">
        <v>419</v>
      </c>
      <c r="K23" s="316"/>
      <c r="Y23" s="314"/>
      <c r="Z23" s="315" t="s">
        <v>420</v>
      </c>
      <c r="AA23" s="315"/>
      <c r="AB23" s="316"/>
      <c r="AC23" s="288"/>
      <c r="AD23" s="314"/>
      <c r="AE23" s="315" t="s">
        <v>419</v>
      </c>
      <c r="AF23" s="316"/>
    </row>
    <row r="24" spans="2:80" ht="17" thickBot="1">
      <c r="D24" s="317"/>
      <c r="E24" s="636">
        <f>造成波及!G26/固定資本!$C$11*1000</f>
        <v>0</v>
      </c>
      <c r="F24" s="636"/>
      <c r="G24" s="318"/>
      <c r="H24" s="288"/>
      <c r="I24" s="637">
        <f>E17-E24</f>
        <v>0</v>
      </c>
      <c r="J24" s="636"/>
      <c r="K24" s="318"/>
      <c r="Y24" s="317"/>
      <c r="Z24" s="636">
        <f>建築波及!G26/固定資本!$C$11*1000</f>
        <v>0</v>
      </c>
      <c r="AA24" s="636"/>
      <c r="AB24" s="318"/>
      <c r="AC24" s="288"/>
      <c r="AD24" s="637">
        <f>Z17-Z24</f>
        <v>0</v>
      </c>
      <c r="AE24" s="636"/>
      <c r="AF24" s="318"/>
      <c r="AT24" s="319"/>
      <c r="AV24" s="319" t="s">
        <v>421</v>
      </c>
      <c r="AW24" s="319"/>
      <c r="AY24" s="319"/>
      <c r="BA24" s="319"/>
      <c r="BO24" s="319"/>
      <c r="BQ24" s="319" t="s">
        <v>422</v>
      </c>
      <c r="BR24" s="319"/>
      <c r="BT24" s="319"/>
      <c r="BV24" s="319"/>
    </row>
    <row r="25" spans="2:80">
      <c r="Q25" s="288"/>
      <c r="AL25" s="288"/>
      <c r="AT25" s="320"/>
      <c r="AU25" s="321"/>
      <c r="AV25" s="321"/>
      <c r="AW25" s="321"/>
      <c r="AX25" s="321"/>
      <c r="AY25" s="321"/>
      <c r="AZ25" s="321"/>
      <c r="BA25" s="322"/>
      <c r="BG25" s="288"/>
      <c r="BO25" s="320"/>
      <c r="BP25" s="321"/>
      <c r="BQ25" s="321"/>
      <c r="BR25" s="321"/>
      <c r="BS25" s="321"/>
      <c r="BT25" s="321"/>
      <c r="BU25" s="321"/>
      <c r="BV25" s="322"/>
      <c r="CB25" s="288"/>
    </row>
    <row r="26" spans="2:80" ht="17" thickBot="1">
      <c r="B26" s="509"/>
      <c r="C26" s="509"/>
      <c r="D26" s="510"/>
      <c r="E26" s="509"/>
      <c r="F26" s="510" t="s">
        <v>422</v>
      </c>
      <c r="G26" s="510"/>
      <c r="H26" s="509"/>
      <c r="I26" s="510"/>
      <c r="J26" s="509"/>
      <c r="K26" s="510"/>
      <c r="L26" s="509"/>
      <c r="M26" s="509"/>
      <c r="N26" s="509" t="s">
        <v>423</v>
      </c>
      <c r="O26" s="509"/>
      <c r="P26" s="509"/>
      <c r="Q26" s="511"/>
      <c r="R26" s="509"/>
      <c r="S26" s="509"/>
      <c r="T26" s="509"/>
      <c r="U26" s="509"/>
      <c r="V26" s="509"/>
      <c r="W26" s="509"/>
      <c r="X26" s="509"/>
      <c r="Y26" s="510"/>
      <c r="Z26" s="509"/>
      <c r="AA26" s="510" t="s">
        <v>422</v>
      </c>
      <c r="AB26" s="510"/>
      <c r="AC26" s="509"/>
      <c r="AD26" s="510"/>
      <c r="AE26" s="509"/>
      <c r="AF26" s="510"/>
      <c r="AG26" s="509"/>
      <c r="AH26" s="509"/>
      <c r="AI26" s="509" t="s">
        <v>423</v>
      </c>
      <c r="AJ26" s="509"/>
      <c r="AK26" s="509"/>
      <c r="AL26" s="511"/>
      <c r="AM26" s="509"/>
      <c r="AT26" s="323"/>
      <c r="AU26" s="324" t="s">
        <v>342</v>
      </c>
      <c r="AV26" s="324"/>
      <c r="AW26" s="324"/>
      <c r="AX26" s="324"/>
      <c r="AY26" s="324" t="s">
        <v>450</v>
      </c>
      <c r="AZ26" s="324"/>
      <c r="BA26" s="325"/>
      <c r="BG26" s="288"/>
      <c r="BO26" s="323"/>
      <c r="BP26" s="324" t="s">
        <v>424</v>
      </c>
      <c r="BQ26" s="324"/>
      <c r="BR26" s="324"/>
      <c r="BS26" s="324"/>
      <c r="BT26" s="324" t="s">
        <v>450</v>
      </c>
      <c r="BU26" s="324"/>
      <c r="BV26" s="325"/>
      <c r="CB26" s="288"/>
    </row>
    <row r="27" spans="2:80" ht="16.5" customHeight="1" thickBot="1">
      <c r="D27" s="320"/>
      <c r="E27" s="321"/>
      <c r="F27" s="321"/>
      <c r="G27" s="321"/>
      <c r="H27" s="321"/>
      <c r="I27" s="321"/>
      <c r="J27" s="321"/>
      <c r="K27" s="322"/>
      <c r="M27" s="320"/>
      <c r="N27" s="321"/>
      <c r="O27" s="321"/>
      <c r="P27" s="322"/>
      <c r="Q27" s="288"/>
      <c r="Y27" s="320"/>
      <c r="Z27" s="321"/>
      <c r="AA27" s="321"/>
      <c r="AB27" s="321"/>
      <c r="AC27" s="321"/>
      <c r="AD27" s="321"/>
      <c r="AE27" s="321"/>
      <c r="AF27" s="322"/>
      <c r="AH27" s="320"/>
      <c r="AI27" s="321"/>
      <c r="AJ27" s="321"/>
      <c r="AK27" s="322"/>
      <c r="AL27" s="288"/>
      <c r="AT27" s="326"/>
      <c r="AU27" s="327"/>
      <c r="AV27" s="327"/>
      <c r="AW27" s="327"/>
      <c r="AX27" s="327"/>
      <c r="AY27" s="639">
        <f>設備波及!I26/固定資本!$C$11*1000</f>
        <v>0</v>
      </c>
      <c r="AZ27" s="639"/>
      <c r="BA27" s="328"/>
      <c r="BG27" s="288"/>
      <c r="BO27" s="326"/>
      <c r="BP27" s="327"/>
      <c r="BQ27" s="327"/>
      <c r="BR27" s="327"/>
      <c r="BS27" s="327"/>
      <c r="BT27" s="639">
        <f>生産波及!F26/固定資本!$C$11*1000</f>
        <v>6283.3983102584471</v>
      </c>
      <c r="BU27" s="639"/>
      <c r="BV27" s="328"/>
      <c r="CB27" s="288"/>
    </row>
    <row r="28" spans="2:80">
      <c r="D28" s="323"/>
      <c r="E28" s="324" t="s">
        <v>424</v>
      </c>
      <c r="F28" s="324"/>
      <c r="G28" s="324"/>
      <c r="H28" s="324"/>
      <c r="I28" s="324" t="s">
        <v>450</v>
      </c>
      <c r="J28" s="324"/>
      <c r="K28" s="325"/>
      <c r="M28" s="323"/>
      <c r="N28" s="324" t="s">
        <v>424</v>
      </c>
      <c r="O28" s="324" t="s">
        <v>451</v>
      </c>
      <c r="P28" s="325"/>
      <c r="Q28" s="288"/>
      <c r="Y28" s="323"/>
      <c r="Z28" s="324" t="s">
        <v>424</v>
      </c>
      <c r="AA28" s="324"/>
      <c r="AB28" s="324"/>
      <c r="AC28" s="324"/>
      <c r="AD28" s="324" t="s">
        <v>450</v>
      </c>
      <c r="AE28" s="324"/>
      <c r="AF28" s="325"/>
      <c r="AH28" s="323"/>
      <c r="AI28" s="324" t="s">
        <v>424</v>
      </c>
      <c r="AJ28" s="329">
        <v>2020</v>
      </c>
      <c r="AK28" s="325"/>
      <c r="AL28" s="288"/>
      <c r="BG28" s="288"/>
      <c r="CB28" s="288"/>
    </row>
    <row r="29" spans="2:80" ht="17" thickBot="1">
      <c r="D29" s="326"/>
      <c r="E29" s="327"/>
      <c r="F29" s="327"/>
      <c r="G29" s="327"/>
      <c r="H29" s="327"/>
      <c r="I29" s="639">
        <f>造成波及!J26/固定資本!$C$11*1000</f>
        <v>0</v>
      </c>
      <c r="J29" s="639"/>
      <c r="K29" s="328"/>
      <c r="M29" s="326"/>
      <c r="N29" s="639">
        <f>造成波及!J28/固定資本!$C$11*1000</f>
        <v>0</v>
      </c>
      <c r="O29" s="639"/>
      <c r="P29" s="328"/>
      <c r="Q29" s="288"/>
      <c r="Y29" s="326"/>
      <c r="Z29" s="327"/>
      <c r="AA29" s="327"/>
      <c r="AB29" s="327"/>
      <c r="AC29" s="327"/>
      <c r="AD29" s="639">
        <f>建築波及!J26/固定資本!$C$11*1000</f>
        <v>0</v>
      </c>
      <c r="AE29" s="639"/>
      <c r="AF29" s="328"/>
      <c r="AH29" s="326"/>
      <c r="AI29" s="639">
        <f>建築波及!J28/固定資本!$C$11*1000</f>
        <v>0</v>
      </c>
      <c r="AJ29" s="639"/>
      <c r="AK29" s="328"/>
      <c r="AL29" s="288"/>
      <c r="AV29" s="292" t="s">
        <v>425</v>
      </c>
      <c r="AW29" s="292"/>
      <c r="AX29" s="292"/>
      <c r="BG29" s="288"/>
      <c r="BQ29" s="292" t="s">
        <v>425</v>
      </c>
      <c r="BR29" s="292"/>
      <c r="BS29" s="292"/>
      <c r="CB29" s="288"/>
    </row>
    <row r="30" spans="2:80">
      <c r="AT30" s="330"/>
      <c r="AU30" s="331"/>
      <c r="AV30" s="331"/>
      <c r="AW30" s="331"/>
      <c r="AX30" s="331"/>
      <c r="AY30" s="331"/>
      <c r="AZ30" s="331"/>
      <c r="BA30" s="332"/>
      <c r="BE30" s="284" t="s">
        <v>343</v>
      </c>
      <c r="BO30" s="330"/>
      <c r="BP30" s="331"/>
      <c r="BQ30" s="331"/>
      <c r="BR30" s="331"/>
      <c r="BS30" s="331"/>
      <c r="BT30" s="331"/>
      <c r="BU30" s="331"/>
      <c r="BV30" s="332"/>
      <c r="BZ30" s="284" t="s">
        <v>343</v>
      </c>
    </row>
    <row r="31" spans="2:80" ht="17" thickBot="1">
      <c r="F31" s="292" t="s">
        <v>425</v>
      </c>
      <c r="G31" s="292"/>
      <c r="H31" s="292"/>
      <c r="AA31" s="292" t="s">
        <v>425</v>
      </c>
      <c r="AB31" s="292"/>
      <c r="AC31" s="292"/>
      <c r="AT31" s="333"/>
      <c r="AU31" s="334" t="s">
        <v>343</v>
      </c>
      <c r="AV31" s="334"/>
      <c r="AW31" s="334"/>
      <c r="AX31" s="334"/>
      <c r="AY31" s="334"/>
      <c r="AZ31" s="334"/>
      <c r="BA31" s="335"/>
      <c r="BE31" s="336" t="s">
        <v>426</v>
      </c>
      <c r="BO31" s="333"/>
      <c r="BP31" s="334" t="s">
        <v>343</v>
      </c>
      <c r="BQ31" s="334"/>
      <c r="BR31" s="334"/>
      <c r="BS31" s="334"/>
      <c r="BT31" s="334"/>
      <c r="BU31" s="334"/>
      <c r="BV31" s="335"/>
      <c r="BZ31" s="336" t="s">
        <v>426</v>
      </c>
    </row>
    <row r="32" spans="2:80" ht="16.5" customHeight="1" thickBot="1">
      <c r="D32" s="330"/>
      <c r="E32" s="331"/>
      <c r="F32" s="331"/>
      <c r="G32" s="331"/>
      <c r="H32" s="331"/>
      <c r="I32" s="331"/>
      <c r="J32" s="331"/>
      <c r="K32" s="332"/>
      <c r="Q32" s="288"/>
      <c r="Y32" s="330"/>
      <c r="Z32" s="331"/>
      <c r="AA32" s="331"/>
      <c r="AB32" s="331"/>
      <c r="AC32" s="331"/>
      <c r="AD32" s="331"/>
      <c r="AE32" s="331"/>
      <c r="AF32" s="332"/>
      <c r="AL32" s="288"/>
      <c r="AT32" s="337"/>
      <c r="AU32" s="338"/>
      <c r="AV32" s="338"/>
      <c r="AW32" s="338"/>
      <c r="AX32" s="338"/>
      <c r="AY32" s="640">
        <f>設備波及!J26/固定資本!$C$11*1000</f>
        <v>0</v>
      </c>
      <c r="AZ32" s="640"/>
      <c r="BA32" s="339"/>
      <c r="BC32" s="320"/>
      <c r="BD32" s="321"/>
      <c r="BE32" s="321"/>
      <c r="BF32" s="322"/>
      <c r="BG32" s="288"/>
      <c r="BO32" s="337"/>
      <c r="BP32" s="338"/>
      <c r="BQ32" s="338"/>
      <c r="BR32" s="338"/>
      <c r="BS32" s="338"/>
      <c r="BT32" s="640">
        <f>生産波及!G26/固定資本!$C$11*1000</f>
        <v>8142.5046272880127</v>
      </c>
      <c r="BU32" s="640"/>
      <c r="BV32" s="339"/>
      <c r="BX32" s="320"/>
      <c r="BY32" s="321"/>
      <c r="BZ32" s="321"/>
      <c r="CA32" s="322"/>
      <c r="CB32" s="288"/>
    </row>
    <row r="33" spans="4:81">
      <c r="D33" s="333"/>
      <c r="E33" s="334" t="s">
        <v>164</v>
      </c>
      <c r="F33" s="334"/>
      <c r="G33" s="334"/>
      <c r="H33" s="334"/>
      <c r="I33" s="334"/>
      <c r="J33" s="334"/>
      <c r="K33" s="335"/>
      <c r="M33" s="286"/>
      <c r="N33" s="286"/>
      <c r="O33" s="286"/>
      <c r="P33" s="286"/>
      <c r="Q33" s="288"/>
      <c r="Y33" s="333"/>
      <c r="Z33" s="334" t="s">
        <v>164</v>
      </c>
      <c r="AA33" s="334"/>
      <c r="AB33" s="334"/>
      <c r="AC33" s="334"/>
      <c r="AD33" s="334"/>
      <c r="AE33" s="334"/>
      <c r="AF33" s="335"/>
      <c r="AH33" s="286"/>
      <c r="AI33" s="286"/>
      <c r="AJ33" s="286"/>
      <c r="AK33" s="286"/>
      <c r="AL33" s="288"/>
      <c r="BC33" s="323"/>
      <c r="BD33" s="324" t="s">
        <v>164</v>
      </c>
      <c r="BE33" s="324"/>
      <c r="BF33" s="325"/>
      <c r="BG33" s="288"/>
      <c r="BX33" s="323"/>
      <c r="BY33" s="324" t="s">
        <v>164</v>
      </c>
      <c r="BZ33" s="324"/>
      <c r="CA33" s="325"/>
      <c r="CB33" s="288"/>
    </row>
    <row r="34" spans="4:81" ht="17" thickBot="1">
      <c r="D34" s="337"/>
      <c r="E34" s="338"/>
      <c r="F34" s="338"/>
      <c r="G34" s="338"/>
      <c r="H34" s="338"/>
      <c r="I34" s="640">
        <f>造成波及!K26/固定資本!$C$11*1000</f>
        <v>0</v>
      </c>
      <c r="J34" s="640"/>
      <c r="K34" s="339"/>
      <c r="Q34" s="288"/>
      <c r="Y34" s="337"/>
      <c r="Z34" s="338"/>
      <c r="AA34" s="338"/>
      <c r="AB34" s="338"/>
      <c r="AC34" s="338"/>
      <c r="AD34" s="640">
        <f>建築波及!K26/固定資本!$C$11*1000</f>
        <v>0</v>
      </c>
      <c r="AE34" s="640"/>
      <c r="AF34" s="339"/>
      <c r="AL34" s="288"/>
      <c r="BC34" s="326"/>
      <c r="BD34" s="639">
        <f>設備波及!K26/固定資本!$C$11*1000</f>
        <v>0</v>
      </c>
      <c r="BE34" s="639"/>
      <c r="BF34" s="328"/>
      <c r="BG34" s="288"/>
      <c r="BX34" s="326"/>
      <c r="BY34" s="639">
        <f>生産波及!H26/固定資本!$C$11*1000</f>
        <v>1859.1063170295638</v>
      </c>
      <c r="BZ34" s="639"/>
      <c r="CA34" s="328"/>
      <c r="CB34" s="288"/>
    </row>
    <row r="35" spans="4:81">
      <c r="D35" s="290"/>
      <c r="E35" s="290"/>
      <c r="F35" s="290"/>
      <c r="G35" s="290"/>
      <c r="H35" s="290"/>
      <c r="I35" s="290"/>
      <c r="J35" s="290"/>
      <c r="K35" s="290"/>
      <c r="Q35" s="288"/>
      <c r="Y35" s="290"/>
      <c r="Z35" s="290"/>
      <c r="AA35" s="290"/>
      <c r="AB35" s="290"/>
      <c r="AC35" s="290"/>
      <c r="AD35" s="290"/>
      <c r="AE35" s="290"/>
      <c r="AF35" s="290"/>
      <c r="AL35" s="288"/>
      <c r="AT35" s="290"/>
      <c r="AU35" s="290"/>
      <c r="AV35" s="290"/>
      <c r="AW35" s="290"/>
      <c r="AX35" s="290"/>
      <c r="AY35" s="290"/>
      <c r="AZ35" s="290"/>
      <c r="BA35" s="290"/>
      <c r="BG35" s="288"/>
      <c r="BO35" s="290"/>
      <c r="BP35" s="290"/>
      <c r="BQ35" s="290"/>
      <c r="BR35" s="290"/>
      <c r="BS35" s="290"/>
      <c r="BT35" s="290"/>
      <c r="BU35" s="290"/>
      <c r="BV35" s="290"/>
      <c r="CB35" s="288"/>
    </row>
    <row r="36" spans="4:81" ht="17" thickBot="1">
      <c r="F36" s="292" t="s">
        <v>427</v>
      </c>
      <c r="G36" s="292"/>
      <c r="H36" s="292"/>
      <c r="N36" s="319" t="s">
        <v>428</v>
      </c>
      <c r="Q36" s="288"/>
      <c r="AA36" s="292" t="s">
        <v>427</v>
      </c>
      <c r="AB36" s="292"/>
      <c r="AC36" s="292"/>
      <c r="AI36" s="319" t="s">
        <v>428</v>
      </c>
      <c r="AL36" s="288"/>
      <c r="AV36" s="292" t="s">
        <v>427</v>
      </c>
      <c r="AW36" s="292"/>
      <c r="AX36" s="292"/>
      <c r="BE36" s="319" t="s">
        <v>429</v>
      </c>
      <c r="BG36" s="288"/>
      <c r="BQ36" s="292" t="s">
        <v>427</v>
      </c>
      <c r="BR36" s="292"/>
      <c r="BS36" s="292"/>
      <c r="BZ36" s="319" t="s">
        <v>429</v>
      </c>
      <c r="CB36" s="288"/>
    </row>
    <row r="37" spans="4:81" ht="16.5" customHeight="1">
      <c r="D37" s="340"/>
      <c r="E37" s="341"/>
      <c r="F37" s="341"/>
      <c r="G37" s="341"/>
      <c r="H37" s="341"/>
      <c r="I37" s="341"/>
      <c r="J37" s="341"/>
      <c r="K37" s="342"/>
      <c r="M37" s="320"/>
      <c r="N37" s="321" t="s">
        <v>164</v>
      </c>
      <c r="O37" s="321"/>
      <c r="P37" s="322"/>
      <c r="Q37" s="288"/>
      <c r="Y37" s="340"/>
      <c r="Z37" s="341"/>
      <c r="AA37" s="341"/>
      <c r="AB37" s="341"/>
      <c r="AC37" s="341"/>
      <c r="AD37" s="341"/>
      <c r="AE37" s="341"/>
      <c r="AF37" s="342"/>
      <c r="AH37" s="320"/>
      <c r="AI37" s="321" t="s">
        <v>164</v>
      </c>
      <c r="AJ37" s="321"/>
      <c r="AK37" s="322"/>
      <c r="AL37" s="288"/>
      <c r="AT37" s="340"/>
      <c r="AU37" s="341"/>
      <c r="AV37" s="341"/>
      <c r="AW37" s="341"/>
      <c r="AX37" s="341"/>
      <c r="AY37" s="341"/>
      <c r="AZ37" s="341"/>
      <c r="BA37" s="342"/>
      <c r="BC37" s="320"/>
      <c r="BD37" s="321" t="s">
        <v>164</v>
      </c>
      <c r="BE37" s="321"/>
      <c r="BF37" s="322"/>
      <c r="BG37" s="288"/>
      <c r="BO37" s="340"/>
      <c r="BP37" s="341"/>
      <c r="BQ37" s="341"/>
      <c r="BR37" s="341"/>
      <c r="BS37" s="341"/>
      <c r="BT37" s="341"/>
      <c r="BU37" s="341"/>
      <c r="BV37" s="342"/>
      <c r="BX37" s="320"/>
      <c r="BY37" s="321" t="s">
        <v>164</v>
      </c>
      <c r="BZ37" s="321"/>
      <c r="CA37" s="322"/>
      <c r="CB37" s="288"/>
    </row>
    <row r="38" spans="4:81" ht="24">
      <c r="D38" s="343"/>
      <c r="E38" s="344" t="s">
        <v>109</v>
      </c>
      <c r="F38" s="344"/>
      <c r="G38" s="344"/>
      <c r="H38" s="344"/>
      <c r="I38" s="344"/>
      <c r="J38" s="344"/>
      <c r="K38" s="345"/>
      <c r="M38" s="323"/>
      <c r="N38" s="324" t="s">
        <v>424</v>
      </c>
      <c r="O38" s="329">
        <f>固定資本!$F$6</f>
        <v>2025</v>
      </c>
      <c r="P38" s="325"/>
      <c r="Q38" s="288"/>
      <c r="R38" s="379" t="s">
        <v>430</v>
      </c>
      <c r="Y38" s="343"/>
      <c r="Z38" s="344" t="s">
        <v>109</v>
      </c>
      <c r="AA38" s="344"/>
      <c r="AB38" s="344"/>
      <c r="AC38" s="344"/>
      <c r="AD38" s="344"/>
      <c r="AE38" s="344"/>
      <c r="AF38" s="345"/>
      <c r="AH38" s="323"/>
      <c r="AI38" s="324" t="s">
        <v>424</v>
      </c>
      <c r="AJ38" s="329">
        <f>固定資本!$F$6</f>
        <v>2025</v>
      </c>
      <c r="AK38" s="325"/>
      <c r="AL38" s="288"/>
      <c r="AM38" s="379" t="s">
        <v>430</v>
      </c>
      <c r="AT38" s="343"/>
      <c r="AU38" s="344" t="s">
        <v>109</v>
      </c>
      <c r="AV38" s="344"/>
      <c r="AW38" s="344"/>
      <c r="AX38" s="344"/>
      <c r="AY38" s="344"/>
      <c r="AZ38" s="344"/>
      <c r="BA38" s="345"/>
      <c r="BC38" s="323"/>
      <c r="BD38" s="324" t="s">
        <v>424</v>
      </c>
      <c r="BE38" s="329">
        <f>固定資本!$F$6</f>
        <v>2025</v>
      </c>
      <c r="BF38" s="325"/>
      <c r="BG38" s="288"/>
      <c r="BH38" s="346"/>
      <c r="BO38" s="343"/>
      <c r="BP38" s="344" t="s">
        <v>109</v>
      </c>
      <c r="BQ38" s="344"/>
      <c r="BR38" s="344"/>
      <c r="BS38" s="344"/>
      <c r="BT38" s="344"/>
      <c r="BU38" s="344"/>
      <c r="BV38" s="345"/>
      <c r="BX38" s="323"/>
      <c r="BY38" s="324" t="s">
        <v>424</v>
      </c>
      <c r="BZ38" s="329">
        <f>固定資本!$F$6</f>
        <v>2025</v>
      </c>
      <c r="CA38" s="325"/>
      <c r="CB38" s="288"/>
      <c r="CC38" s="346"/>
    </row>
    <row r="39" spans="4:81" ht="17" thickBot="1">
      <c r="D39" s="347"/>
      <c r="E39" s="348"/>
      <c r="F39" s="348"/>
      <c r="G39" s="348"/>
      <c r="H39" s="348"/>
      <c r="I39" s="641">
        <f>造成波及!N26/固定資本!$C$11*1000</f>
        <v>0</v>
      </c>
      <c r="J39" s="641"/>
      <c r="K39" s="349"/>
      <c r="M39" s="326"/>
      <c r="N39" s="639">
        <f>造成波及!L26/固定資本!$C$11*1000</f>
        <v>0</v>
      </c>
      <c r="O39" s="639"/>
      <c r="P39" s="328"/>
      <c r="Q39" s="288"/>
      <c r="Y39" s="347"/>
      <c r="Z39" s="348"/>
      <c r="AA39" s="348"/>
      <c r="AB39" s="348"/>
      <c r="AC39" s="348"/>
      <c r="AD39" s="641">
        <f>建築波及!N26/固定資本!$C$11*1000</f>
        <v>0</v>
      </c>
      <c r="AE39" s="641"/>
      <c r="AF39" s="349"/>
      <c r="AH39" s="326"/>
      <c r="AI39" s="639">
        <f>建築波及!L26/固定資本!$C$11*1000</f>
        <v>0</v>
      </c>
      <c r="AJ39" s="639"/>
      <c r="AK39" s="328"/>
      <c r="AL39" s="288"/>
      <c r="AT39" s="347"/>
      <c r="AU39" s="348"/>
      <c r="AV39" s="348"/>
      <c r="AW39" s="348"/>
      <c r="AX39" s="348"/>
      <c r="AY39" s="641">
        <f>設備波及!N26/固定資本!$C$11*1000</f>
        <v>0</v>
      </c>
      <c r="AZ39" s="641"/>
      <c r="BA39" s="349"/>
      <c r="BC39" s="326"/>
      <c r="BD39" s="639">
        <f>設備波及!L26/固定資本!$C$11*1000</f>
        <v>0</v>
      </c>
      <c r="BE39" s="639"/>
      <c r="BF39" s="328"/>
      <c r="BG39" s="288"/>
      <c r="BO39" s="347"/>
      <c r="BP39" s="348"/>
      <c r="BQ39" s="348"/>
      <c r="BR39" s="348"/>
      <c r="BS39" s="348"/>
      <c r="BT39" s="641">
        <f>生産波及!K26/固定資本!$C$11*1000</f>
        <v>2758.0658772656229</v>
      </c>
      <c r="BU39" s="641"/>
      <c r="BV39" s="349"/>
      <c r="BX39" s="326"/>
      <c r="BY39" s="639">
        <f>生産波及!I26/固定資本!$C$11*1000</f>
        <v>1965.2379228090381</v>
      </c>
      <c r="BZ39" s="639"/>
      <c r="CA39" s="328"/>
      <c r="CB39" s="288"/>
    </row>
    <row r="41" spans="4:81" ht="17" thickBot="1">
      <c r="F41" s="284" t="s">
        <v>431</v>
      </c>
      <c r="AA41" s="284" t="s">
        <v>431</v>
      </c>
      <c r="AV41" s="284" t="s">
        <v>431</v>
      </c>
      <c r="BQ41" s="284" t="s">
        <v>431</v>
      </c>
    </row>
    <row r="42" spans="4:81" ht="16.5" customHeight="1">
      <c r="D42" s="340"/>
      <c r="E42" s="341"/>
      <c r="F42" s="341"/>
      <c r="G42" s="341"/>
      <c r="H42" s="341"/>
      <c r="I42" s="341"/>
      <c r="J42" s="341"/>
      <c r="K42" s="342"/>
      <c r="Y42" s="340"/>
      <c r="Z42" s="341"/>
      <c r="AA42" s="341"/>
      <c r="AB42" s="341"/>
      <c r="AC42" s="341"/>
      <c r="AD42" s="341"/>
      <c r="AE42" s="341"/>
      <c r="AF42" s="342"/>
      <c r="AT42" s="340"/>
      <c r="AU42" s="341"/>
      <c r="AV42" s="341"/>
      <c r="AW42" s="341"/>
      <c r="AX42" s="341"/>
      <c r="AY42" s="341"/>
      <c r="AZ42" s="341"/>
      <c r="BA42" s="342"/>
      <c r="BO42" s="340"/>
      <c r="BP42" s="341"/>
      <c r="BQ42" s="341"/>
      <c r="BR42" s="341"/>
      <c r="BS42" s="341"/>
      <c r="BT42" s="341"/>
      <c r="BU42" s="341"/>
      <c r="BV42" s="342"/>
    </row>
    <row r="43" spans="4:81">
      <c r="D43" s="343"/>
      <c r="E43" s="344" t="s">
        <v>432</v>
      </c>
      <c r="F43" s="344"/>
      <c r="G43" s="344"/>
      <c r="H43" s="344"/>
      <c r="I43" s="344"/>
      <c r="J43" s="344"/>
      <c r="K43" s="345"/>
      <c r="Y43" s="343"/>
      <c r="Z43" s="344" t="s">
        <v>432</v>
      </c>
      <c r="AA43" s="344"/>
      <c r="AB43" s="344"/>
      <c r="AC43" s="344"/>
      <c r="AD43" s="344"/>
      <c r="AE43" s="344"/>
      <c r="AF43" s="345"/>
      <c r="AT43" s="343"/>
      <c r="AU43" s="344" t="s">
        <v>432</v>
      </c>
      <c r="AV43" s="344"/>
      <c r="AW43" s="344"/>
      <c r="AX43" s="344"/>
      <c r="AY43" s="344"/>
      <c r="AZ43" s="344"/>
      <c r="BA43" s="345"/>
      <c r="BO43" s="343"/>
      <c r="BP43" s="344" t="s">
        <v>432</v>
      </c>
      <c r="BQ43" s="344"/>
      <c r="BR43" s="344"/>
      <c r="BS43" s="344"/>
      <c r="BT43" s="344"/>
      <c r="BU43" s="344"/>
      <c r="BV43" s="345"/>
    </row>
    <row r="44" spans="4:81" ht="17" thickBot="1">
      <c r="D44" s="347"/>
      <c r="E44" s="348"/>
      <c r="F44" s="348"/>
      <c r="G44" s="348"/>
      <c r="H44" s="348"/>
      <c r="I44" s="641">
        <f>造成波及!O30/固定資本!$C$11*1000</f>
        <v>0</v>
      </c>
      <c r="J44" s="641"/>
      <c r="K44" s="349"/>
      <c r="Y44" s="347"/>
      <c r="Z44" s="348"/>
      <c r="AA44" s="348"/>
      <c r="AB44" s="348"/>
      <c r="AC44" s="348"/>
      <c r="AD44" s="641">
        <f>建築波及!O30/固定資本!$C$11*1000</f>
        <v>0</v>
      </c>
      <c r="AE44" s="641"/>
      <c r="AF44" s="349"/>
      <c r="AT44" s="347"/>
      <c r="AU44" s="348"/>
      <c r="AV44" s="348"/>
      <c r="AW44" s="348"/>
      <c r="AX44" s="348"/>
      <c r="AY44" s="641">
        <f>設備波及!O30/固定資本!$C$11*1000</f>
        <v>0</v>
      </c>
      <c r="AZ44" s="641"/>
      <c r="BA44" s="349"/>
      <c r="BO44" s="347"/>
      <c r="BP44" s="348"/>
      <c r="BQ44" s="348"/>
      <c r="BR44" s="348"/>
      <c r="BS44" s="348"/>
      <c r="BT44" s="641">
        <f>生産波及!L30/固定資本!$C$11*1000</f>
        <v>2595.4034749099665</v>
      </c>
      <c r="BU44" s="641"/>
      <c r="BV44" s="349"/>
    </row>
    <row r="46" spans="4:81" ht="17" thickBot="1">
      <c r="D46" s="319"/>
      <c r="F46" s="292" t="s">
        <v>433</v>
      </c>
      <c r="G46" s="319"/>
      <c r="H46" s="319"/>
      <c r="K46" s="319"/>
      <c r="Y46" s="319"/>
      <c r="AA46" s="292" t="s">
        <v>433</v>
      </c>
      <c r="AB46" s="319"/>
      <c r="AC46" s="319"/>
      <c r="AF46" s="319"/>
      <c r="AT46" s="319"/>
      <c r="AV46" s="292" t="s">
        <v>433</v>
      </c>
      <c r="AW46" s="319"/>
      <c r="AX46" s="319"/>
      <c r="BA46" s="319"/>
      <c r="BO46" s="319"/>
      <c r="BQ46" s="292" t="s">
        <v>433</v>
      </c>
      <c r="BR46" s="319"/>
      <c r="BS46" s="319"/>
      <c r="BV46" s="319"/>
    </row>
    <row r="47" spans="4:81" ht="16.5" customHeight="1">
      <c r="D47" s="340"/>
      <c r="E47" s="341"/>
      <c r="F47" s="341"/>
      <c r="G47" s="341"/>
      <c r="H47" s="341"/>
      <c r="I47" s="341"/>
      <c r="J47" s="341"/>
      <c r="K47" s="342"/>
      <c r="Y47" s="340"/>
      <c r="Z47" s="341"/>
      <c r="AA47" s="341"/>
      <c r="AB47" s="341"/>
      <c r="AC47" s="341"/>
      <c r="AD47" s="341"/>
      <c r="AE47" s="341"/>
      <c r="AF47" s="342"/>
      <c r="AT47" s="340"/>
      <c r="AU47" s="341"/>
      <c r="AV47" s="341"/>
      <c r="AW47" s="341"/>
      <c r="AX47" s="341"/>
      <c r="AY47" s="341"/>
      <c r="AZ47" s="341"/>
      <c r="BA47" s="342"/>
      <c r="BO47" s="340"/>
      <c r="BP47" s="341"/>
      <c r="BQ47" s="341"/>
      <c r="BR47" s="341"/>
      <c r="BS47" s="341"/>
      <c r="BT47" s="341"/>
      <c r="BU47" s="341"/>
      <c r="BV47" s="342"/>
    </row>
    <row r="48" spans="4:81">
      <c r="D48" s="343"/>
      <c r="E48" s="344" t="s">
        <v>113</v>
      </c>
      <c r="F48" s="344"/>
      <c r="G48" s="344"/>
      <c r="H48" s="344"/>
      <c r="I48" s="344"/>
      <c r="J48" s="344"/>
      <c r="K48" s="345"/>
      <c r="M48" s="350"/>
      <c r="Y48" s="343"/>
      <c r="Z48" s="344" t="s">
        <v>113</v>
      </c>
      <c r="AA48" s="344"/>
      <c r="AB48" s="344"/>
      <c r="AC48" s="344"/>
      <c r="AD48" s="344"/>
      <c r="AE48" s="344"/>
      <c r="AF48" s="345"/>
      <c r="AH48" s="350"/>
      <c r="AT48" s="343"/>
      <c r="AU48" s="344" t="s">
        <v>113</v>
      </c>
      <c r="AV48" s="344"/>
      <c r="AW48" s="344"/>
      <c r="AX48" s="344"/>
      <c r="AY48" s="344"/>
      <c r="AZ48" s="344"/>
      <c r="BA48" s="345"/>
      <c r="BC48" s="350"/>
      <c r="BO48" s="343"/>
      <c r="BP48" s="344" t="s">
        <v>113</v>
      </c>
      <c r="BQ48" s="344"/>
      <c r="BR48" s="344"/>
      <c r="BS48" s="344"/>
      <c r="BT48" s="344"/>
      <c r="BU48" s="344"/>
      <c r="BV48" s="345"/>
      <c r="BX48" s="350"/>
    </row>
    <row r="49" spans="1:82" ht="17" thickBot="1">
      <c r="D49" s="347"/>
      <c r="E49" s="348"/>
      <c r="F49" s="348"/>
      <c r="G49" s="348"/>
      <c r="H49" s="348"/>
      <c r="I49" s="641">
        <f>造成波及!P30/固定資本!$C$11*1000</f>
        <v>0</v>
      </c>
      <c r="J49" s="641"/>
      <c r="K49" s="349"/>
      <c r="Y49" s="347"/>
      <c r="Z49" s="348"/>
      <c r="AA49" s="348"/>
      <c r="AB49" s="348"/>
      <c r="AC49" s="348"/>
      <c r="AD49" s="641">
        <f>建築波及!P30/固定資本!$C$11*1000</f>
        <v>0</v>
      </c>
      <c r="AE49" s="641"/>
      <c r="AF49" s="349"/>
      <c r="AT49" s="347"/>
      <c r="AU49" s="348"/>
      <c r="AV49" s="348"/>
      <c r="AW49" s="348"/>
      <c r="AX49" s="348"/>
      <c r="AY49" s="641">
        <f>設備波及!P30/固定資本!$C$11*1000</f>
        <v>0</v>
      </c>
      <c r="AZ49" s="641"/>
      <c r="BA49" s="349"/>
      <c r="BO49" s="347"/>
      <c r="BP49" s="348"/>
      <c r="BQ49" s="348"/>
      <c r="BR49" s="348"/>
      <c r="BS49" s="348"/>
      <c r="BT49" s="641">
        <f>生産波及!M30/固定資本!$C$11*1000</f>
        <v>2034.8947139288457</v>
      </c>
      <c r="BU49" s="641"/>
      <c r="BV49" s="349"/>
    </row>
    <row r="50" spans="1:82">
      <c r="AR50" s="509"/>
      <c r="AS50" s="509"/>
      <c r="AT50" s="509"/>
      <c r="AU50" s="509"/>
      <c r="AV50" s="509"/>
      <c r="AW50" s="509"/>
      <c r="AX50" s="509"/>
      <c r="AY50" s="509"/>
      <c r="AZ50" s="509"/>
      <c r="BA50" s="509"/>
      <c r="BB50" s="509"/>
      <c r="BC50" s="509"/>
    </row>
    <row r="51" spans="1:82" ht="17" thickBot="1">
      <c r="B51" s="509"/>
      <c r="C51" s="509"/>
      <c r="D51" s="510"/>
      <c r="E51" s="509"/>
      <c r="F51" s="515" t="s">
        <v>416</v>
      </c>
      <c r="G51" s="510"/>
      <c r="H51" s="510"/>
      <c r="I51" s="509"/>
      <c r="J51" s="509"/>
      <c r="K51" s="510"/>
      <c r="L51" s="509"/>
      <c r="M51" s="509"/>
      <c r="N51" s="509"/>
      <c r="O51" s="509"/>
      <c r="P51" s="509"/>
      <c r="Q51" s="509"/>
      <c r="R51" s="509"/>
      <c r="S51" s="509"/>
      <c r="T51" s="509"/>
      <c r="U51" s="509"/>
      <c r="V51" s="509"/>
      <c r="W51" s="509"/>
      <c r="X51" s="509"/>
      <c r="Y51" s="510"/>
      <c r="Z51" s="509"/>
      <c r="AA51" s="515" t="s">
        <v>416</v>
      </c>
      <c r="AB51" s="510"/>
      <c r="AC51" s="510"/>
      <c r="AD51" s="509"/>
      <c r="AE51" s="509"/>
      <c r="AF51" s="510"/>
      <c r="AG51" s="509"/>
      <c r="AH51" s="509"/>
      <c r="AI51" s="509"/>
      <c r="AJ51" s="509"/>
      <c r="AK51" s="509"/>
      <c r="AR51" s="509"/>
      <c r="AS51" s="509"/>
      <c r="AT51" s="510"/>
      <c r="AU51" s="509"/>
      <c r="AV51" s="515" t="s">
        <v>416</v>
      </c>
      <c r="AW51" s="510"/>
      <c r="AX51" s="510"/>
      <c r="AY51" s="509"/>
      <c r="AZ51" s="509"/>
      <c r="BA51" s="510"/>
      <c r="BB51" s="509"/>
      <c r="BC51" s="509"/>
      <c r="BO51" s="319"/>
      <c r="BQ51" s="286" t="s">
        <v>416</v>
      </c>
      <c r="BR51" s="319"/>
      <c r="BS51" s="319"/>
      <c r="BV51" s="319"/>
    </row>
    <row r="52" spans="1:82" ht="16.5" customHeight="1">
      <c r="D52" s="340"/>
      <c r="E52" s="341"/>
      <c r="F52" s="341"/>
      <c r="G52" s="341"/>
      <c r="H52" s="341"/>
      <c r="I52" s="341"/>
      <c r="J52" s="341"/>
      <c r="K52" s="342"/>
      <c r="Y52" s="340"/>
      <c r="Z52" s="341"/>
      <c r="AA52" s="341"/>
      <c r="AB52" s="341"/>
      <c r="AC52" s="341"/>
      <c r="AD52" s="341"/>
      <c r="AE52" s="341"/>
      <c r="AF52" s="342"/>
      <c r="AT52" s="340"/>
      <c r="AU52" s="341"/>
      <c r="AV52" s="341"/>
      <c r="AW52" s="341"/>
      <c r="AX52" s="341"/>
      <c r="AY52" s="341"/>
      <c r="AZ52" s="341"/>
      <c r="BA52" s="342"/>
      <c r="BO52" s="340"/>
      <c r="BP52" s="341"/>
      <c r="BQ52" s="341"/>
      <c r="BR52" s="341"/>
      <c r="BS52" s="341"/>
      <c r="BT52" s="341"/>
      <c r="BU52" s="341"/>
      <c r="BV52" s="342"/>
    </row>
    <row r="53" spans="1:82">
      <c r="D53" s="343"/>
      <c r="E53" s="344" t="s">
        <v>434</v>
      </c>
      <c r="F53" s="344"/>
      <c r="G53" s="344"/>
      <c r="H53" s="344"/>
      <c r="I53" s="344"/>
      <c r="J53" s="344"/>
      <c r="K53" s="345"/>
      <c r="Y53" s="343"/>
      <c r="Z53" s="344" t="s">
        <v>434</v>
      </c>
      <c r="AA53" s="344"/>
      <c r="AB53" s="344"/>
      <c r="AC53" s="344"/>
      <c r="AD53" s="344"/>
      <c r="AE53" s="344"/>
      <c r="AF53" s="345"/>
      <c r="AT53" s="343"/>
      <c r="AU53" s="344" t="s">
        <v>434</v>
      </c>
      <c r="AV53" s="344"/>
      <c r="AW53" s="344"/>
      <c r="AX53" s="344"/>
      <c r="AY53" s="344"/>
      <c r="AZ53" s="344"/>
      <c r="BA53" s="345"/>
      <c r="BO53" s="343"/>
      <c r="BP53" s="344" t="s">
        <v>434</v>
      </c>
      <c r="BQ53" s="344"/>
      <c r="BR53" s="344"/>
      <c r="BS53" s="344"/>
      <c r="BT53" s="344"/>
      <c r="BU53" s="344"/>
      <c r="BV53" s="345"/>
    </row>
    <row r="54" spans="1:82" ht="17" thickBot="1">
      <c r="D54" s="347"/>
      <c r="E54" s="348"/>
      <c r="F54" s="348"/>
      <c r="G54" s="348"/>
      <c r="H54" s="348"/>
      <c r="I54" s="641">
        <f>造成波及!S26/固定資本!$C$11*1000</f>
        <v>0</v>
      </c>
      <c r="J54" s="641"/>
      <c r="K54" s="349"/>
      <c r="Y54" s="347"/>
      <c r="Z54" s="348"/>
      <c r="AA54" s="348"/>
      <c r="AB54" s="348"/>
      <c r="AC54" s="348"/>
      <c r="AD54" s="641">
        <f>建築波及!S26/固定資本!$C$11*1000</f>
        <v>0</v>
      </c>
      <c r="AE54" s="641"/>
      <c r="AF54" s="349"/>
      <c r="AT54" s="347"/>
      <c r="AU54" s="348"/>
      <c r="AV54" s="348"/>
      <c r="AW54" s="348"/>
      <c r="AX54" s="348"/>
      <c r="AY54" s="641">
        <f>設備波及!S26/固定資本!$C$11*1000</f>
        <v>0</v>
      </c>
      <c r="AZ54" s="641"/>
      <c r="BA54" s="349"/>
      <c r="BO54" s="347"/>
      <c r="BP54" s="348"/>
      <c r="BQ54" s="348"/>
      <c r="BR54" s="348"/>
      <c r="BS54" s="348"/>
      <c r="BT54" s="641">
        <f>生産波及!Q26/固定資本!$C$11*1000</f>
        <v>1295.3380105303963</v>
      </c>
      <c r="BU54" s="641"/>
      <c r="BV54" s="349"/>
    </row>
    <row r="56" spans="1:82" ht="17" thickBot="1">
      <c r="D56" s="319"/>
      <c r="F56" s="286" t="s">
        <v>425</v>
      </c>
      <c r="G56" s="286"/>
      <c r="H56" s="286"/>
      <c r="Y56" s="319"/>
      <c r="AA56" s="286" t="s">
        <v>425</v>
      </c>
      <c r="AB56" s="286"/>
      <c r="AC56" s="286"/>
      <c r="AT56" s="319"/>
      <c r="AV56" s="286" t="s">
        <v>425</v>
      </c>
      <c r="AW56" s="286"/>
      <c r="AX56" s="286"/>
      <c r="BO56" s="319"/>
      <c r="BQ56" s="286" t="s">
        <v>425</v>
      </c>
      <c r="BR56" s="286"/>
      <c r="BS56" s="286"/>
    </row>
    <row r="57" spans="1:82" ht="16.5" customHeight="1">
      <c r="A57" s="287"/>
      <c r="B57" s="287"/>
      <c r="C57" s="287"/>
      <c r="D57" s="330"/>
      <c r="E57" s="331"/>
      <c r="F57" s="331"/>
      <c r="G57" s="331"/>
      <c r="H57" s="331"/>
      <c r="I57" s="331"/>
      <c r="J57" s="331"/>
      <c r="K57" s="332"/>
      <c r="L57" s="288"/>
      <c r="W57" s="287"/>
      <c r="X57" s="287"/>
      <c r="Y57" s="330"/>
      <c r="Z57" s="331"/>
      <c r="AA57" s="331"/>
      <c r="AB57" s="331"/>
      <c r="AC57" s="331"/>
      <c r="AD57" s="331"/>
      <c r="AE57" s="331"/>
      <c r="AF57" s="332"/>
      <c r="AG57" s="288"/>
      <c r="AR57" s="287"/>
      <c r="AS57" s="287"/>
      <c r="AT57" s="330"/>
      <c r="AU57" s="331"/>
      <c r="AV57" s="331"/>
      <c r="AW57" s="331"/>
      <c r="AX57" s="331"/>
      <c r="AY57" s="331"/>
      <c r="AZ57" s="331"/>
      <c r="BA57" s="332"/>
      <c r="BB57" s="288"/>
      <c r="BM57" s="287"/>
      <c r="BN57" s="287"/>
      <c r="BO57" s="330"/>
      <c r="BP57" s="331"/>
      <c r="BQ57" s="331"/>
      <c r="BR57" s="331"/>
      <c r="BS57" s="331"/>
      <c r="BT57" s="331"/>
      <c r="BU57" s="331"/>
      <c r="BV57" s="332"/>
      <c r="BW57" s="288"/>
    </row>
    <row r="58" spans="1:82">
      <c r="A58" s="287"/>
      <c r="B58" s="287"/>
      <c r="C58" s="287"/>
      <c r="D58" s="333"/>
      <c r="E58" s="334" t="s">
        <v>165</v>
      </c>
      <c r="F58" s="334"/>
      <c r="G58" s="334"/>
      <c r="H58" s="334"/>
      <c r="I58" s="334"/>
      <c r="J58" s="334"/>
      <c r="K58" s="335"/>
      <c r="L58" s="288"/>
      <c r="W58" s="287"/>
      <c r="X58" s="287"/>
      <c r="Y58" s="333"/>
      <c r="Z58" s="334" t="s">
        <v>165</v>
      </c>
      <c r="AA58" s="334"/>
      <c r="AB58" s="334"/>
      <c r="AC58" s="334"/>
      <c r="AD58" s="334"/>
      <c r="AE58" s="334"/>
      <c r="AF58" s="335"/>
      <c r="AG58" s="288"/>
      <c r="AR58" s="287"/>
      <c r="AS58" s="287"/>
      <c r="AT58" s="333"/>
      <c r="AU58" s="334" t="s">
        <v>165</v>
      </c>
      <c r="AV58" s="334"/>
      <c r="AW58" s="334"/>
      <c r="AX58" s="334"/>
      <c r="AY58" s="334"/>
      <c r="AZ58" s="334"/>
      <c r="BA58" s="335"/>
      <c r="BB58" s="288"/>
      <c r="BM58" s="287"/>
      <c r="BN58" s="287"/>
      <c r="BO58" s="333"/>
      <c r="BP58" s="334" t="s">
        <v>165</v>
      </c>
      <c r="BQ58" s="334"/>
      <c r="BR58" s="334"/>
      <c r="BS58" s="334"/>
      <c r="BT58" s="334"/>
      <c r="BU58" s="334"/>
      <c r="BV58" s="335"/>
      <c r="BW58" s="288"/>
    </row>
    <row r="59" spans="1:82" ht="17" thickBot="1">
      <c r="A59" s="287"/>
      <c r="B59" s="287"/>
      <c r="C59" s="287"/>
      <c r="D59" s="337"/>
      <c r="E59" s="338"/>
      <c r="F59" s="338"/>
      <c r="G59" s="338"/>
      <c r="H59" s="338"/>
      <c r="I59" s="640">
        <f>造成波及!T26/固定資本!$C$11*1000</f>
        <v>0</v>
      </c>
      <c r="J59" s="640"/>
      <c r="K59" s="339"/>
      <c r="L59" s="288"/>
      <c r="W59" s="287"/>
      <c r="X59" s="287"/>
      <c r="Y59" s="337"/>
      <c r="Z59" s="338"/>
      <c r="AA59" s="338"/>
      <c r="AB59" s="338"/>
      <c r="AC59" s="338"/>
      <c r="AD59" s="640">
        <f>建築波及!T26/固定資本!$C$11*1000</f>
        <v>0</v>
      </c>
      <c r="AE59" s="640"/>
      <c r="AF59" s="339"/>
      <c r="AG59" s="288"/>
      <c r="AR59" s="287"/>
      <c r="AS59" s="287"/>
      <c r="AT59" s="337"/>
      <c r="AU59" s="338"/>
      <c r="AV59" s="338"/>
      <c r="AW59" s="338"/>
      <c r="AX59" s="338"/>
      <c r="AY59" s="640">
        <f>設備波及!T26/固定資本!$C$11*1000</f>
        <v>0</v>
      </c>
      <c r="AZ59" s="640"/>
      <c r="BA59" s="339"/>
      <c r="BB59" s="288"/>
      <c r="BM59" s="287"/>
      <c r="BN59" s="287"/>
      <c r="BO59" s="337"/>
      <c r="BP59" s="338"/>
      <c r="BQ59" s="338"/>
      <c r="BR59" s="338"/>
      <c r="BS59" s="338"/>
      <c r="BT59" s="640">
        <f>生産波及!R26/固定資本!$C$11*1000</f>
        <v>1579.7144706175154</v>
      </c>
      <c r="BU59" s="640"/>
      <c r="BV59" s="339"/>
      <c r="BW59" s="288"/>
    </row>
    <row r="60" spans="1:82">
      <c r="D60" s="290"/>
      <c r="E60" s="290"/>
      <c r="F60" s="290"/>
      <c r="G60" s="290"/>
      <c r="H60" s="290"/>
      <c r="I60" s="290"/>
      <c r="J60" s="290"/>
      <c r="K60" s="290"/>
      <c r="Y60" s="290"/>
      <c r="Z60" s="290"/>
      <c r="AA60" s="290"/>
      <c r="AB60" s="290"/>
      <c r="AC60" s="290"/>
      <c r="AD60" s="290"/>
      <c r="AE60" s="290"/>
      <c r="AF60" s="290"/>
      <c r="AT60" s="290"/>
      <c r="AU60" s="290"/>
      <c r="AV60" s="290"/>
      <c r="AW60" s="290"/>
      <c r="AX60" s="290"/>
      <c r="AY60" s="290"/>
      <c r="AZ60" s="290"/>
      <c r="BA60" s="290"/>
      <c r="BO60" s="290"/>
      <c r="BP60" s="290"/>
      <c r="BQ60" s="290"/>
      <c r="BR60" s="290"/>
      <c r="BS60" s="290"/>
      <c r="BT60" s="290"/>
      <c r="BU60" s="290"/>
      <c r="BV60" s="290"/>
    </row>
    <row r="61" spans="1:82" ht="17" thickBot="1">
      <c r="N61" s="319" t="s">
        <v>435</v>
      </c>
      <c r="AI61" s="319" t="s">
        <v>428</v>
      </c>
      <c r="BD61" s="319" t="s">
        <v>436</v>
      </c>
      <c r="BY61" s="319" t="s">
        <v>437</v>
      </c>
    </row>
    <row r="62" spans="1:82" ht="16.5" customHeight="1">
      <c r="M62" s="320"/>
      <c r="N62" s="321" t="s">
        <v>165</v>
      </c>
      <c r="O62" s="321"/>
      <c r="P62" s="322"/>
      <c r="AH62" s="320"/>
      <c r="AI62" s="321" t="s">
        <v>165</v>
      </c>
      <c r="AJ62" s="321"/>
      <c r="AK62" s="322"/>
      <c r="BC62" s="320"/>
      <c r="BD62" s="321" t="s">
        <v>165</v>
      </c>
      <c r="BE62" s="321"/>
      <c r="BF62" s="322"/>
      <c r="BX62" s="320"/>
      <c r="BY62" s="321" t="s">
        <v>165</v>
      </c>
      <c r="BZ62" s="321"/>
      <c r="CA62" s="322"/>
    </row>
    <row r="63" spans="1:82">
      <c r="M63" s="323"/>
      <c r="N63" s="324" t="s">
        <v>424</v>
      </c>
      <c r="O63" s="329">
        <f>固定資本!$F$6</f>
        <v>2025</v>
      </c>
      <c r="P63" s="325"/>
      <c r="AH63" s="323"/>
      <c r="AI63" s="324" t="s">
        <v>424</v>
      </c>
      <c r="AJ63" s="329">
        <f>固定資本!$F$6</f>
        <v>2025</v>
      </c>
      <c r="AK63" s="325"/>
      <c r="BC63" s="323"/>
      <c r="BD63" s="324" t="s">
        <v>424</v>
      </c>
      <c r="BE63" s="329">
        <f>固定資本!$F$6</f>
        <v>2025</v>
      </c>
      <c r="BF63" s="325"/>
      <c r="BX63" s="323"/>
      <c r="BY63" s="324" t="s">
        <v>424</v>
      </c>
      <c r="BZ63" s="329">
        <f>固定資本!$F$6</f>
        <v>2025</v>
      </c>
      <c r="CA63" s="325"/>
    </row>
    <row r="64" spans="1:82" ht="17" thickBot="1">
      <c r="M64" s="326"/>
      <c r="N64" s="639">
        <f>造成波及!U26/固定資本!$C$11*1000</f>
        <v>0</v>
      </c>
      <c r="O64" s="639"/>
      <c r="P64" s="328"/>
      <c r="S64" s="284" t="s">
        <v>438</v>
      </c>
      <c r="AH64" s="326"/>
      <c r="AI64" s="639">
        <f>建築波及!U26/固定資本!$C$11*1000</f>
        <v>0</v>
      </c>
      <c r="AJ64" s="639"/>
      <c r="AK64" s="328"/>
      <c r="AN64" s="284" t="s">
        <v>439</v>
      </c>
      <c r="BC64" s="326"/>
      <c r="BD64" s="639">
        <f>設備波及!U26/固定資本!$C$11*1000</f>
        <v>0</v>
      </c>
      <c r="BE64" s="639"/>
      <c r="BF64" s="328"/>
      <c r="BI64" s="284" t="s">
        <v>344</v>
      </c>
      <c r="BX64" s="326"/>
      <c r="BY64" s="639">
        <f>生産波及!S26/固定資本!$C$11*1000</f>
        <v>1619.2121734917216</v>
      </c>
      <c r="BZ64" s="639"/>
      <c r="CA64" s="328"/>
      <c r="CD64" s="284" t="s">
        <v>440</v>
      </c>
    </row>
    <row r="65" spans="5:84">
      <c r="S65" s="284" t="s">
        <v>345</v>
      </c>
      <c r="AN65" s="284" t="s">
        <v>346</v>
      </c>
      <c r="BI65" s="284" t="s">
        <v>347</v>
      </c>
      <c r="CD65" s="284" t="s">
        <v>348</v>
      </c>
    </row>
    <row r="66" spans="5:84" ht="17" thickBot="1">
      <c r="S66" s="284" t="s">
        <v>441</v>
      </c>
      <c r="AN66" s="284" t="s">
        <v>349</v>
      </c>
      <c r="BI66" s="284" t="s">
        <v>350</v>
      </c>
      <c r="CD66" s="284" t="s">
        <v>351</v>
      </c>
    </row>
    <row r="67" spans="5:84" ht="16.5" customHeight="1">
      <c r="L67" s="288"/>
      <c r="R67" s="320"/>
      <c r="S67" s="321" t="s">
        <v>116</v>
      </c>
      <c r="T67" s="321"/>
      <c r="U67" s="322"/>
      <c r="AG67" s="288"/>
      <c r="AM67" s="320"/>
      <c r="AN67" s="321" t="s">
        <v>116</v>
      </c>
      <c r="AO67" s="321"/>
      <c r="AP67" s="322"/>
      <c r="BB67" s="288"/>
      <c r="BH67" s="320"/>
      <c r="BI67" s="321" t="s">
        <v>116</v>
      </c>
      <c r="BJ67" s="321"/>
      <c r="BK67" s="322"/>
      <c r="BW67" s="288"/>
      <c r="CC67" s="320"/>
      <c r="CD67" s="321" t="s">
        <v>116</v>
      </c>
      <c r="CE67" s="321"/>
      <c r="CF67" s="322"/>
    </row>
    <row r="68" spans="5:84">
      <c r="L68" s="288"/>
      <c r="R68" s="323"/>
      <c r="S68" s="324"/>
      <c r="T68" s="324"/>
      <c r="U68" s="325"/>
      <c r="AG68" s="288"/>
      <c r="AM68" s="323"/>
      <c r="AN68" s="324"/>
      <c r="AO68" s="324"/>
      <c r="AP68" s="325"/>
      <c r="BB68" s="288"/>
      <c r="BH68" s="323"/>
      <c r="BI68" s="324"/>
      <c r="BJ68" s="324"/>
      <c r="BK68" s="325"/>
      <c r="BW68" s="288"/>
      <c r="CC68" s="323"/>
      <c r="CD68" s="324"/>
      <c r="CE68" s="324"/>
      <c r="CF68" s="325"/>
    </row>
    <row r="69" spans="5:84" ht="17" thickBot="1">
      <c r="L69" s="288"/>
      <c r="R69" s="326"/>
      <c r="S69" s="639">
        <f>報告書!I14</f>
        <v>0</v>
      </c>
      <c r="T69" s="639"/>
      <c r="U69" s="328"/>
      <c r="AG69" s="288"/>
      <c r="AM69" s="326"/>
      <c r="AN69" s="639">
        <f>報告書!I16</f>
        <v>0</v>
      </c>
      <c r="AO69" s="639"/>
      <c r="AP69" s="328"/>
      <c r="BB69" s="288"/>
      <c r="BH69" s="326"/>
      <c r="BI69" s="639">
        <f>報告書!I18</f>
        <v>0</v>
      </c>
      <c r="BJ69" s="639"/>
      <c r="BK69" s="328"/>
      <c r="BW69" s="288"/>
      <c r="CC69" s="326"/>
      <c r="CD69" s="639">
        <f>報告書!I22</f>
        <v>9933.7035599761221</v>
      </c>
      <c r="CE69" s="639"/>
      <c r="CF69" s="328"/>
    </row>
    <row r="70" spans="5:84">
      <c r="G70" s="290"/>
      <c r="H70" s="290"/>
      <c r="I70" s="290"/>
      <c r="J70" s="290"/>
      <c r="K70" s="290"/>
      <c r="AB70" s="290"/>
      <c r="AC70" s="290"/>
      <c r="AD70" s="290"/>
      <c r="AF70" s="290"/>
      <c r="AW70" s="290"/>
      <c r="AX70" s="290"/>
      <c r="AY70" s="290"/>
      <c r="BA70" s="290"/>
      <c r="BR70" s="290"/>
      <c r="BS70" s="290"/>
      <c r="BT70" s="290"/>
      <c r="BV70" s="290"/>
    </row>
    <row r="71" spans="5:84" ht="17.25" customHeight="1" thickBot="1">
      <c r="E71" s="286"/>
      <c r="F71" s="286"/>
      <c r="G71" s="286"/>
      <c r="H71" s="286"/>
      <c r="I71" s="286"/>
      <c r="J71" s="286"/>
      <c r="K71" s="286"/>
      <c r="M71" s="286"/>
      <c r="N71" s="286" t="s">
        <v>352</v>
      </c>
      <c r="O71" s="286"/>
      <c r="P71" s="286"/>
      <c r="R71" s="286"/>
      <c r="S71" s="286"/>
      <c r="T71" s="286"/>
      <c r="U71" s="286"/>
      <c r="Z71" s="286"/>
      <c r="AA71" s="286"/>
      <c r="AB71" s="286"/>
      <c r="AC71" s="286"/>
      <c r="AD71" s="286"/>
      <c r="AE71" s="286"/>
      <c r="AF71" s="286"/>
      <c r="AH71" s="286"/>
      <c r="AI71" s="286" t="s">
        <v>442</v>
      </c>
      <c r="AJ71" s="286"/>
      <c r="AK71" s="286"/>
      <c r="AM71" s="286"/>
      <c r="AN71" s="286"/>
      <c r="AO71" s="286"/>
      <c r="AP71" s="286"/>
      <c r="AU71" s="286"/>
      <c r="AV71" s="286"/>
      <c r="AW71" s="286"/>
      <c r="AX71" s="286"/>
      <c r="AY71" s="286"/>
      <c r="AZ71" s="286"/>
      <c r="BA71" s="286"/>
      <c r="BC71" s="286"/>
      <c r="BD71" s="286" t="s">
        <v>443</v>
      </c>
      <c r="BE71" s="286"/>
      <c r="BF71" s="286"/>
      <c r="BH71" s="286"/>
      <c r="BI71" s="286"/>
      <c r="BJ71" s="286"/>
      <c r="BK71" s="286"/>
      <c r="BP71" s="286"/>
      <c r="BQ71" s="286"/>
      <c r="BR71" s="286"/>
      <c r="BS71" s="286"/>
      <c r="BT71" s="286"/>
      <c r="BU71" s="286"/>
      <c r="BV71" s="286"/>
      <c r="BX71" s="286"/>
      <c r="BY71" s="286" t="s">
        <v>353</v>
      </c>
      <c r="BZ71" s="286"/>
      <c r="CA71" s="286"/>
      <c r="CC71" s="286"/>
      <c r="CD71" s="286"/>
      <c r="CE71" s="286"/>
      <c r="CF71" s="286"/>
    </row>
    <row r="72" spans="5:84">
      <c r="E72" s="351" t="s">
        <v>444</v>
      </c>
      <c r="F72" s="352"/>
      <c r="G72" s="353"/>
      <c r="I72" s="351" t="s">
        <v>445</v>
      </c>
      <c r="J72" s="352"/>
      <c r="K72" s="353"/>
      <c r="L72" s="310"/>
      <c r="M72" s="354"/>
      <c r="N72" s="355" t="s">
        <v>446</v>
      </c>
      <c r="O72" s="355"/>
      <c r="P72" s="356"/>
      <c r="Q72" s="310"/>
      <c r="R72" s="357"/>
      <c r="S72" s="358" t="s">
        <v>117</v>
      </c>
      <c r="T72" s="358"/>
      <c r="U72" s="359"/>
      <c r="Z72" s="351" t="s">
        <v>444</v>
      </c>
      <c r="AA72" s="352"/>
      <c r="AB72" s="353"/>
      <c r="AD72" s="351" t="s">
        <v>445</v>
      </c>
      <c r="AE72" s="352"/>
      <c r="AF72" s="353"/>
      <c r="AG72" s="310"/>
      <c r="AH72" s="354"/>
      <c r="AI72" s="355" t="s">
        <v>354</v>
      </c>
      <c r="AJ72" s="355"/>
      <c r="AK72" s="356"/>
      <c r="AL72" s="310"/>
      <c r="AM72" s="357"/>
      <c r="AN72" s="358" t="s">
        <v>117</v>
      </c>
      <c r="AO72" s="358"/>
      <c r="AP72" s="359"/>
      <c r="AU72" s="351" t="s">
        <v>444</v>
      </c>
      <c r="AV72" s="352"/>
      <c r="AW72" s="353"/>
      <c r="AY72" s="351" t="s">
        <v>445</v>
      </c>
      <c r="AZ72" s="352"/>
      <c r="BA72" s="353"/>
      <c r="BB72" s="310"/>
      <c r="BC72" s="354"/>
      <c r="BD72" s="355" t="s">
        <v>354</v>
      </c>
      <c r="BE72" s="355"/>
      <c r="BF72" s="356"/>
      <c r="BG72" s="310"/>
      <c r="BH72" s="357"/>
      <c r="BI72" s="358" t="s">
        <v>117</v>
      </c>
      <c r="BJ72" s="358"/>
      <c r="BK72" s="359"/>
      <c r="BP72" s="351" t="s">
        <v>444</v>
      </c>
      <c r="BQ72" s="352"/>
      <c r="BR72" s="353"/>
      <c r="BT72" s="351" t="s">
        <v>445</v>
      </c>
      <c r="BU72" s="352"/>
      <c r="BV72" s="353"/>
      <c r="BW72" s="310"/>
      <c r="BX72" s="354"/>
      <c r="BY72" s="355" t="s">
        <v>354</v>
      </c>
      <c r="BZ72" s="355"/>
      <c r="CA72" s="356"/>
      <c r="CB72" s="310"/>
      <c r="CC72" s="357"/>
      <c r="CD72" s="358" t="s">
        <v>117</v>
      </c>
      <c r="CE72" s="358"/>
      <c r="CF72" s="359"/>
    </row>
    <row r="73" spans="5:84">
      <c r="E73" s="360"/>
      <c r="F73" s="361">
        <f>造成波及!AG26</f>
        <v>0</v>
      </c>
      <c r="G73" s="362"/>
      <c r="I73" s="360"/>
      <c r="J73" s="361">
        <f>造成波及!AE26</f>
        <v>0</v>
      </c>
      <c r="K73" s="362"/>
      <c r="L73" s="310"/>
      <c r="M73" s="363"/>
      <c r="N73" s="364"/>
      <c r="O73" s="365"/>
      <c r="P73" s="366"/>
      <c r="Q73" s="310"/>
      <c r="R73" s="367"/>
      <c r="S73" s="368"/>
      <c r="T73" s="368"/>
      <c r="U73" s="369"/>
      <c r="Z73" s="360"/>
      <c r="AA73" s="361">
        <f>建築波及!AG26</f>
        <v>0</v>
      </c>
      <c r="AB73" s="362"/>
      <c r="AD73" s="360"/>
      <c r="AE73" s="361">
        <f>建築波及!AE26</f>
        <v>0</v>
      </c>
      <c r="AF73" s="362"/>
      <c r="AG73" s="310"/>
      <c r="AH73" s="363"/>
      <c r="AI73" s="364"/>
      <c r="AJ73" s="365"/>
      <c r="AK73" s="366"/>
      <c r="AL73" s="310"/>
      <c r="AM73" s="367"/>
      <c r="AN73" s="368"/>
      <c r="AO73" s="368"/>
      <c r="AP73" s="369"/>
      <c r="AU73" s="360"/>
      <c r="AV73" s="361">
        <f>設備波及!AG26</f>
        <v>0</v>
      </c>
      <c r="AW73" s="362"/>
      <c r="AY73" s="360"/>
      <c r="AZ73" s="361">
        <f>設備波及!AE26</f>
        <v>0</v>
      </c>
      <c r="BA73" s="362"/>
      <c r="BB73" s="310"/>
      <c r="BC73" s="363"/>
      <c r="BD73" s="364"/>
      <c r="BE73" s="365"/>
      <c r="BF73" s="366"/>
      <c r="BG73" s="310"/>
      <c r="BH73" s="367"/>
      <c r="BI73" s="368"/>
      <c r="BJ73" s="368"/>
      <c r="BK73" s="369"/>
      <c r="BP73" s="360"/>
      <c r="BQ73" s="361">
        <f>生産波及!AE26</f>
        <v>0.86380328538289275</v>
      </c>
      <c r="BR73" s="362"/>
      <c r="BT73" s="360"/>
      <c r="BU73" s="361">
        <f>生産波及!AC26</f>
        <v>2.0603477906471603</v>
      </c>
      <c r="BV73" s="362"/>
      <c r="BW73" s="310"/>
      <c r="BX73" s="363"/>
      <c r="BY73" s="364"/>
      <c r="BZ73" s="365"/>
      <c r="CA73" s="366"/>
      <c r="CB73" s="310"/>
      <c r="CC73" s="367"/>
      <c r="CD73" s="368"/>
      <c r="CE73" s="368"/>
      <c r="CF73" s="369"/>
    </row>
    <row r="74" spans="5:84" ht="17" thickBot="1">
      <c r="E74" s="380" t="s">
        <v>447</v>
      </c>
      <c r="F74" s="370">
        <f>造成波及!AF26</f>
        <v>0</v>
      </c>
      <c r="G74" s="371" t="s">
        <v>448</v>
      </c>
      <c r="H74" s="319"/>
      <c r="I74" s="380" t="s">
        <v>447</v>
      </c>
      <c r="J74" s="370">
        <f>造成波及!AD26</f>
        <v>0</v>
      </c>
      <c r="K74" s="371" t="s">
        <v>448</v>
      </c>
      <c r="L74" s="310"/>
      <c r="M74" s="372"/>
      <c r="N74" s="373" t="s">
        <v>449</v>
      </c>
      <c r="O74" s="374" t="str">
        <f>報告書!K14</f>
        <v>-</v>
      </c>
      <c r="P74" s="375"/>
      <c r="Q74" s="310"/>
      <c r="R74" s="376"/>
      <c r="S74" s="642">
        <f>報告書!L14</f>
        <v>0</v>
      </c>
      <c r="T74" s="642"/>
      <c r="U74" s="377"/>
      <c r="Z74" s="380" t="s">
        <v>447</v>
      </c>
      <c r="AA74" s="370">
        <f>建築波及!AF26</f>
        <v>0</v>
      </c>
      <c r="AB74" s="371" t="s">
        <v>448</v>
      </c>
      <c r="AC74" s="319"/>
      <c r="AD74" s="380" t="s">
        <v>447</v>
      </c>
      <c r="AE74" s="370">
        <f>建築波及!AD26</f>
        <v>0</v>
      </c>
      <c r="AF74" s="371" t="s">
        <v>448</v>
      </c>
      <c r="AG74" s="310"/>
      <c r="AH74" s="372"/>
      <c r="AI74" s="373" t="s">
        <v>449</v>
      </c>
      <c r="AJ74" s="374" t="str">
        <f>報告書!K16</f>
        <v>-</v>
      </c>
      <c r="AK74" s="375"/>
      <c r="AL74" s="310"/>
      <c r="AM74" s="376"/>
      <c r="AN74" s="642">
        <f>報告書!L16</f>
        <v>0</v>
      </c>
      <c r="AO74" s="642"/>
      <c r="AP74" s="377"/>
      <c r="AU74" s="380" t="s">
        <v>447</v>
      </c>
      <c r="AV74" s="370">
        <f>設備波及!AF26</f>
        <v>0</v>
      </c>
      <c r="AW74" s="371" t="s">
        <v>355</v>
      </c>
      <c r="AX74" s="319"/>
      <c r="AY74" s="380" t="s">
        <v>447</v>
      </c>
      <c r="AZ74" s="370">
        <f>設備波及!AD26</f>
        <v>0</v>
      </c>
      <c r="BA74" s="371" t="s">
        <v>355</v>
      </c>
      <c r="BB74" s="310"/>
      <c r="BC74" s="372"/>
      <c r="BD74" s="373" t="s">
        <v>449</v>
      </c>
      <c r="BE74" s="374" t="str">
        <f>報告書!K18</f>
        <v>-</v>
      </c>
      <c r="BF74" s="375"/>
      <c r="BG74" s="310"/>
      <c r="BH74" s="376"/>
      <c r="BI74" s="642">
        <f>報告書!L18</f>
        <v>0</v>
      </c>
      <c r="BJ74" s="642"/>
      <c r="BK74" s="377"/>
      <c r="BP74" s="380" t="s">
        <v>447</v>
      </c>
      <c r="BQ74" s="370">
        <f>生産波及!AD26</f>
        <v>0.65934593282150822</v>
      </c>
      <c r="BR74" s="371" t="s">
        <v>448</v>
      </c>
      <c r="BS74" s="319"/>
      <c r="BT74" s="380" t="s">
        <v>447</v>
      </c>
      <c r="BU74" s="370">
        <f>生産波及!AB26</f>
        <v>1.8186909347716085</v>
      </c>
      <c r="BV74" s="371" t="s">
        <v>448</v>
      </c>
      <c r="BW74" s="310"/>
      <c r="BX74" s="372"/>
      <c r="BY74" s="373" t="s">
        <v>449</v>
      </c>
      <c r="BZ74" s="378">
        <f>報告書!K22</f>
        <v>1.5645467009322771</v>
      </c>
      <c r="CA74" s="375"/>
      <c r="CB74" s="310"/>
      <c r="CC74" s="376"/>
      <c r="CD74" s="642">
        <f>報告書!L22</f>
        <v>4606.3231272162166</v>
      </c>
      <c r="CE74" s="642"/>
      <c r="CF74" s="377"/>
    </row>
    <row r="75" spans="5:84">
      <c r="F75" s="290"/>
      <c r="G75" s="290"/>
      <c r="H75" s="290"/>
      <c r="I75" s="290"/>
      <c r="J75" s="290"/>
      <c r="K75" s="290"/>
      <c r="M75" s="290"/>
      <c r="N75" s="290"/>
      <c r="O75" s="290"/>
      <c r="P75" s="290"/>
      <c r="R75" s="290"/>
      <c r="S75" s="290"/>
      <c r="T75" s="290"/>
      <c r="U75" s="290"/>
      <c r="AA75" s="290"/>
      <c r="AB75" s="290"/>
      <c r="AC75" s="290"/>
      <c r="AD75" s="290"/>
      <c r="AE75" s="290"/>
      <c r="AF75" s="290"/>
      <c r="AH75" s="290"/>
      <c r="AI75" s="290"/>
      <c r="AJ75" s="290"/>
      <c r="AK75" s="290"/>
      <c r="AM75" s="290"/>
      <c r="AN75" s="290"/>
      <c r="AO75" s="290"/>
      <c r="AP75" s="290"/>
      <c r="AV75" s="290"/>
      <c r="AW75" s="290"/>
      <c r="AX75" s="290"/>
      <c r="AY75" s="290"/>
      <c r="AZ75" s="290"/>
      <c r="BA75" s="290"/>
      <c r="BC75" s="290"/>
      <c r="BD75" s="290"/>
      <c r="BE75" s="290"/>
      <c r="BF75" s="290"/>
      <c r="BH75" s="290"/>
      <c r="BI75" s="290"/>
      <c r="BJ75" s="290"/>
      <c r="BK75" s="290"/>
      <c r="BQ75" s="290"/>
      <c r="BR75" s="290"/>
      <c r="BS75" s="290"/>
      <c r="BT75" s="290"/>
      <c r="BU75" s="290"/>
      <c r="BV75" s="290"/>
      <c r="BX75" s="290"/>
      <c r="BY75" s="290"/>
      <c r="BZ75" s="290"/>
      <c r="CA75" s="290"/>
      <c r="CC75" s="290"/>
      <c r="CD75" s="290"/>
      <c r="CE75" s="290"/>
      <c r="CF75" s="290"/>
    </row>
    <row r="81" s="284" customFormat="1"/>
    <row r="82" s="284" customFormat="1"/>
    <row r="83" s="284" customFormat="1"/>
    <row r="84" s="284" customFormat="1"/>
    <row r="85" s="284" customFormat="1"/>
    <row r="86" s="284" customFormat="1"/>
    <row r="87" s="284" customFormat="1"/>
    <row r="88" s="284" customFormat="1"/>
    <row r="89" s="284" customFormat="1"/>
    <row r="90" s="284" customFormat="1"/>
    <row r="91" s="284" customFormat="1"/>
    <row r="92" s="284" customFormat="1"/>
    <row r="93" s="284" customFormat="1"/>
    <row r="94" s="284" customFormat="1"/>
    <row r="95" s="284" customFormat="1"/>
    <row r="96" s="284" customFormat="1"/>
    <row r="97" s="284" customFormat="1"/>
    <row r="98" s="284" customFormat="1"/>
    <row r="99" s="284" customFormat="1"/>
    <row r="100" s="284" customFormat="1"/>
    <row r="101" s="284" customFormat="1"/>
    <row r="102" s="284" customFormat="1"/>
    <row r="103" s="284" customFormat="1"/>
    <row r="104" s="284" customFormat="1"/>
    <row r="105" s="284" customFormat="1"/>
    <row r="106" s="284" customFormat="1"/>
    <row r="107" s="284" customFormat="1"/>
    <row r="108" s="284" customFormat="1"/>
    <row r="109" s="284" customFormat="1"/>
    <row r="110" s="284" customFormat="1"/>
    <row r="111" s="284" customFormat="1"/>
    <row r="112" s="284" customFormat="1"/>
    <row r="113" s="284" customFormat="1"/>
    <row r="114" s="284" customFormat="1"/>
    <row r="115" s="284" customFormat="1"/>
    <row r="116" s="284" customFormat="1"/>
    <row r="117" s="284" customFormat="1"/>
    <row r="118" s="284" customFormat="1"/>
    <row r="119" s="284" customFormat="1"/>
    <row r="120" s="284" customFormat="1"/>
    <row r="121" s="284" customFormat="1"/>
    <row r="122" s="284" customFormat="1"/>
    <row r="123" s="284" customFormat="1"/>
    <row r="124" s="284" customFormat="1"/>
    <row r="125" s="284" customFormat="1"/>
    <row r="126" s="284" customFormat="1"/>
    <row r="127" s="284" customFormat="1"/>
    <row r="128" s="284" customFormat="1"/>
    <row r="129" s="284" customFormat="1"/>
    <row r="130" s="284" customFormat="1"/>
    <row r="131" s="284" customFormat="1"/>
    <row r="132" s="284" customFormat="1"/>
    <row r="133" s="284" customFormat="1"/>
    <row r="134" s="284" customFormat="1"/>
    <row r="135" s="284" customFormat="1"/>
  </sheetData>
  <sheetProtection sheet="1" objects="1" scenarios="1"/>
  <mergeCells count="81">
    <mergeCell ref="S74:T74"/>
    <mergeCell ref="AN74:AO74"/>
    <mergeCell ref="BI74:BJ74"/>
    <mergeCell ref="CD74:CE74"/>
    <mergeCell ref="I59:J59"/>
    <mergeCell ref="AD59:AE59"/>
    <mergeCell ref="AY59:AZ59"/>
    <mergeCell ref="BT59:BU59"/>
    <mergeCell ref="N64:O64"/>
    <mergeCell ref="AI64:AJ64"/>
    <mergeCell ref="BD64:BE64"/>
    <mergeCell ref="BY64:BZ64"/>
    <mergeCell ref="S69:T69"/>
    <mergeCell ref="AN69:AO69"/>
    <mergeCell ref="BI69:BJ69"/>
    <mergeCell ref="CD69:CE69"/>
    <mergeCell ref="I49:J49"/>
    <mergeCell ref="AD49:AE49"/>
    <mergeCell ref="AY49:AZ49"/>
    <mergeCell ref="BT49:BU49"/>
    <mergeCell ref="I54:J54"/>
    <mergeCell ref="AD54:AE54"/>
    <mergeCell ref="AY54:AZ54"/>
    <mergeCell ref="BT54:BU54"/>
    <mergeCell ref="I44:J44"/>
    <mergeCell ref="AD44:AE44"/>
    <mergeCell ref="AY44:AZ44"/>
    <mergeCell ref="BT44:BU44"/>
    <mergeCell ref="I39:J39"/>
    <mergeCell ref="N39:O39"/>
    <mergeCell ref="AD39:AE39"/>
    <mergeCell ref="AI39:AJ39"/>
    <mergeCell ref="AY39:AZ39"/>
    <mergeCell ref="BD39:BE39"/>
    <mergeCell ref="I34:J34"/>
    <mergeCell ref="AD34:AE34"/>
    <mergeCell ref="BD34:BE34"/>
    <mergeCell ref="BT39:BU39"/>
    <mergeCell ref="BY39:BZ39"/>
    <mergeCell ref="I29:J29"/>
    <mergeCell ref="N29:O29"/>
    <mergeCell ref="AD29:AE29"/>
    <mergeCell ref="AI29:AJ29"/>
    <mergeCell ref="AY32:AZ32"/>
    <mergeCell ref="AU22:AV22"/>
    <mergeCell ref="AY22:AZ22"/>
    <mergeCell ref="BP22:BQ22"/>
    <mergeCell ref="BY34:BZ34"/>
    <mergeCell ref="AY27:AZ27"/>
    <mergeCell ref="BT27:BU27"/>
    <mergeCell ref="BT32:BU32"/>
    <mergeCell ref="E24:F24"/>
    <mergeCell ref="I24:J24"/>
    <mergeCell ref="Z24:AA24"/>
    <mergeCell ref="AD24:AE24"/>
    <mergeCell ref="F10:H10"/>
    <mergeCell ref="AA10:AC10"/>
    <mergeCell ref="E17:F17"/>
    <mergeCell ref="Z17:AA17"/>
    <mergeCell ref="AV10:AX10"/>
    <mergeCell ref="BQ10:BS10"/>
    <mergeCell ref="AT13:AX14"/>
    <mergeCell ref="I15:J15"/>
    <mergeCell ref="AD15:AE15"/>
    <mergeCell ref="AV15:AX15"/>
    <mergeCell ref="E7:G7"/>
    <mergeCell ref="Z7:AB7"/>
    <mergeCell ref="AU7:AW7"/>
    <mergeCell ref="BP7:BR7"/>
    <mergeCell ref="D8:H9"/>
    <mergeCell ref="Y8:AC9"/>
    <mergeCell ref="AT8:AX9"/>
    <mergeCell ref="BO8:BS9"/>
    <mergeCell ref="F4:O5"/>
    <mergeCell ref="AA4:AJ5"/>
    <mergeCell ref="AV4:BE5"/>
    <mergeCell ref="BQ4:BZ5"/>
    <mergeCell ref="C6:F6"/>
    <mergeCell ref="X6:AA6"/>
    <mergeCell ref="AS6:AV6"/>
    <mergeCell ref="BN6:BQ6"/>
  </mergeCells>
  <phoneticPr fontId="27"/>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800000"/>
  </sheetPr>
  <dimension ref="A1:AG129"/>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155" customWidth="1"/>
    <col min="2" max="2" width="6.6328125" style="155" customWidth="1"/>
    <col min="3" max="3" width="23.6328125" style="155" customWidth="1"/>
    <col min="4" max="33" width="12.6328125" style="155" customWidth="1"/>
    <col min="34" max="16384" width="9" style="155"/>
  </cols>
  <sheetData>
    <row r="1" spans="1:33" ht="37.5" customHeight="1">
      <c r="A1" s="381"/>
      <c r="B1" s="382"/>
      <c r="C1" s="383"/>
    </row>
    <row r="2" spans="1:33" ht="17.25" customHeight="1">
      <c r="A2" s="384"/>
      <c r="B2" s="649" t="s">
        <v>196</v>
      </c>
      <c r="C2" s="650"/>
      <c r="D2" s="655" t="s">
        <v>332</v>
      </c>
      <c r="E2" s="643" t="s">
        <v>103</v>
      </c>
      <c r="F2" s="643" t="s">
        <v>104</v>
      </c>
      <c r="G2" s="643" t="s">
        <v>105</v>
      </c>
      <c r="H2" s="643" t="s">
        <v>106</v>
      </c>
      <c r="I2" s="645" t="s">
        <v>102</v>
      </c>
      <c r="J2" s="647" t="s">
        <v>105</v>
      </c>
      <c r="K2" s="643" t="s">
        <v>107</v>
      </c>
      <c r="L2" s="643" t="s">
        <v>107</v>
      </c>
      <c r="M2" s="644" t="s">
        <v>108</v>
      </c>
      <c r="N2" s="643" t="s">
        <v>109</v>
      </c>
      <c r="O2" s="643" t="s">
        <v>110</v>
      </c>
      <c r="P2" s="643" t="s">
        <v>111</v>
      </c>
      <c r="Q2" s="644" t="s">
        <v>112</v>
      </c>
      <c r="R2" s="644" t="s">
        <v>113</v>
      </c>
      <c r="S2" s="643" t="s">
        <v>114</v>
      </c>
      <c r="T2" s="643" t="s">
        <v>115</v>
      </c>
      <c r="U2" s="643" t="s">
        <v>115</v>
      </c>
      <c r="V2" s="644" t="s">
        <v>116</v>
      </c>
      <c r="W2" s="644"/>
      <c r="X2" s="644"/>
      <c r="Y2" s="644"/>
      <c r="Z2" s="657" t="s">
        <v>117</v>
      </c>
      <c r="AA2" s="657"/>
      <c r="AB2" s="657"/>
      <c r="AC2" s="657"/>
      <c r="AD2" s="662" t="s">
        <v>119</v>
      </c>
      <c r="AE2" s="663"/>
      <c r="AF2" s="662" t="s">
        <v>118</v>
      </c>
      <c r="AG2" s="663"/>
    </row>
    <row r="3" spans="1:33">
      <c r="A3" s="384"/>
      <c r="B3" s="651"/>
      <c r="C3" s="652"/>
      <c r="D3" s="656"/>
      <c r="E3" s="644"/>
      <c r="F3" s="644"/>
      <c r="G3" s="644"/>
      <c r="H3" s="644"/>
      <c r="I3" s="646"/>
      <c r="J3" s="648"/>
      <c r="K3" s="644"/>
      <c r="L3" s="643"/>
      <c r="M3" s="644"/>
      <c r="N3" s="643"/>
      <c r="O3" s="643"/>
      <c r="P3" s="644"/>
      <c r="Q3" s="644"/>
      <c r="R3" s="644"/>
      <c r="S3" s="644"/>
      <c r="T3" s="644"/>
      <c r="U3" s="643"/>
      <c r="V3" s="657" t="s">
        <v>120</v>
      </c>
      <c r="W3" s="658" t="s">
        <v>107</v>
      </c>
      <c r="X3" s="658" t="s">
        <v>115</v>
      </c>
      <c r="Y3" s="644" t="s">
        <v>121</v>
      </c>
      <c r="Z3" s="657" t="s">
        <v>120</v>
      </c>
      <c r="AA3" s="658" t="s">
        <v>107</v>
      </c>
      <c r="AB3" s="658" t="s">
        <v>115</v>
      </c>
      <c r="AC3" s="657" t="s">
        <v>121</v>
      </c>
      <c r="AD3" s="659" t="s">
        <v>120</v>
      </c>
      <c r="AE3" s="647" t="s">
        <v>121</v>
      </c>
      <c r="AF3" s="659" t="s">
        <v>120</v>
      </c>
      <c r="AG3" s="647" t="s">
        <v>121</v>
      </c>
    </row>
    <row r="4" spans="1:33">
      <c r="A4" s="384"/>
      <c r="B4" s="651"/>
      <c r="C4" s="652"/>
      <c r="D4" s="656"/>
      <c r="E4" s="644"/>
      <c r="F4" s="644"/>
      <c r="G4" s="644"/>
      <c r="H4" s="644"/>
      <c r="I4" s="385" t="s">
        <v>122</v>
      </c>
      <c r="J4" s="385" t="s">
        <v>122</v>
      </c>
      <c r="K4" s="644"/>
      <c r="L4" s="385" t="s">
        <v>122</v>
      </c>
      <c r="M4" s="644"/>
      <c r="N4" s="643"/>
      <c r="O4" s="643"/>
      <c r="P4" s="644"/>
      <c r="Q4" s="644"/>
      <c r="R4" s="644"/>
      <c r="S4" s="644"/>
      <c r="T4" s="644"/>
      <c r="U4" s="385" t="s">
        <v>122</v>
      </c>
      <c r="V4" s="657"/>
      <c r="W4" s="658"/>
      <c r="X4" s="658"/>
      <c r="Y4" s="644"/>
      <c r="Z4" s="657"/>
      <c r="AA4" s="658"/>
      <c r="AB4" s="658"/>
      <c r="AC4" s="657"/>
      <c r="AD4" s="660"/>
      <c r="AE4" s="661"/>
      <c r="AF4" s="660"/>
      <c r="AG4" s="661"/>
    </row>
    <row r="5" spans="1:33">
      <c r="A5" s="384"/>
      <c r="B5" s="653"/>
      <c r="C5" s="654"/>
      <c r="D5" s="387">
        <f>固定資本!$F$6</f>
        <v>2025</v>
      </c>
      <c r="E5" s="387">
        <f>固定資本!$F$6</f>
        <v>2025</v>
      </c>
      <c r="F5" s="388"/>
      <c r="G5" s="387">
        <f>固定資本!$F$6</f>
        <v>2025</v>
      </c>
      <c r="H5" s="386"/>
      <c r="I5" s="389">
        <v>2020</v>
      </c>
      <c r="J5" s="389">
        <v>2020</v>
      </c>
      <c r="K5" s="389">
        <v>2020</v>
      </c>
      <c r="L5" s="387">
        <f>固定資本!$F$6</f>
        <v>2025</v>
      </c>
      <c r="M5" s="390"/>
      <c r="N5" s="389">
        <v>2020</v>
      </c>
      <c r="O5" s="391"/>
      <c r="P5" s="391"/>
      <c r="Q5" s="388"/>
      <c r="R5" s="389">
        <v>2020</v>
      </c>
      <c r="S5" s="389">
        <v>2020</v>
      </c>
      <c r="T5" s="389">
        <v>2020</v>
      </c>
      <c r="U5" s="387">
        <f>固定資本!$F$6</f>
        <v>2025</v>
      </c>
      <c r="V5" s="387">
        <f>固定資本!$F$6</f>
        <v>2025</v>
      </c>
      <c r="W5" s="387">
        <f>固定資本!$F$6</f>
        <v>2025</v>
      </c>
      <c r="X5" s="387">
        <f>固定資本!$F$6</f>
        <v>2025</v>
      </c>
      <c r="Y5" s="387">
        <f>固定資本!$F$6</f>
        <v>2025</v>
      </c>
      <c r="Z5" s="387">
        <f>固定資本!$F$6</f>
        <v>2025</v>
      </c>
      <c r="AA5" s="387">
        <f>固定資本!$F$6</f>
        <v>2025</v>
      </c>
      <c r="AB5" s="387">
        <f>固定資本!$F$6</f>
        <v>2025</v>
      </c>
      <c r="AC5" s="387">
        <f>固定資本!$F$6</f>
        <v>2025</v>
      </c>
      <c r="AD5" s="392"/>
      <c r="AE5" s="393"/>
      <c r="AF5" s="392"/>
      <c r="AG5" s="393"/>
    </row>
    <row r="6" spans="1:33">
      <c r="A6" s="381"/>
      <c r="B6" s="394">
        <v>1</v>
      </c>
      <c r="C6" s="395" t="s">
        <v>330</v>
      </c>
      <c r="D6" s="396"/>
      <c r="E6" s="397">
        <f>固定資本!O6*$E$35</f>
        <v>0</v>
      </c>
      <c r="F6" s="398">
        <f>係数!D6</f>
        <v>0.18042550811978708</v>
      </c>
      <c r="G6" s="397">
        <f>E6*F6</f>
        <v>0</v>
      </c>
      <c r="H6" s="398">
        <f>固定資本!M6</f>
        <v>1.0104808178894849</v>
      </c>
      <c r="I6" s="396"/>
      <c r="J6" s="397">
        <f>G6/H6</f>
        <v>0</v>
      </c>
      <c r="K6" s="507">
        <f t="array" ref="K6:K25">MMULT(係数!J6:AC25,J6:J25)</f>
        <v>0</v>
      </c>
      <c r="L6" s="397">
        <f>H6*K6</f>
        <v>0</v>
      </c>
      <c r="M6" s="398">
        <f>係数!E6+係数!F6</f>
        <v>0.34729264892287653</v>
      </c>
      <c r="N6" s="397">
        <f>K6*M6</f>
        <v>0</v>
      </c>
      <c r="Q6" s="398">
        <f>係数!G6</f>
        <v>1.2640050582432142E-2</v>
      </c>
      <c r="R6" s="397">
        <f>Q6*$P$30</f>
        <v>0</v>
      </c>
      <c r="S6" s="397">
        <f>F6*R6</f>
        <v>0</v>
      </c>
      <c r="T6" s="507">
        <f t="array" ref="T6:T25">MMULT(係数!J6:AC25,S6:S25)</f>
        <v>0</v>
      </c>
      <c r="U6" s="397">
        <f>H6*T6</f>
        <v>0</v>
      </c>
      <c r="V6" s="396"/>
      <c r="W6" s="397">
        <f>L6</f>
        <v>0</v>
      </c>
      <c r="X6" s="397">
        <f>U6</f>
        <v>0</v>
      </c>
      <c r="Y6" s="397">
        <f>SUM(V6:X6)</f>
        <v>0</v>
      </c>
      <c r="Z6" s="396"/>
      <c r="AA6" s="397">
        <f>W6*(1-固定資本!N6)</f>
        <v>0</v>
      </c>
      <c r="AB6" s="397">
        <f>X6*(1-固定資本!N6)</f>
        <v>0</v>
      </c>
      <c r="AC6" s="397">
        <f>SUM(Z6:AB6)</f>
        <v>0</v>
      </c>
      <c r="AD6" s="399"/>
      <c r="AE6" s="400">
        <f>(I6+K6+T6)*係数!H6/1000</f>
        <v>0</v>
      </c>
      <c r="AF6" s="399"/>
      <c r="AG6" s="400">
        <f>(I6+K6+T6)*係数!I6/1000</f>
        <v>0</v>
      </c>
    </row>
    <row r="7" spans="1:33">
      <c r="A7" s="381"/>
      <c r="B7" s="394">
        <v>2</v>
      </c>
      <c r="C7" s="395" t="s">
        <v>23</v>
      </c>
      <c r="D7" s="396"/>
      <c r="E7" s="397">
        <f>固定資本!O7*$E$35</f>
        <v>0</v>
      </c>
      <c r="F7" s="398">
        <f>係数!D7</f>
        <v>3.0160827002289059E-2</v>
      </c>
      <c r="G7" s="397">
        <f t="shared" ref="G7:G25" si="0">E7*F7</f>
        <v>0</v>
      </c>
      <c r="H7" s="398">
        <f>固定資本!M7</f>
        <v>1.3446136564913536</v>
      </c>
      <c r="I7" s="396"/>
      <c r="J7" s="397">
        <f t="shared" ref="J7:J25" si="1">G7/H7</f>
        <v>0</v>
      </c>
      <c r="K7" s="507">
        <v>0</v>
      </c>
      <c r="L7" s="397">
        <f t="shared" ref="L7:L25" si="2">H7*K7</f>
        <v>0</v>
      </c>
      <c r="M7" s="398">
        <f>係数!E7+係数!F7</f>
        <v>0.26368236033167564</v>
      </c>
      <c r="N7" s="397">
        <f t="shared" ref="N7:N25" si="3">K7*M7</f>
        <v>0</v>
      </c>
      <c r="Q7" s="398">
        <f>係数!G7</f>
        <v>1.4077333551141487E-7</v>
      </c>
      <c r="R7" s="397">
        <f t="shared" ref="R7:R26" si="4">Q7*$P$30</f>
        <v>0</v>
      </c>
      <c r="S7" s="397">
        <f t="shared" ref="S7:S25" si="5">F7*R7</f>
        <v>0</v>
      </c>
      <c r="T7" s="507">
        <v>0</v>
      </c>
      <c r="U7" s="397">
        <f t="shared" ref="U7:U25" si="6">H7*T7</f>
        <v>0</v>
      </c>
      <c r="V7" s="396"/>
      <c r="W7" s="397">
        <f t="shared" ref="W7:W25" si="7">L7</f>
        <v>0</v>
      </c>
      <c r="X7" s="397">
        <f t="shared" ref="X7:X25" si="8">U7</f>
        <v>0</v>
      </c>
      <c r="Y7" s="397">
        <f t="shared" ref="Y7:Y25" si="9">SUM(V7:X7)</f>
        <v>0</v>
      </c>
      <c r="Z7" s="396"/>
      <c r="AA7" s="397">
        <f>W7*(1-固定資本!N7)</f>
        <v>0</v>
      </c>
      <c r="AB7" s="397">
        <f>X7*(1-固定資本!N7)</f>
        <v>0</v>
      </c>
      <c r="AC7" s="397">
        <f t="shared" ref="AC7:AC25" si="10">SUM(Z7:AB7)</f>
        <v>0</v>
      </c>
      <c r="AD7" s="399"/>
      <c r="AE7" s="400">
        <f>(I7+K7+T7)*係数!H7/1000</f>
        <v>0</v>
      </c>
      <c r="AF7" s="399"/>
      <c r="AG7" s="400">
        <f>(I7+K7+T7)*係数!I7/1000</f>
        <v>0</v>
      </c>
    </row>
    <row r="8" spans="1:33">
      <c r="A8" s="381"/>
      <c r="B8" s="394">
        <v>3</v>
      </c>
      <c r="C8" s="395" t="s">
        <v>24</v>
      </c>
      <c r="D8" s="396"/>
      <c r="E8" s="397">
        <f>固定資本!O8*$E$35</f>
        <v>0</v>
      </c>
      <c r="F8" s="398">
        <f>係数!D8</f>
        <v>0.20072013777143771</v>
      </c>
      <c r="G8" s="397">
        <f t="shared" si="0"/>
        <v>0</v>
      </c>
      <c r="H8" s="398">
        <f>固定資本!M8</f>
        <v>1.0806750710483002</v>
      </c>
      <c r="I8" s="396"/>
      <c r="J8" s="397">
        <f t="shared" si="1"/>
        <v>0</v>
      </c>
      <c r="K8" s="507">
        <v>0</v>
      </c>
      <c r="L8" s="397">
        <f t="shared" si="2"/>
        <v>0</v>
      </c>
      <c r="M8" s="398">
        <f>係数!E8+係数!F8</f>
        <v>0.23439218833455738</v>
      </c>
      <c r="N8" s="397">
        <f t="shared" si="3"/>
        <v>0</v>
      </c>
      <c r="Q8" s="398">
        <f>係数!G8</f>
        <v>0.2007953339784751</v>
      </c>
      <c r="R8" s="397">
        <f t="shared" si="4"/>
        <v>0</v>
      </c>
      <c r="S8" s="397">
        <f t="shared" si="5"/>
        <v>0</v>
      </c>
      <c r="T8" s="507">
        <v>0</v>
      </c>
      <c r="U8" s="397">
        <f t="shared" si="6"/>
        <v>0</v>
      </c>
      <c r="V8" s="396"/>
      <c r="W8" s="397">
        <f t="shared" si="7"/>
        <v>0</v>
      </c>
      <c r="X8" s="397">
        <f t="shared" si="8"/>
        <v>0</v>
      </c>
      <c r="Y8" s="397">
        <f t="shared" si="9"/>
        <v>0</v>
      </c>
      <c r="Z8" s="396"/>
      <c r="AA8" s="397">
        <f>W8*(1-固定資本!N8)</f>
        <v>0</v>
      </c>
      <c r="AB8" s="397">
        <f>X8*(1-固定資本!N8)</f>
        <v>0</v>
      </c>
      <c r="AC8" s="397">
        <f t="shared" si="10"/>
        <v>0</v>
      </c>
      <c r="AD8" s="399"/>
      <c r="AE8" s="400">
        <f>(I8+K8+T8)*係数!H8/1000</f>
        <v>0</v>
      </c>
      <c r="AF8" s="399"/>
      <c r="AG8" s="400">
        <f>(I8+K8+T8)*係数!I8/1000</f>
        <v>0</v>
      </c>
    </row>
    <row r="9" spans="1:33">
      <c r="A9" s="381"/>
      <c r="B9" s="394">
        <v>4</v>
      </c>
      <c r="C9" s="395" t="s">
        <v>25</v>
      </c>
      <c r="D9" s="401">
        <f>入力!D12</f>
        <v>0</v>
      </c>
      <c r="E9" s="397">
        <f>固定資本!O9*$E$35</f>
        <v>0</v>
      </c>
      <c r="F9" s="398">
        <f>係数!D9</f>
        <v>1</v>
      </c>
      <c r="G9" s="397">
        <f t="shared" si="0"/>
        <v>0</v>
      </c>
      <c r="H9" s="398">
        <f>固定資本!M9</f>
        <v>1.0837344351628673</v>
      </c>
      <c r="I9" s="401">
        <f>D9/H9</f>
        <v>0</v>
      </c>
      <c r="J9" s="397">
        <f t="shared" si="1"/>
        <v>0</v>
      </c>
      <c r="K9" s="507">
        <v>0</v>
      </c>
      <c r="L9" s="397">
        <f t="shared" si="2"/>
        <v>0</v>
      </c>
      <c r="M9" s="398">
        <f>係数!E9+係数!F9</f>
        <v>0.40192809887703745</v>
      </c>
      <c r="N9" s="397">
        <f t="shared" si="3"/>
        <v>0</v>
      </c>
      <c r="Q9" s="398">
        <f>係数!G9</f>
        <v>0</v>
      </c>
      <c r="R9" s="397">
        <f t="shared" si="4"/>
        <v>0</v>
      </c>
      <c r="S9" s="397">
        <f t="shared" si="5"/>
        <v>0</v>
      </c>
      <c r="T9" s="507">
        <v>0</v>
      </c>
      <c r="U9" s="397">
        <f t="shared" si="6"/>
        <v>0</v>
      </c>
      <c r="V9" s="401">
        <f>D9</f>
        <v>0</v>
      </c>
      <c r="W9" s="397">
        <f t="shared" si="7"/>
        <v>0</v>
      </c>
      <c r="X9" s="397">
        <f t="shared" si="8"/>
        <v>0</v>
      </c>
      <c r="Y9" s="397">
        <f t="shared" si="9"/>
        <v>0</v>
      </c>
      <c r="Z9" s="401">
        <f>E34</f>
        <v>0</v>
      </c>
      <c r="AA9" s="397">
        <f>W9*(1-固定資本!N9)</f>
        <v>0</v>
      </c>
      <c r="AB9" s="397">
        <f>X9*(1-固定資本!N9)</f>
        <v>0</v>
      </c>
      <c r="AC9" s="397">
        <f t="shared" si="10"/>
        <v>0</v>
      </c>
      <c r="AD9" s="402">
        <f>I9*係数!H9/1000</f>
        <v>0</v>
      </c>
      <c r="AE9" s="400">
        <f>(I9+K9+T9)*係数!H9/1000</f>
        <v>0</v>
      </c>
      <c r="AF9" s="402">
        <f>I9*係数!I9/1000</f>
        <v>0</v>
      </c>
      <c r="AG9" s="400">
        <f>(I9+K9+T9)*係数!I9/1000</f>
        <v>0</v>
      </c>
    </row>
    <row r="10" spans="1:33">
      <c r="A10" s="381"/>
      <c r="B10" s="394">
        <v>5</v>
      </c>
      <c r="C10" s="395" t="s">
        <v>26</v>
      </c>
      <c r="D10" s="396"/>
      <c r="E10" s="397">
        <f>固定資本!O10*$E$35</f>
        <v>0</v>
      </c>
      <c r="F10" s="398">
        <f>係数!D10</f>
        <v>0.67935797556191746</v>
      </c>
      <c r="G10" s="397">
        <f t="shared" si="0"/>
        <v>0</v>
      </c>
      <c r="H10" s="398">
        <f>固定資本!M10</f>
        <v>1.0270278426848884</v>
      </c>
      <c r="I10" s="396"/>
      <c r="J10" s="397">
        <f t="shared" si="1"/>
        <v>0</v>
      </c>
      <c r="K10" s="507">
        <v>0</v>
      </c>
      <c r="L10" s="397">
        <f t="shared" si="2"/>
        <v>0</v>
      </c>
      <c r="M10" s="398">
        <f>係数!E10+係数!F10</f>
        <v>0.15515223470512657</v>
      </c>
      <c r="N10" s="397">
        <f t="shared" si="3"/>
        <v>0</v>
      </c>
      <c r="Q10" s="398">
        <f>係数!G10</f>
        <v>3.0927514375825624E-2</v>
      </c>
      <c r="R10" s="397">
        <f t="shared" si="4"/>
        <v>0</v>
      </c>
      <c r="S10" s="397">
        <f t="shared" si="5"/>
        <v>0</v>
      </c>
      <c r="T10" s="507">
        <v>0</v>
      </c>
      <c r="U10" s="397">
        <f t="shared" si="6"/>
        <v>0</v>
      </c>
      <c r="V10" s="396"/>
      <c r="W10" s="397">
        <f t="shared" si="7"/>
        <v>0</v>
      </c>
      <c r="X10" s="397">
        <f t="shared" si="8"/>
        <v>0</v>
      </c>
      <c r="Y10" s="397">
        <f t="shared" si="9"/>
        <v>0</v>
      </c>
      <c r="Z10" s="396"/>
      <c r="AA10" s="397">
        <f>W10*(1-固定資本!N10)</f>
        <v>0</v>
      </c>
      <c r="AB10" s="397">
        <f>X10*(1-固定資本!N10)</f>
        <v>0</v>
      </c>
      <c r="AC10" s="397">
        <f t="shared" si="10"/>
        <v>0</v>
      </c>
      <c r="AD10" s="399"/>
      <c r="AE10" s="400">
        <f>(I10+K10+T10)*係数!H10/1000</f>
        <v>0</v>
      </c>
      <c r="AF10" s="399"/>
      <c r="AG10" s="400">
        <f>(I10+K10+T10)*係数!I10/1000</f>
        <v>0</v>
      </c>
    </row>
    <row r="11" spans="1:33">
      <c r="A11" s="381"/>
      <c r="B11" s="394">
        <v>6</v>
      </c>
      <c r="C11" s="395" t="s">
        <v>27</v>
      </c>
      <c r="D11" s="396"/>
      <c r="E11" s="397">
        <f>固定資本!O11*$E$35</f>
        <v>0</v>
      </c>
      <c r="F11" s="398">
        <f>係数!D11</f>
        <v>0.70804842552064784</v>
      </c>
      <c r="G11" s="397">
        <f t="shared" si="0"/>
        <v>0</v>
      </c>
      <c r="H11" s="398">
        <f>固定資本!M11</f>
        <v>1.0828948084534689</v>
      </c>
      <c r="I11" s="396"/>
      <c r="J11" s="397">
        <f t="shared" si="1"/>
        <v>0</v>
      </c>
      <c r="K11" s="507">
        <v>0</v>
      </c>
      <c r="L11" s="397">
        <f t="shared" si="2"/>
        <v>0</v>
      </c>
      <c r="M11" s="398">
        <f>係数!E11+係数!F11</f>
        <v>0.54797125739735564</v>
      </c>
      <c r="N11" s="397">
        <f t="shared" si="3"/>
        <v>0</v>
      </c>
      <c r="Q11" s="398">
        <f>係数!G11</f>
        <v>0.15313294044826331</v>
      </c>
      <c r="R11" s="397">
        <f t="shared" si="4"/>
        <v>0</v>
      </c>
      <c r="S11" s="397">
        <f t="shared" si="5"/>
        <v>0</v>
      </c>
      <c r="T11" s="507">
        <v>0</v>
      </c>
      <c r="U11" s="397">
        <f t="shared" si="6"/>
        <v>0</v>
      </c>
      <c r="V11" s="396"/>
      <c r="W11" s="397">
        <f t="shared" si="7"/>
        <v>0</v>
      </c>
      <c r="X11" s="397">
        <f t="shared" si="8"/>
        <v>0</v>
      </c>
      <c r="Y11" s="397">
        <f t="shared" si="9"/>
        <v>0</v>
      </c>
      <c r="Z11" s="396"/>
      <c r="AA11" s="397">
        <f>W11*(1-固定資本!N11)</f>
        <v>0</v>
      </c>
      <c r="AB11" s="397">
        <f>X11*(1-固定資本!N11)</f>
        <v>0</v>
      </c>
      <c r="AC11" s="397">
        <f t="shared" si="10"/>
        <v>0</v>
      </c>
      <c r="AD11" s="399"/>
      <c r="AE11" s="400">
        <f>(I11+K11+T11)*係数!H11/1000</f>
        <v>0</v>
      </c>
      <c r="AF11" s="399"/>
      <c r="AG11" s="400">
        <f>(I11+K11+T11)*係数!I11/1000</f>
        <v>0</v>
      </c>
    </row>
    <row r="12" spans="1:33">
      <c r="A12" s="381"/>
      <c r="B12" s="394">
        <v>7</v>
      </c>
      <c r="C12" s="395" t="s">
        <v>28</v>
      </c>
      <c r="D12" s="396"/>
      <c r="E12" s="397">
        <f>固定資本!O12*$E$35</f>
        <v>0</v>
      </c>
      <c r="F12" s="398">
        <f>係数!D12</f>
        <v>0.68770259202726169</v>
      </c>
      <c r="G12" s="397">
        <f t="shared" si="0"/>
        <v>0</v>
      </c>
      <c r="H12" s="398">
        <f>固定資本!M12</f>
        <v>1.0150936591101991</v>
      </c>
      <c r="I12" s="396"/>
      <c r="J12" s="397">
        <f t="shared" si="1"/>
        <v>0</v>
      </c>
      <c r="K12" s="507">
        <v>0</v>
      </c>
      <c r="L12" s="397">
        <f t="shared" si="2"/>
        <v>0</v>
      </c>
      <c r="M12" s="398">
        <f>係数!E12+係数!F12</f>
        <v>0.52192103343471552</v>
      </c>
      <c r="N12" s="397">
        <f t="shared" si="3"/>
        <v>0</v>
      </c>
      <c r="Q12" s="398">
        <f>係数!G12</f>
        <v>4.7371922807883E-2</v>
      </c>
      <c r="R12" s="397">
        <f t="shared" si="4"/>
        <v>0</v>
      </c>
      <c r="S12" s="397">
        <f t="shared" si="5"/>
        <v>0</v>
      </c>
      <c r="T12" s="507">
        <v>0</v>
      </c>
      <c r="U12" s="397">
        <f t="shared" si="6"/>
        <v>0</v>
      </c>
      <c r="V12" s="396"/>
      <c r="W12" s="397">
        <f t="shared" si="7"/>
        <v>0</v>
      </c>
      <c r="X12" s="397">
        <f t="shared" si="8"/>
        <v>0</v>
      </c>
      <c r="Y12" s="397">
        <f t="shared" si="9"/>
        <v>0</v>
      </c>
      <c r="Z12" s="396"/>
      <c r="AA12" s="397">
        <f>W12*(1-固定資本!N12)</f>
        <v>0</v>
      </c>
      <c r="AB12" s="397">
        <f>X12*(1-固定資本!N12)</f>
        <v>0</v>
      </c>
      <c r="AC12" s="397">
        <f t="shared" si="10"/>
        <v>0</v>
      </c>
      <c r="AD12" s="399"/>
      <c r="AE12" s="400">
        <f>(I12+K12+T12)*係数!H12/1000</f>
        <v>0</v>
      </c>
      <c r="AF12" s="399"/>
      <c r="AG12" s="400">
        <f>(I12+K12+T12)*係数!I12/1000</f>
        <v>0</v>
      </c>
    </row>
    <row r="13" spans="1:33">
      <c r="A13" s="381"/>
      <c r="B13" s="394">
        <v>8</v>
      </c>
      <c r="C13" s="395" t="s">
        <v>29</v>
      </c>
      <c r="D13" s="396"/>
      <c r="E13" s="397">
        <f>固定資本!O13*$E$35</f>
        <v>0</v>
      </c>
      <c r="F13" s="398">
        <f>係数!D13</f>
        <v>0.85335503954694347</v>
      </c>
      <c r="G13" s="397">
        <f t="shared" si="0"/>
        <v>0</v>
      </c>
      <c r="H13" s="398">
        <f>固定資本!M13</f>
        <v>1.0262288884863693</v>
      </c>
      <c r="I13" s="396"/>
      <c r="J13" s="397">
        <f t="shared" si="1"/>
        <v>0</v>
      </c>
      <c r="K13" s="507">
        <v>0</v>
      </c>
      <c r="L13" s="397">
        <f t="shared" si="2"/>
        <v>0</v>
      </c>
      <c r="M13" s="398">
        <f>係数!E13+係数!F13</f>
        <v>0.34689791074956655</v>
      </c>
      <c r="N13" s="397">
        <f t="shared" si="3"/>
        <v>0</v>
      </c>
      <c r="Q13" s="398">
        <f>係数!G13</f>
        <v>4.6219015706579034E-2</v>
      </c>
      <c r="R13" s="397">
        <f t="shared" si="4"/>
        <v>0</v>
      </c>
      <c r="S13" s="397">
        <f t="shared" si="5"/>
        <v>0</v>
      </c>
      <c r="T13" s="507">
        <v>0</v>
      </c>
      <c r="U13" s="397">
        <f t="shared" si="6"/>
        <v>0</v>
      </c>
      <c r="V13" s="396"/>
      <c r="W13" s="397">
        <f t="shared" si="7"/>
        <v>0</v>
      </c>
      <c r="X13" s="397">
        <f t="shared" si="8"/>
        <v>0</v>
      </c>
      <c r="Y13" s="397">
        <f t="shared" si="9"/>
        <v>0</v>
      </c>
      <c r="Z13" s="396"/>
      <c r="AA13" s="397">
        <f>W13*(1-固定資本!N13)</f>
        <v>0</v>
      </c>
      <c r="AB13" s="397">
        <f>X13*(1-固定資本!N13)</f>
        <v>0</v>
      </c>
      <c r="AC13" s="397">
        <f t="shared" si="10"/>
        <v>0</v>
      </c>
      <c r="AD13" s="399"/>
      <c r="AE13" s="400">
        <f>(I13+K13+T13)*係数!H13/1000</f>
        <v>0</v>
      </c>
      <c r="AF13" s="399"/>
      <c r="AG13" s="400">
        <f>(I13+K13+T13)*係数!I13/1000</f>
        <v>0</v>
      </c>
    </row>
    <row r="14" spans="1:33">
      <c r="A14" s="381"/>
      <c r="B14" s="394">
        <v>9</v>
      </c>
      <c r="C14" s="395" t="s">
        <v>30</v>
      </c>
      <c r="D14" s="396"/>
      <c r="E14" s="397">
        <f>固定資本!O14*$E$35</f>
        <v>0</v>
      </c>
      <c r="F14" s="398">
        <f>係数!D14</f>
        <v>0.5385688819162493</v>
      </c>
      <c r="G14" s="397">
        <f t="shared" si="0"/>
        <v>0</v>
      </c>
      <c r="H14" s="398">
        <f>固定資本!M14</f>
        <v>1.0087963128229642</v>
      </c>
      <c r="I14" s="396"/>
      <c r="J14" s="397">
        <f t="shared" si="1"/>
        <v>0</v>
      </c>
      <c r="K14" s="507">
        <v>0</v>
      </c>
      <c r="L14" s="397">
        <f t="shared" si="2"/>
        <v>0</v>
      </c>
      <c r="M14" s="398">
        <f>係数!E14+係数!F14</f>
        <v>0.50067088795338788</v>
      </c>
      <c r="N14" s="397">
        <f t="shared" si="3"/>
        <v>0</v>
      </c>
      <c r="Q14" s="398">
        <f>係数!G14</f>
        <v>4.5302656304729606E-2</v>
      </c>
      <c r="R14" s="397">
        <f t="shared" si="4"/>
        <v>0</v>
      </c>
      <c r="S14" s="397">
        <f t="shared" si="5"/>
        <v>0</v>
      </c>
      <c r="T14" s="507">
        <v>0</v>
      </c>
      <c r="U14" s="397">
        <f t="shared" si="6"/>
        <v>0</v>
      </c>
      <c r="V14" s="396"/>
      <c r="W14" s="397">
        <f t="shared" si="7"/>
        <v>0</v>
      </c>
      <c r="X14" s="397">
        <f t="shared" si="8"/>
        <v>0</v>
      </c>
      <c r="Y14" s="397">
        <f t="shared" si="9"/>
        <v>0</v>
      </c>
      <c r="Z14" s="396"/>
      <c r="AA14" s="397">
        <f>W14*(1-固定資本!N14)</f>
        <v>0</v>
      </c>
      <c r="AB14" s="397">
        <f>X14*(1-固定資本!N14)</f>
        <v>0</v>
      </c>
      <c r="AC14" s="397">
        <f t="shared" si="10"/>
        <v>0</v>
      </c>
      <c r="AD14" s="399"/>
      <c r="AE14" s="400">
        <f>(I14+K14+T14)*係数!H14/1000</f>
        <v>0</v>
      </c>
      <c r="AF14" s="399"/>
      <c r="AG14" s="400">
        <f>(I14+K14+T14)*係数!I14/1000</f>
        <v>0</v>
      </c>
    </row>
    <row r="15" spans="1:33">
      <c r="A15" s="381"/>
      <c r="B15" s="394">
        <v>10</v>
      </c>
      <c r="C15" s="395" t="s">
        <v>31</v>
      </c>
      <c r="D15" s="396"/>
      <c r="E15" s="397">
        <f>固定資本!O15*$E$35</f>
        <v>0</v>
      </c>
      <c r="F15" s="398">
        <f>係数!D15</f>
        <v>0.374247944124524</v>
      </c>
      <c r="G15" s="397">
        <f t="shared" si="0"/>
        <v>0</v>
      </c>
      <c r="H15" s="398">
        <f>固定資本!M15</f>
        <v>0.94476365403107754</v>
      </c>
      <c r="I15" s="396"/>
      <c r="J15" s="397">
        <f t="shared" si="1"/>
        <v>0</v>
      </c>
      <c r="K15" s="507">
        <v>0</v>
      </c>
      <c r="L15" s="397">
        <f t="shared" si="2"/>
        <v>0</v>
      </c>
      <c r="M15" s="398">
        <f>係数!E15+係数!F15</f>
        <v>0.29616697035729772</v>
      </c>
      <c r="N15" s="397">
        <f t="shared" si="3"/>
        <v>0</v>
      </c>
      <c r="Q15" s="398">
        <f>係数!G15</f>
        <v>5.4859009166738942E-2</v>
      </c>
      <c r="R15" s="397">
        <f t="shared" si="4"/>
        <v>0</v>
      </c>
      <c r="S15" s="397">
        <f t="shared" si="5"/>
        <v>0</v>
      </c>
      <c r="T15" s="507">
        <v>0</v>
      </c>
      <c r="U15" s="397">
        <f t="shared" si="6"/>
        <v>0</v>
      </c>
      <c r="V15" s="396"/>
      <c r="W15" s="397">
        <f t="shared" si="7"/>
        <v>0</v>
      </c>
      <c r="X15" s="397">
        <f t="shared" si="8"/>
        <v>0</v>
      </c>
      <c r="Y15" s="397">
        <f t="shared" si="9"/>
        <v>0</v>
      </c>
      <c r="Z15" s="396"/>
      <c r="AA15" s="397">
        <f>W15*(1-固定資本!N15)</f>
        <v>0</v>
      </c>
      <c r="AB15" s="397">
        <f>X15*(1-固定資本!N15)</f>
        <v>0</v>
      </c>
      <c r="AC15" s="397">
        <f t="shared" si="10"/>
        <v>0</v>
      </c>
      <c r="AD15" s="399"/>
      <c r="AE15" s="400">
        <f>(I15+K15+T15)*係数!H15/1000</f>
        <v>0</v>
      </c>
      <c r="AF15" s="399"/>
      <c r="AG15" s="400">
        <f>(I15+K15+T15)*係数!I15/1000</f>
        <v>0</v>
      </c>
    </row>
    <row r="16" spans="1:33">
      <c r="A16" s="381"/>
      <c r="B16" s="394">
        <v>11</v>
      </c>
      <c r="C16" s="395" t="s">
        <v>32</v>
      </c>
      <c r="D16" s="396"/>
      <c r="E16" s="397">
        <f>固定資本!O16*$E$35</f>
        <v>0</v>
      </c>
      <c r="F16" s="398">
        <f>係数!D16</f>
        <v>1</v>
      </c>
      <c r="G16" s="397">
        <f t="shared" si="0"/>
        <v>0</v>
      </c>
      <c r="H16" s="398">
        <f>固定資本!M16</f>
        <v>1.0219068672293024</v>
      </c>
      <c r="I16" s="396"/>
      <c r="J16" s="397">
        <f t="shared" si="1"/>
        <v>0</v>
      </c>
      <c r="K16" s="507">
        <v>0</v>
      </c>
      <c r="L16" s="397">
        <f t="shared" si="2"/>
        <v>0</v>
      </c>
      <c r="M16" s="398">
        <f>係数!E16+係数!F16</f>
        <v>0.36924482699005529</v>
      </c>
      <c r="N16" s="397">
        <f t="shared" si="3"/>
        <v>0</v>
      </c>
      <c r="Q16" s="398">
        <f>係数!G16</f>
        <v>2.7258709934576486E-3</v>
      </c>
      <c r="R16" s="397">
        <f t="shared" si="4"/>
        <v>0</v>
      </c>
      <c r="S16" s="397">
        <f t="shared" si="5"/>
        <v>0</v>
      </c>
      <c r="T16" s="507">
        <v>0</v>
      </c>
      <c r="U16" s="397">
        <f t="shared" si="6"/>
        <v>0</v>
      </c>
      <c r="V16" s="396"/>
      <c r="W16" s="397">
        <f t="shared" si="7"/>
        <v>0</v>
      </c>
      <c r="X16" s="397">
        <f t="shared" si="8"/>
        <v>0</v>
      </c>
      <c r="Y16" s="397">
        <f t="shared" si="9"/>
        <v>0</v>
      </c>
      <c r="Z16" s="396"/>
      <c r="AA16" s="397">
        <f>W16*(1-固定資本!N16)</f>
        <v>0</v>
      </c>
      <c r="AB16" s="397">
        <f>X16*(1-固定資本!N16)</f>
        <v>0</v>
      </c>
      <c r="AC16" s="397">
        <f t="shared" si="10"/>
        <v>0</v>
      </c>
      <c r="AD16" s="399"/>
      <c r="AE16" s="400">
        <f>(I16+K16+T16)*係数!H16/1000</f>
        <v>0</v>
      </c>
      <c r="AF16" s="399"/>
      <c r="AG16" s="400">
        <f>(I16+K16+T16)*係数!I16/1000</f>
        <v>0</v>
      </c>
    </row>
    <row r="17" spans="1:33">
      <c r="A17" s="381"/>
      <c r="B17" s="394">
        <v>12</v>
      </c>
      <c r="C17" s="395" t="s">
        <v>33</v>
      </c>
      <c r="D17" s="396"/>
      <c r="E17" s="397">
        <f>固定資本!O17*$E$35</f>
        <v>0</v>
      </c>
      <c r="F17" s="398">
        <f>係数!D17</f>
        <v>0.77418871350256457</v>
      </c>
      <c r="G17" s="397">
        <f t="shared" si="0"/>
        <v>0</v>
      </c>
      <c r="H17" s="398">
        <f>固定資本!M17</f>
        <v>0.97392898541967743</v>
      </c>
      <c r="I17" s="396"/>
      <c r="J17" s="397">
        <f t="shared" si="1"/>
        <v>0</v>
      </c>
      <c r="K17" s="507">
        <v>0</v>
      </c>
      <c r="L17" s="397">
        <f t="shared" si="2"/>
        <v>0</v>
      </c>
      <c r="M17" s="398">
        <f>係数!E17+係数!F17</f>
        <v>0.6285823335361076</v>
      </c>
      <c r="N17" s="397">
        <f t="shared" si="3"/>
        <v>0</v>
      </c>
      <c r="Q17" s="398">
        <f>係数!G17</f>
        <v>2.6421722946925696E-2</v>
      </c>
      <c r="R17" s="397">
        <f t="shared" si="4"/>
        <v>0</v>
      </c>
      <c r="S17" s="397">
        <f t="shared" si="5"/>
        <v>0</v>
      </c>
      <c r="T17" s="507">
        <v>0</v>
      </c>
      <c r="U17" s="397">
        <f t="shared" si="6"/>
        <v>0</v>
      </c>
      <c r="V17" s="396"/>
      <c r="W17" s="397">
        <f t="shared" si="7"/>
        <v>0</v>
      </c>
      <c r="X17" s="397">
        <f t="shared" si="8"/>
        <v>0</v>
      </c>
      <c r="Y17" s="397">
        <f t="shared" si="9"/>
        <v>0</v>
      </c>
      <c r="Z17" s="396"/>
      <c r="AA17" s="397">
        <f>W17*(1-固定資本!N17)</f>
        <v>0</v>
      </c>
      <c r="AB17" s="397">
        <f>X17*(1-固定資本!N17)</f>
        <v>0</v>
      </c>
      <c r="AC17" s="397">
        <f t="shared" si="10"/>
        <v>0</v>
      </c>
      <c r="AD17" s="399"/>
      <c r="AE17" s="400">
        <f>(I17+K17+T17)*係数!H17/1000</f>
        <v>0</v>
      </c>
      <c r="AF17" s="399"/>
      <c r="AG17" s="400">
        <f>(I17+K17+T17)*係数!I17/1000</f>
        <v>0</v>
      </c>
    </row>
    <row r="18" spans="1:33">
      <c r="A18" s="381"/>
      <c r="B18" s="394">
        <v>13</v>
      </c>
      <c r="C18" s="395" t="s">
        <v>34</v>
      </c>
      <c r="D18" s="396"/>
      <c r="E18" s="397">
        <f>固定資本!O18*$E$35</f>
        <v>0</v>
      </c>
      <c r="F18" s="398">
        <f>係数!D18</f>
        <v>0.92473053489569101</v>
      </c>
      <c r="G18" s="397">
        <f t="shared" si="0"/>
        <v>0</v>
      </c>
      <c r="H18" s="398">
        <f>固定資本!M18</f>
        <v>0.98897888385181099</v>
      </c>
      <c r="I18" s="396"/>
      <c r="J18" s="397">
        <f t="shared" si="1"/>
        <v>0</v>
      </c>
      <c r="K18" s="507">
        <v>0</v>
      </c>
      <c r="L18" s="397">
        <f t="shared" si="2"/>
        <v>0</v>
      </c>
      <c r="M18" s="398">
        <f>係数!E18+係数!F18</f>
        <v>0.51069413554928089</v>
      </c>
      <c r="N18" s="397">
        <f t="shared" si="3"/>
        <v>0</v>
      </c>
      <c r="Q18" s="398">
        <f>係数!G18</f>
        <v>4.3762692829048565E-2</v>
      </c>
      <c r="R18" s="397">
        <f t="shared" si="4"/>
        <v>0</v>
      </c>
      <c r="S18" s="397">
        <f t="shared" si="5"/>
        <v>0</v>
      </c>
      <c r="T18" s="507">
        <v>0</v>
      </c>
      <c r="U18" s="397">
        <f t="shared" si="6"/>
        <v>0</v>
      </c>
      <c r="V18" s="396"/>
      <c r="W18" s="397">
        <f t="shared" si="7"/>
        <v>0</v>
      </c>
      <c r="X18" s="397">
        <f t="shared" si="8"/>
        <v>0</v>
      </c>
      <c r="Y18" s="397">
        <f t="shared" si="9"/>
        <v>0</v>
      </c>
      <c r="Z18" s="396"/>
      <c r="AA18" s="397">
        <f>W18*(1-固定資本!N18)</f>
        <v>0</v>
      </c>
      <c r="AB18" s="397">
        <f>X18*(1-固定資本!N18)</f>
        <v>0</v>
      </c>
      <c r="AC18" s="397">
        <f t="shared" si="10"/>
        <v>0</v>
      </c>
      <c r="AD18" s="399"/>
      <c r="AE18" s="400">
        <f>(I18+K18+T18)*係数!H18/1000</f>
        <v>0</v>
      </c>
      <c r="AF18" s="399"/>
      <c r="AG18" s="400">
        <f>(I18+K18+T18)*係数!I18/1000</f>
        <v>0</v>
      </c>
    </row>
    <row r="19" spans="1:33">
      <c r="A19" s="381"/>
      <c r="B19" s="394">
        <v>14</v>
      </c>
      <c r="C19" s="395" t="s">
        <v>35</v>
      </c>
      <c r="D19" s="396"/>
      <c r="E19" s="397">
        <f>固定資本!O19*$E$35</f>
        <v>0</v>
      </c>
      <c r="F19" s="398">
        <f>係数!D19</f>
        <v>0.10302625374160312</v>
      </c>
      <c r="G19" s="397">
        <f t="shared" si="0"/>
        <v>0</v>
      </c>
      <c r="H19" s="398">
        <f>固定資本!M19</f>
        <v>1.2388031845846939</v>
      </c>
      <c r="I19" s="396"/>
      <c r="J19" s="397">
        <f t="shared" si="1"/>
        <v>0</v>
      </c>
      <c r="K19" s="507">
        <v>0</v>
      </c>
      <c r="L19" s="397">
        <f t="shared" si="2"/>
        <v>0</v>
      </c>
      <c r="M19" s="398">
        <f>係数!E19+係数!F19</f>
        <v>0.14595039020468203</v>
      </c>
      <c r="N19" s="397">
        <f t="shared" si="3"/>
        <v>0</v>
      </c>
      <c r="Q19" s="398">
        <f>係数!G19</f>
        <v>6.9819974646785927E-3</v>
      </c>
      <c r="R19" s="397">
        <f t="shared" si="4"/>
        <v>0</v>
      </c>
      <c r="S19" s="397">
        <f t="shared" si="5"/>
        <v>0</v>
      </c>
      <c r="T19" s="507">
        <v>0</v>
      </c>
      <c r="U19" s="397">
        <f t="shared" si="6"/>
        <v>0</v>
      </c>
      <c r="V19" s="396"/>
      <c r="W19" s="397">
        <f t="shared" si="7"/>
        <v>0</v>
      </c>
      <c r="X19" s="397">
        <f t="shared" si="8"/>
        <v>0</v>
      </c>
      <c r="Y19" s="397">
        <f t="shared" si="9"/>
        <v>0</v>
      </c>
      <c r="Z19" s="396"/>
      <c r="AA19" s="397">
        <f>W19*(1-固定資本!N19)</f>
        <v>0</v>
      </c>
      <c r="AB19" s="397">
        <f>X19*(1-固定資本!N19)</f>
        <v>0</v>
      </c>
      <c r="AC19" s="397">
        <f t="shared" si="10"/>
        <v>0</v>
      </c>
      <c r="AD19" s="399"/>
      <c r="AE19" s="400">
        <f>(I19+K19+T19)*係数!H19/1000</f>
        <v>0</v>
      </c>
      <c r="AF19" s="399"/>
      <c r="AG19" s="400">
        <f>(I19+K19+T19)*係数!I19/1000</f>
        <v>0</v>
      </c>
    </row>
    <row r="20" spans="1:33">
      <c r="A20" s="381"/>
      <c r="B20" s="394">
        <v>15</v>
      </c>
      <c r="C20" s="395" t="s">
        <v>36</v>
      </c>
      <c r="D20" s="396"/>
      <c r="E20" s="397">
        <f>固定資本!O20*$E$35</f>
        <v>0</v>
      </c>
      <c r="F20" s="398">
        <f>係数!D20</f>
        <v>0.67936669965790486</v>
      </c>
      <c r="G20" s="397">
        <f t="shared" si="0"/>
        <v>0</v>
      </c>
      <c r="H20" s="398">
        <f>固定資本!M20</f>
        <v>1.003720355693317</v>
      </c>
      <c r="I20" s="396"/>
      <c r="J20" s="397">
        <f t="shared" si="1"/>
        <v>0</v>
      </c>
      <c r="K20" s="507">
        <v>0</v>
      </c>
      <c r="L20" s="397">
        <f t="shared" si="2"/>
        <v>0</v>
      </c>
      <c r="M20" s="398">
        <f>係数!E20+係数!F20</f>
        <v>0.28007426830551196</v>
      </c>
      <c r="N20" s="397">
        <f t="shared" si="3"/>
        <v>0</v>
      </c>
      <c r="Q20" s="398">
        <f>係数!G20</f>
        <v>5.0145811356273627E-2</v>
      </c>
      <c r="R20" s="397">
        <f t="shared" si="4"/>
        <v>0</v>
      </c>
      <c r="S20" s="397">
        <f t="shared" si="5"/>
        <v>0</v>
      </c>
      <c r="T20" s="507">
        <v>0</v>
      </c>
      <c r="U20" s="397">
        <f t="shared" si="6"/>
        <v>0</v>
      </c>
      <c r="V20" s="396"/>
      <c r="W20" s="397">
        <f t="shared" si="7"/>
        <v>0</v>
      </c>
      <c r="X20" s="397">
        <f t="shared" si="8"/>
        <v>0</v>
      </c>
      <c r="Y20" s="397">
        <f t="shared" si="9"/>
        <v>0</v>
      </c>
      <c r="Z20" s="396"/>
      <c r="AA20" s="397">
        <f>W20*(1-固定資本!N20)</f>
        <v>0</v>
      </c>
      <c r="AB20" s="397">
        <f>X20*(1-固定資本!N20)</f>
        <v>0</v>
      </c>
      <c r="AC20" s="397">
        <f t="shared" si="10"/>
        <v>0</v>
      </c>
      <c r="AD20" s="399"/>
      <c r="AE20" s="400">
        <f>(I20+K20+T20)*係数!H20/1000</f>
        <v>0</v>
      </c>
      <c r="AF20" s="399"/>
      <c r="AG20" s="400">
        <f>(I20+K20+T20)*係数!I20/1000</f>
        <v>0</v>
      </c>
    </row>
    <row r="21" spans="1:33">
      <c r="A21" s="381"/>
      <c r="B21" s="394">
        <v>16</v>
      </c>
      <c r="C21" s="395" t="s">
        <v>37</v>
      </c>
      <c r="D21" s="396"/>
      <c r="E21" s="397">
        <f>固定資本!O21*$E$35</f>
        <v>0</v>
      </c>
      <c r="F21" s="398">
        <f>係数!D21</f>
        <v>0.60906182273111553</v>
      </c>
      <c r="G21" s="397">
        <f t="shared" si="0"/>
        <v>0</v>
      </c>
      <c r="H21" s="398">
        <f>固定資本!M21</f>
        <v>1.0282762846622628</v>
      </c>
      <c r="I21" s="396"/>
      <c r="J21" s="397">
        <f t="shared" si="1"/>
        <v>0</v>
      </c>
      <c r="K21" s="507">
        <v>0</v>
      </c>
      <c r="L21" s="397">
        <f t="shared" si="2"/>
        <v>0</v>
      </c>
      <c r="M21" s="398">
        <f>係数!E21+係数!F21</f>
        <v>0.38223631055359558</v>
      </c>
      <c r="N21" s="397">
        <f t="shared" si="3"/>
        <v>0</v>
      </c>
      <c r="Q21" s="398">
        <f>係数!G21</f>
        <v>7.5600973032154017E-2</v>
      </c>
      <c r="R21" s="397">
        <f t="shared" si="4"/>
        <v>0</v>
      </c>
      <c r="S21" s="397">
        <f t="shared" si="5"/>
        <v>0</v>
      </c>
      <c r="T21" s="507">
        <v>0</v>
      </c>
      <c r="U21" s="397">
        <f t="shared" si="6"/>
        <v>0</v>
      </c>
      <c r="V21" s="396"/>
      <c r="W21" s="397">
        <f t="shared" si="7"/>
        <v>0</v>
      </c>
      <c r="X21" s="397">
        <f t="shared" si="8"/>
        <v>0</v>
      </c>
      <c r="Y21" s="397">
        <f t="shared" si="9"/>
        <v>0</v>
      </c>
      <c r="Z21" s="396"/>
      <c r="AA21" s="397">
        <f>W21*(1-固定資本!N21)</f>
        <v>0</v>
      </c>
      <c r="AB21" s="397">
        <f>X21*(1-固定資本!N21)</f>
        <v>0</v>
      </c>
      <c r="AC21" s="397">
        <f t="shared" si="10"/>
        <v>0</v>
      </c>
      <c r="AD21" s="399"/>
      <c r="AE21" s="400">
        <f>(I21+K21+T21)*係数!H21/1000</f>
        <v>0</v>
      </c>
      <c r="AF21" s="399"/>
      <c r="AG21" s="400">
        <f>(I21+K21+T21)*係数!I21/1000</f>
        <v>0</v>
      </c>
    </row>
    <row r="22" spans="1:33">
      <c r="A22" s="381"/>
      <c r="B22" s="394">
        <v>17</v>
      </c>
      <c r="C22" s="395" t="s">
        <v>460</v>
      </c>
      <c r="D22" s="396"/>
      <c r="E22" s="397">
        <f>固定資本!O22*$E$35</f>
        <v>0</v>
      </c>
      <c r="F22" s="398">
        <f>係数!D22</f>
        <v>1</v>
      </c>
      <c r="G22" s="397">
        <f t="shared" si="0"/>
        <v>0</v>
      </c>
      <c r="H22" s="398">
        <f>固定資本!M22</f>
        <v>1.0028003529063936</v>
      </c>
      <c r="I22" s="396"/>
      <c r="J22" s="397">
        <f t="shared" si="1"/>
        <v>0</v>
      </c>
      <c r="K22" s="507">
        <v>0</v>
      </c>
      <c r="L22" s="397">
        <f t="shared" si="2"/>
        <v>0</v>
      </c>
      <c r="M22" s="398">
        <f>係数!E22+係数!F22</f>
        <v>0.41348880007681132</v>
      </c>
      <c r="N22" s="397">
        <f t="shared" si="3"/>
        <v>0</v>
      </c>
      <c r="Q22" s="398">
        <f>係数!G22</f>
        <v>0.20310389470480342</v>
      </c>
      <c r="R22" s="397">
        <f t="shared" si="4"/>
        <v>0</v>
      </c>
      <c r="S22" s="397">
        <f t="shared" si="5"/>
        <v>0</v>
      </c>
      <c r="T22" s="507">
        <v>0</v>
      </c>
      <c r="U22" s="397">
        <f t="shared" si="6"/>
        <v>0</v>
      </c>
      <c r="V22" s="396"/>
      <c r="W22" s="397">
        <f t="shared" si="7"/>
        <v>0</v>
      </c>
      <c r="X22" s="397">
        <f t="shared" si="8"/>
        <v>0</v>
      </c>
      <c r="Y22" s="397">
        <f t="shared" si="9"/>
        <v>0</v>
      </c>
      <c r="Z22" s="396"/>
      <c r="AA22" s="397">
        <f>W22*(1-固定資本!N22)</f>
        <v>0</v>
      </c>
      <c r="AB22" s="397">
        <f>X22*(1-固定資本!N22)</f>
        <v>0</v>
      </c>
      <c r="AC22" s="397">
        <f t="shared" si="10"/>
        <v>0</v>
      </c>
      <c r="AD22" s="399"/>
      <c r="AE22" s="400">
        <f>(I22+K22+T22)*係数!H22/1000</f>
        <v>0</v>
      </c>
      <c r="AF22" s="399"/>
      <c r="AG22" s="400">
        <f>(I22+K22+T22)*係数!I22/1000</f>
        <v>0</v>
      </c>
    </row>
    <row r="23" spans="1:33">
      <c r="A23" s="381"/>
      <c r="B23" s="394">
        <v>18</v>
      </c>
      <c r="C23" s="395" t="s">
        <v>38</v>
      </c>
      <c r="D23" s="396"/>
      <c r="E23" s="397">
        <f>固定資本!O23*$E$35</f>
        <v>0</v>
      </c>
      <c r="F23" s="398">
        <f>係数!D23</f>
        <v>1</v>
      </c>
      <c r="G23" s="397">
        <f t="shared" si="0"/>
        <v>0</v>
      </c>
      <c r="H23" s="398">
        <f>固定資本!M23</f>
        <v>1.0882606993166555</v>
      </c>
      <c r="I23" s="396"/>
      <c r="J23" s="397">
        <f t="shared" si="1"/>
        <v>0</v>
      </c>
      <c r="K23" s="507">
        <v>0</v>
      </c>
      <c r="L23" s="397">
        <f t="shared" si="2"/>
        <v>0</v>
      </c>
      <c r="M23" s="398">
        <f>係数!E23+係数!F23</f>
        <v>0</v>
      </c>
      <c r="N23" s="397">
        <f t="shared" si="3"/>
        <v>0</v>
      </c>
      <c r="Q23" s="398">
        <f>係数!G23</f>
        <v>0</v>
      </c>
      <c r="R23" s="397">
        <f t="shared" si="4"/>
        <v>0</v>
      </c>
      <c r="S23" s="397">
        <f t="shared" si="5"/>
        <v>0</v>
      </c>
      <c r="T23" s="507">
        <v>0</v>
      </c>
      <c r="U23" s="397">
        <f t="shared" si="6"/>
        <v>0</v>
      </c>
      <c r="V23" s="396"/>
      <c r="W23" s="397">
        <f t="shared" si="7"/>
        <v>0</v>
      </c>
      <c r="X23" s="397">
        <f t="shared" si="8"/>
        <v>0</v>
      </c>
      <c r="Y23" s="397">
        <f t="shared" si="9"/>
        <v>0</v>
      </c>
      <c r="Z23" s="396"/>
      <c r="AA23" s="397">
        <f>W23*(1-固定資本!N23)</f>
        <v>0</v>
      </c>
      <c r="AB23" s="397">
        <f>X23*(1-固定資本!N23)</f>
        <v>0</v>
      </c>
      <c r="AC23" s="397">
        <f t="shared" si="10"/>
        <v>0</v>
      </c>
      <c r="AD23" s="399"/>
      <c r="AE23" s="400">
        <f>(I23+K23+T23)*係数!H23/1000</f>
        <v>0</v>
      </c>
      <c r="AF23" s="399"/>
      <c r="AG23" s="400">
        <f>(I23+K23+T23)*係数!I23/1000</f>
        <v>0</v>
      </c>
    </row>
    <row r="24" spans="1:33">
      <c r="A24" s="381"/>
      <c r="B24" s="394">
        <v>19</v>
      </c>
      <c r="C24" s="395" t="s">
        <v>39</v>
      </c>
      <c r="D24" s="396"/>
      <c r="E24" s="397">
        <f>固定資本!O24*$E$35</f>
        <v>0</v>
      </c>
      <c r="F24" s="398">
        <f>係数!D24</f>
        <v>1</v>
      </c>
      <c r="G24" s="397">
        <f t="shared" si="0"/>
        <v>0</v>
      </c>
      <c r="H24" s="398">
        <f>固定資本!M24</f>
        <v>1.0287413518373496</v>
      </c>
      <c r="I24" s="396"/>
      <c r="J24" s="397">
        <f t="shared" si="1"/>
        <v>0</v>
      </c>
      <c r="K24" s="507">
        <v>0</v>
      </c>
      <c r="L24" s="397">
        <f t="shared" si="2"/>
        <v>0</v>
      </c>
      <c r="M24" s="398">
        <f>係数!E24+係数!F24</f>
        <v>0</v>
      </c>
      <c r="N24" s="397">
        <f t="shared" si="3"/>
        <v>0</v>
      </c>
      <c r="Q24" s="398">
        <f>係数!G24</f>
        <v>0</v>
      </c>
      <c r="R24" s="397">
        <f t="shared" si="4"/>
        <v>0</v>
      </c>
      <c r="S24" s="397">
        <f t="shared" si="5"/>
        <v>0</v>
      </c>
      <c r="T24" s="507">
        <v>0</v>
      </c>
      <c r="U24" s="397">
        <f t="shared" si="6"/>
        <v>0</v>
      </c>
      <c r="V24" s="396"/>
      <c r="W24" s="397">
        <f t="shared" si="7"/>
        <v>0</v>
      </c>
      <c r="X24" s="397">
        <f t="shared" si="8"/>
        <v>0</v>
      </c>
      <c r="Y24" s="397">
        <f t="shared" si="9"/>
        <v>0</v>
      </c>
      <c r="Z24" s="396"/>
      <c r="AA24" s="397">
        <f>W24*(1-固定資本!N24)</f>
        <v>0</v>
      </c>
      <c r="AB24" s="397">
        <f>X24*(1-固定資本!N24)</f>
        <v>0</v>
      </c>
      <c r="AC24" s="397">
        <f t="shared" si="10"/>
        <v>0</v>
      </c>
      <c r="AD24" s="399"/>
      <c r="AE24" s="400">
        <f>(I24+K24+T24)*係数!H24/1000</f>
        <v>0</v>
      </c>
      <c r="AF24" s="399"/>
      <c r="AG24" s="400">
        <f>(I24+K24+T24)*係数!I24/1000</f>
        <v>0</v>
      </c>
    </row>
    <row r="25" spans="1:33">
      <c r="A25" s="381"/>
      <c r="B25" s="403">
        <v>20</v>
      </c>
      <c r="C25" s="404" t="s">
        <v>40</v>
      </c>
      <c r="D25" s="405"/>
      <c r="E25" s="406">
        <f>固定資本!O25*$E$35</f>
        <v>0</v>
      </c>
      <c r="F25" s="407">
        <f>係数!D25</f>
        <v>0.86001495909806924</v>
      </c>
      <c r="G25" s="406">
        <f t="shared" si="0"/>
        <v>0</v>
      </c>
      <c r="H25" s="408">
        <f>固定資本!M25</f>
        <v>1.0462282109380405</v>
      </c>
      <c r="I25" s="405"/>
      <c r="J25" s="406">
        <f t="shared" si="1"/>
        <v>0</v>
      </c>
      <c r="K25" s="508">
        <v>0</v>
      </c>
      <c r="L25" s="406">
        <f t="shared" si="2"/>
        <v>0</v>
      </c>
      <c r="M25" s="408">
        <f>係数!E25+係数!F25</f>
        <v>0.56668329190038969</v>
      </c>
      <c r="N25" s="406">
        <f t="shared" si="3"/>
        <v>0</v>
      </c>
      <c r="Q25" s="407">
        <f>係数!G25</f>
        <v>8.4525283964417709E-6</v>
      </c>
      <c r="R25" s="406">
        <f t="shared" si="4"/>
        <v>0</v>
      </c>
      <c r="S25" s="406">
        <f t="shared" si="5"/>
        <v>0</v>
      </c>
      <c r="T25" s="508">
        <v>0</v>
      </c>
      <c r="U25" s="406">
        <f t="shared" si="6"/>
        <v>0</v>
      </c>
      <c r="V25" s="405"/>
      <c r="W25" s="406">
        <f t="shared" si="7"/>
        <v>0</v>
      </c>
      <c r="X25" s="406">
        <f t="shared" si="8"/>
        <v>0</v>
      </c>
      <c r="Y25" s="406">
        <f t="shared" si="9"/>
        <v>0</v>
      </c>
      <c r="Z25" s="405"/>
      <c r="AA25" s="406">
        <f>W25*(1-固定資本!N25)</f>
        <v>0</v>
      </c>
      <c r="AB25" s="406">
        <f>X25*(1-固定資本!N25)</f>
        <v>0</v>
      </c>
      <c r="AC25" s="406">
        <f t="shared" si="10"/>
        <v>0</v>
      </c>
      <c r="AD25" s="409"/>
      <c r="AE25" s="410">
        <f>(I25+K25+T25)*係数!H25/1000</f>
        <v>0</v>
      </c>
      <c r="AF25" s="409"/>
      <c r="AG25" s="410">
        <f>(I25+K25+T25)*係数!I25/1000</f>
        <v>0</v>
      </c>
    </row>
    <row r="26" spans="1:33">
      <c r="A26" s="381"/>
      <c r="B26" s="403">
        <v>70</v>
      </c>
      <c r="C26" s="404" t="s">
        <v>458</v>
      </c>
      <c r="D26" s="411"/>
      <c r="E26" s="412">
        <f>固定資本!O26*$E$35</f>
        <v>0</v>
      </c>
      <c r="F26" s="413"/>
      <c r="G26" s="412">
        <f>SUM(G6:G25)</f>
        <v>0</v>
      </c>
      <c r="H26" s="270"/>
      <c r="J26" s="412">
        <f>SUM(J6:J25)</f>
        <v>0</v>
      </c>
      <c r="K26" s="412">
        <f>SUM(K6:K25)</f>
        <v>0</v>
      </c>
      <c r="L26" s="412">
        <f>SUM(L6:L25)</f>
        <v>0</v>
      </c>
      <c r="N26" s="412">
        <f>SUM(N6:N25)</f>
        <v>0</v>
      </c>
      <c r="Q26" s="414">
        <f>係数!G26</f>
        <v>1</v>
      </c>
      <c r="R26" s="412">
        <f t="shared" si="4"/>
        <v>0</v>
      </c>
      <c r="S26" s="412">
        <f>SUM(S6:S25)</f>
        <v>0</v>
      </c>
      <c r="T26" s="412">
        <f>SUM(T6:T25)</f>
        <v>0</v>
      </c>
      <c r="U26" s="412">
        <f>SUM(U6:U25)</f>
        <v>0</v>
      </c>
      <c r="V26" s="412">
        <f t="shared" ref="V26:Y26" si="11">SUM(V6:V25)</f>
        <v>0</v>
      </c>
      <c r="W26" s="412">
        <f t="shared" si="11"/>
        <v>0</v>
      </c>
      <c r="X26" s="412">
        <f t="shared" si="11"/>
        <v>0</v>
      </c>
      <c r="Y26" s="412">
        <f t="shared" si="11"/>
        <v>0</v>
      </c>
      <c r="Z26" s="412">
        <f t="shared" ref="Z26" si="12">SUM(Z6:Z25)</f>
        <v>0</v>
      </c>
      <c r="AA26" s="412">
        <f t="shared" ref="AA26" si="13">SUM(AA6:AA25)</f>
        <v>0</v>
      </c>
      <c r="AB26" s="412">
        <f t="shared" ref="AB26" si="14">SUM(AB6:AB25)</f>
        <v>0</v>
      </c>
      <c r="AC26" s="412">
        <f t="shared" ref="AC26" si="15">SUM(AC6:AC25)</f>
        <v>0</v>
      </c>
      <c r="AD26" s="415">
        <f t="shared" ref="AD26" si="16">SUM(AD6:AD25)</f>
        <v>0</v>
      </c>
      <c r="AE26" s="415">
        <f t="shared" ref="AE26" si="17">SUM(AE6:AE25)</f>
        <v>0</v>
      </c>
      <c r="AF26" s="415">
        <f t="shared" ref="AF26" si="18">SUM(AF6:AF25)</f>
        <v>0</v>
      </c>
      <c r="AG26" s="415">
        <f t="shared" ref="AG26" si="19">SUM(AG6:AG25)</f>
        <v>0</v>
      </c>
    </row>
    <row r="27" spans="1:33">
      <c r="A27" s="381"/>
      <c r="B27" s="416">
        <v>71</v>
      </c>
      <c r="C27" s="417" t="s">
        <v>94</v>
      </c>
      <c r="D27" s="259"/>
      <c r="E27" s="418">
        <f>固定資本!O27*$E$35</f>
        <v>0</v>
      </c>
      <c r="F27" s="289"/>
      <c r="H27" s="269"/>
      <c r="J27" s="269"/>
      <c r="N27" s="277" t="s">
        <v>124</v>
      </c>
      <c r="O27" s="277" t="s">
        <v>125</v>
      </c>
      <c r="P27" s="277" t="s">
        <v>126</v>
      </c>
    </row>
    <row r="28" spans="1:33">
      <c r="A28" s="381"/>
      <c r="B28" s="394">
        <v>91</v>
      </c>
      <c r="C28" s="395" t="s">
        <v>95</v>
      </c>
      <c r="D28" s="259"/>
      <c r="E28" s="397">
        <f>固定資本!O28*$E$35</f>
        <v>0</v>
      </c>
      <c r="F28" s="274"/>
      <c r="G28" s="259"/>
      <c r="H28" s="414">
        <f>固定資本!M26</f>
        <v>0.98603825064722328</v>
      </c>
      <c r="I28" s="419"/>
      <c r="J28" s="412">
        <f>(E28+E29)/H28</f>
        <v>0</v>
      </c>
      <c r="K28" s="274"/>
      <c r="M28" s="259"/>
      <c r="N28" s="420">
        <f>J28</f>
        <v>0</v>
      </c>
      <c r="O28" s="421">
        <f>固定資本!H6</f>
        <v>0.9410230177254062</v>
      </c>
      <c r="P28" s="421">
        <f>固定資本!I6</f>
        <v>0.78403790917303728</v>
      </c>
    </row>
    <row r="29" spans="1:33">
      <c r="A29" s="381"/>
      <c r="B29" s="394">
        <v>92</v>
      </c>
      <c r="C29" s="395" t="s">
        <v>96</v>
      </c>
      <c r="D29" s="259"/>
      <c r="E29" s="397">
        <f>固定資本!O29*$E$35</f>
        <v>0</v>
      </c>
      <c r="F29" s="274"/>
      <c r="H29" s="270"/>
      <c r="J29" s="270"/>
      <c r="N29" s="422" t="s">
        <v>123</v>
      </c>
      <c r="O29" s="422" t="s">
        <v>123</v>
      </c>
      <c r="P29" s="422" t="s">
        <v>123</v>
      </c>
    </row>
    <row r="30" spans="1:33">
      <c r="A30" s="381"/>
      <c r="B30" s="394">
        <v>93</v>
      </c>
      <c r="C30" s="395" t="s">
        <v>97</v>
      </c>
      <c r="D30" s="259"/>
      <c r="E30" s="397">
        <f>固定資本!O30*$E$35</f>
        <v>0</v>
      </c>
      <c r="F30" s="274"/>
      <c r="M30" s="259"/>
      <c r="N30" s="420">
        <f>N26+N28</f>
        <v>0</v>
      </c>
      <c r="O30" s="423">
        <f>N30*O28</f>
        <v>0</v>
      </c>
      <c r="P30" s="423">
        <f>O30*P28</f>
        <v>0</v>
      </c>
    </row>
    <row r="31" spans="1:33">
      <c r="A31" s="381"/>
      <c r="B31" s="394">
        <v>94</v>
      </c>
      <c r="C31" s="424" t="s">
        <v>98</v>
      </c>
      <c r="D31" s="259"/>
      <c r="E31" s="397">
        <f>固定資本!O31*$E$35</f>
        <v>0</v>
      </c>
      <c r="F31" s="274"/>
      <c r="N31" s="270"/>
    </row>
    <row r="32" spans="1:33">
      <c r="A32" s="381"/>
      <c r="B32" s="394">
        <v>95</v>
      </c>
      <c r="C32" s="395" t="s">
        <v>99</v>
      </c>
      <c r="D32" s="259"/>
      <c r="E32" s="397">
        <f>固定資本!O32*$E$35</f>
        <v>0</v>
      </c>
      <c r="F32" s="274"/>
    </row>
    <row r="33" spans="1:6">
      <c r="A33" s="381"/>
      <c r="B33" s="425"/>
      <c r="C33" s="426" t="s">
        <v>329</v>
      </c>
      <c r="D33" s="259"/>
      <c r="E33" s="427">
        <f>固定資本!O33*$E$35</f>
        <v>0</v>
      </c>
      <c r="F33" s="274"/>
    </row>
    <row r="34" spans="1:6">
      <c r="A34" s="381"/>
      <c r="B34" s="403">
        <v>96</v>
      </c>
      <c r="C34" s="404" t="s">
        <v>100</v>
      </c>
      <c r="D34" s="259"/>
      <c r="E34" s="412">
        <f>固定資本!O34*$E$35</f>
        <v>0</v>
      </c>
      <c r="F34" s="274"/>
    </row>
    <row r="35" spans="1:6">
      <c r="A35" s="381"/>
      <c r="B35" s="403">
        <v>97</v>
      </c>
      <c r="C35" s="404" t="s">
        <v>101</v>
      </c>
      <c r="D35" s="259"/>
      <c r="E35" s="412">
        <f>D9</f>
        <v>0</v>
      </c>
    </row>
    <row r="36" spans="1:6">
      <c r="B36" s="381"/>
      <c r="C36" s="381"/>
      <c r="E36" s="270"/>
    </row>
    <row r="49" s="155" customFormat="1"/>
    <row r="50" s="155" customFormat="1"/>
    <row r="51" s="155" customFormat="1"/>
    <row r="52" s="155" customFormat="1"/>
    <row r="53" s="155" customFormat="1"/>
    <row r="55" s="155" customFormat="1"/>
    <row r="56" s="155" customFormat="1"/>
    <row r="57" s="155" customFormat="1"/>
    <row r="58" s="155" customFormat="1"/>
    <row r="59" s="155" customFormat="1"/>
    <row r="61" s="155" customFormat="1"/>
    <row r="63" s="155" customFormat="1"/>
    <row r="64" s="155" customFormat="1"/>
    <row r="65" s="155" customFormat="1"/>
    <row r="67" s="155" customFormat="1"/>
    <row r="68" s="155" customFormat="1"/>
    <row r="69" s="155" customFormat="1"/>
    <row r="71" s="155" customFormat="1"/>
    <row r="72" s="155" customFormat="1"/>
    <row r="73" s="155" customFormat="1"/>
    <row r="74" s="155" customFormat="1"/>
    <row r="76" s="155" customFormat="1"/>
    <row r="77" s="155" customFormat="1"/>
    <row r="79" s="155" customFormat="1"/>
    <row r="80" s="155" customFormat="1"/>
    <row r="82" s="155" customFormat="1"/>
    <row r="83" s="155" customFormat="1"/>
    <row r="85" s="155" customFormat="1"/>
    <row r="88" s="155" customFormat="1"/>
    <row r="91" s="155" customFormat="1"/>
    <row r="92" s="155" customFormat="1"/>
    <row r="94" s="155" customFormat="1"/>
    <row r="97" s="155" customFormat="1"/>
    <row r="98" s="155" customFormat="1"/>
    <row r="99" s="155" customFormat="1"/>
    <row r="100" s="155" customFormat="1"/>
    <row r="101" s="155" customFormat="1"/>
    <row r="102" s="155" customFormat="1"/>
    <row r="103" s="155" customFormat="1"/>
    <row r="104" s="155" customFormat="1"/>
    <row r="105" s="155" customFormat="1"/>
    <row r="106" s="155" customFormat="1"/>
    <row r="107" s="155" customFormat="1"/>
    <row r="108" s="155" customFormat="1"/>
    <row r="109" s="155" customFormat="1"/>
    <row r="110" s="155" customFormat="1"/>
    <row r="111" s="155" customFormat="1"/>
    <row r="112" s="155" customFormat="1"/>
    <row r="113" s="155" customFormat="1"/>
    <row r="115" s="155" customFormat="1"/>
    <row r="116" s="155" customFormat="1"/>
    <row r="117" s="155" customFormat="1"/>
    <row r="119" s="155" customFormat="1"/>
    <row r="120" s="155" customFormat="1"/>
    <row r="121" s="155" customFormat="1"/>
    <row r="122" s="155" customFormat="1"/>
    <row r="123" s="155" customFormat="1"/>
    <row r="124" s="155" customFormat="1"/>
    <row r="125" s="155" customFormat="1"/>
    <row r="127" s="155" customFormat="1"/>
    <row r="129" s="155" customFormat="1"/>
  </sheetData>
  <sheetProtection sheet="1" objects="1" scenarios="1"/>
  <mergeCells count="35">
    <mergeCell ref="AC3:AC4"/>
    <mergeCell ref="AF3:AF4"/>
    <mergeCell ref="AG3:AG4"/>
    <mergeCell ref="R2:R4"/>
    <mergeCell ref="AD2:AE2"/>
    <mergeCell ref="V3:V4"/>
    <mergeCell ref="W3:W4"/>
    <mergeCell ref="X3:X4"/>
    <mergeCell ref="Y3:Y4"/>
    <mergeCell ref="T2:T4"/>
    <mergeCell ref="U2:U3"/>
    <mergeCell ref="V2:Y2"/>
    <mergeCell ref="Z2:AC2"/>
    <mergeCell ref="AF2:AG2"/>
    <mergeCell ref="AD3:AD4"/>
    <mergeCell ref="AE3:AE4"/>
    <mergeCell ref="Z3:Z4"/>
    <mergeCell ref="AA3:AA4"/>
    <mergeCell ref="AB3:AB4"/>
    <mergeCell ref="S2:S4"/>
    <mergeCell ref="M2:M4"/>
    <mergeCell ref="N2:N4"/>
    <mergeCell ref="O2:O4"/>
    <mergeCell ref="P2:P4"/>
    <mergeCell ref="Q2:Q4"/>
    <mergeCell ref="B2:C5"/>
    <mergeCell ref="D2:D4"/>
    <mergeCell ref="E2:E4"/>
    <mergeCell ref="F2:F4"/>
    <mergeCell ref="G2:G4"/>
    <mergeCell ref="H2:H4"/>
    <mergeCell ref="I2:I3"/>
    <mergeCell ref="J2:J3"/>
    <mergeCell ref="K2:K4"/>
    <mergeCell ref="L2:L3"/>
  </mergeCells>
  <phoneticPr fontId="27"/>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00000"/>
  </sheetPr>
  <dimension ref="A1:AG129"/>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155" customWidth="1"/>
    <col min="2" max="2" width="6.6328125" style="155" customWidth="1"/>
    <col min="3" max="3" width="23.6328125" style="155" customWidth="1"/>
    <col min="4" max="10" width="12.6328125" style="155" customWidth="1"/>
    <col min="11" max="11" width="19.08984375" style="155" customWidth="1"/>
    <col min="12" max="12" width="14.54296875" style="155" customWidth="1"/>
    <col min="13" max="20" width="12.6328125" style="155" customWidth="1"/>
    <col min="21" max="21" width="13.6328125" style="155" customWidth="1"/>
    <col min="22" max="22" width="14.81640625" style="155" customWidth="1"/>
    <col min="23" max="24" width="13.6328125" style="155" customWidth="1"/>
    <col min="25" max="25" width="16.08984375" style="155" customWidth="1"/>
    <col min="26" max="33" width="12.6328125" style="155" customWidth="1"/>
    <col min="34" max="16384" width="9" style="155"/>
  </cols>
  <sheetData>
    <row r="1" spans="1:33" ht="37.5" customHeight="1">
      <c r="A1" s="381"/>
      <c r="B1" s="382"/>
      <c r="C1" s="428"/>
    </row>
    <row r="2" spans="1:33" ht="17.25" customHeight="1">
      <c r="A2" s="384"/>
      <c r="B2" s="649" t="s">
        <v>196</v>
      </c>
      <c r="C2" s="650"/>
      <c r="D2" s="655" t="s">
        <v>333</v>
      </c>
      <c r="E2" s="643" t="s">
        <v>103</v>
      </c>
      <c r="F2" s="643" t="s">
        <v>104</v>
      </c>
      <c r="G2" s="643" t="s">
        <v>105</v>
      </c>
      <c r="H2" s="643" t="s">
        <v>106</v>
      </c>
      <c r="I2" s="645" t="s">
        <v>102</v>
      </c>
      <c r="J2" s="647" t="s">
        <v>105</v>
      </c>
      <c r="K2" s="643" t="s">
        <v>107</v>
      </c>
      <c r="L2" s="643" t="s">
        <v>107</v>
      </c>
      <c r="M2" s="644" t="s">
        <v>108</v>
      </c>
      <c r="N2" s="643" t="s">
        <v>109</v>
      </c>
      <c r="O2" s="643" t="s">
        <v>110</v>
      </c>
      <c r="P2" s="643" t="s">
        <v>111</v>
      </c>
      <c r="Q2" s="644" t="s">
        <v>112</v>
      </c>
      <c r="R2" s="644" t="s">
        <v>113</v>
      </c>
      <c r="S2" s="643" t="s">
        <v>114</v>
      </c>
      <c r="T2" s="643" t="s">
        <v>115</v>
      </c>
      <c r="U2" s="643" t="s">
        <v>115</v>
      </c>
      <c r="V2" s="644" t="s">
        <v>116</v>
      </c>
      <c r="W2" s="644"/>
      <c r="X2" s="644"/>
      <c r="Y2" s="644"/>
      <c r="Z2" s="657" t="s">
        <v>117</v>
      </c>
      <c r="AA2" s="657"/>
      <c r="AB2" s="657"/>
      <c r="AC2" s="657"/>
      <c r="AD2" s="662" t="s">
        <v>119</v>
      </c>
      <c r="AE2" s="663"/>
      <c r="AF2" s="662" t="s">
        <v>118</v>
      </c>
      <c r="AG2" s="663"/>
    </row>
    <row r="3" spans="1:33">
      <c r="A3" s="384"/>
      <c r="B3" s="651"/>
      <c r="C3" s="652"/>
      <c r="D3" s="656"/>
      <c r="E3" s="644"/>
      <c r="F3" s="644"/>
      <c r="G3" s="644"/>
      <c r="H3" s="644"/>
      <c r="I3" s="646"/>
      <c r="J3" s="648"/>
      <c r="K3" s="644"/>
      <c r="L3" s="643"/>
      <c r="M3" s="644"/>
      <c r="N3" s="643"/>
      <c r="O3" s="643"/>
      <c r="P3" s="644"/>
      <c r="Q3" s="644"/>
      <c r="R3" s="644"/>
      <c r="S3" s="644"/>
      <c r="T3" s="644"/>
      <c r="U3" s="643"/>
      <c r="V3" s="657" t="s">
        <v>120</v>
      </c>
      <c r="W3" s="658" t="s">
        <v>107</v>
      </c>
      <c r="X3" s="658" t="s">
        <v>115</v>
      </c>
      <c r="Y3" s="644" t="s">
        <v>121</v>
      </c>
      <c r="Z3" s="657" t="s">
        <v>120</v>
      </c>
      <c r="AA3" s="658" t="s">
        <v>107</v>
      </c>
      <c r="AB3" s="658" t="s">
        <v>115</v>
      </c>
      <c r="AC3" s="657" t="s">
        <v>121</v>
      </c>
      <c r="AD3" s="659" t="s">
        <v>120</v>
      </c>
      <c r="AE3" s="647" t="s">
        <v>121</v>
      </c>
      <c r="AF3" s="659" t="s">
        <v>120</v>
      </c>
      <c r="AG3" s="647" t="s">
        <v>121</v>
      </c>
    </row>
    <row r="4" spans="1:33">
      <c r="A4" s="384"/>
      <c r="B4" s="651"/>
      <c r="C4" s="652"/>
      <c r="D4" s="656"/>
      <c r="E4" s="644"/>
      <c r="F4" s="644"/>
      <c r="G4" s="644"/>
      <c r="H4" s="644"/>
      <c r="I4" s="385" t="s">
        <v>122</v>
      </c>
      <c r="J4" s="385" t="s">
        <v>122</v>
      </c>
      <c r="K4" s="644"/>
      <c r="L4" s="385" t="s">
        <v>122</v>
      </c>
      <c r="M4" s="644"/>
      <c r="N4" s="643"/>
      <c r="O4" s="643"/>
      <c r="P4" s="644"/>
      <c r="Q4" s="644"/>
      <c r="R4" s="644"/>
      <c r="S4" s="644"/>
      <c r="T4" s="644"/>
      <c r="U4" s="385" t="s">
        <v>122</v>
      </c>
      <c r="V4" s="657"/>
      <c r="W4" s="658"/>
      <c r="X4" s="658"/>
      <c r="Y4" s="644"/>
      <c r="Z4" s="657"/>
      <c r="AA4" s="658"/>
      <c r="AB4" s="658"/>
      <c r="AC4" s="657"/>
      <c r="AD4" s="660"/>
      <c r="AE4" s="661"/>
      <c r="AF4" s="660"/>
      <c r="AG4" s="661"/>
    </row>
    <row r="5" spans="1:33">
      <c r="A5" s="384"/>
      <c r="B5" s="653"/>
      <c r="C5" s="654"/>
      <c r="D5" s="387">
        <f>固定資本!$F$6</f>
        <v>2025</v>
      </c>
      <c r="E5" s="387">
        <f>固定資本!$F$6</f>
        <v>2025</v>
      </c>
      <c r="F5" s="388"/>
      <c r="G5" s="387">
        <f>固定資本!$F$6</f>
        <v>2025</v>
      </c>
      <c r="H5" s="386"/>
      <c r="I5" s="389">
        <v>2020</v>
      </c>
      <c r="J5" s="389">
        <v>2020</v>
      </c>
      <c r="K5" s="389">
        <v>2020</v>
      </c>
      <c r="L5" s="387">
        <f>固定資本!$F$6</f>
        <v>2025</v>
      </c>
      <c r="M5" s="390"/>
      <c r="N5" s="389">
        <v>2020</v>
      </c>
      <c r="O5" s="391"/>
      <c r="P5" s="391"/>
      <c r="Q5" s="388"/>
      <c r="R5" s="389">
        <v>2020</v>
      </c>
      <c r="S5" s="389">
        <v>2020</v>
      </c>
      <c r="T5" s="389">
        <v>2020</v>
      </c>
      <c r="U5" s="387">
        <f>固定資本!$F$6</f>
        <v>2025</v>
      </c>
      <c r="V5" s="387">
        <f>固定資本!$F$6</f>
        <v>2025</v>
      </c>
      <c r="W5" s="387">
        <f>固定資本!$F$6</f>
        <v>2025</v>
      </c>
      <c r="X5" s="387">
        <f>固定資本!$F$6</f>
        <v>2025</v>
      </c>
      <c r="Y5" s="387">
        <f>固定資本!$F$6</f>
        <v>2025</v>
      </c>
      <c r="Z5" s="387">
        <f>固定資本!$F$6</f>
        <v>2025</v>
      </c>
      <c r="AA5" s="387">
        <f>固定資本!$F$6</f>
        <v>2025</v>
      </c>
      <c r="AB5" s="387">
        <f>固定資本!$F$6</f>
        <v>2025</v>
      </c>
      <c r="AC5" s="387">
        <f>固定資本!$F$6</f>
        <v>2025</v>
      </c>
      <c r="AD5" s="392"/>
      <c r="AE5" s="393"/>
      <c r="AF5" s="392"/>
      <c r="AG5" s="393"/>
    </row>
    <row r="6" spans="1:33">
      <c r="A6" s="381"/>
      <c r="B6" s="394">
        <v>1</v>
      </c>
      <c r="C6" s="395" t="s">
        <v>330</v>
      </c>
      <c r="D6" s="396"/>
      <c r="E6" s="397">
        <f>固定資本!P6*$E$35</f>
        <v>0</v>
      </c>
      <c r="F6" s="398">
        <f>係数!D6</f>
        <v>0.18042550811978708</v>
      </c>
      <c r="G6" s="397">
        <f>E6*F6</f>
        <v>0</v>
      </c>
      <c r="H6" s="398">
        <f>固定資本!M6</f>
        <v>1.0104808178894849</v>
      </c>
      <c r="I6" s="396"/>
      <c r="J6" s="397">
        <f>G6/H6</f>
        <v>0</v>
      </c>
      <c r="K6" s="507">
        <f t="array" ref="K6:K25">MMULT(係数!J6:AC25,J6:J25)</f>
        <v>0</v>
      </c>
      <c r="L6" s="397">
        <f>H6*K6</f>
        <v>0</v>
      </c>
      <c r="M6" s="398">
        <f>係数!E6+係数!F6</f>
        <v>0.34729264892287653</v>
      </c>
      <c r="N6" s="397">
        <f>K6*M6</f>
        <v>0</v>
      </c>
      <c r="Q6" s="398">
        <f>係数!G6</f>
        <v>1.2640050582432142E-2</v>
      </c>
      <c r="R6" s="397">
        <f>Q6*$P$30</f>
        <v>0</v>
      </c>
      <c r="S6" s="397">
        <f>F6*R6</f>
        <v>0</v>
      </c>
      <c r="T6" s="507">
        <f t="array" ref="T6:T25">MMULT(係数!J6:AC25,S6:S25)</f>
        <v>0</v>
      </c>
      <c r="U6" s="397">
        <f>H6*T6</f>
        <v>0</v>
      </c>
      <c r="V6" s="396"/>
      <c r="W6" s="397">
        <f>L6</f>
        <v>0</v>
      </c>
      <c r="X6" s="397">
        <f>U6</f>
        <v>0</v>
      </c>
      <c r="Y6" s="397">
        <f>SUM(V6:X6)</f>
        <v>0</v>
      </c>
      <c r="Z6" s="396"/>
      <c r="AA6" s="397">
        <f>W6*(1-固定資本!N6)</f>
        <v>0</v>
      </c>
      <c r="AB6" s="397">
        <f>X6*(1-固定資本!N6)</f>
        <v>0</v>
      </c>
      <c r="AC6" s="397">
        <f>SUM(Z6:AB6)</f>
        <v>0</v>
      </c>
      <c r="AD6" s="399"/>
      <c r="AE6" s="400">
        <f>(I6+K6+T6)*係数!H6/1000</f>
        <v>0</v>
      </c>
      <c r="AF6" s="399"/>
      <c r="AG6" s="400">
        <f>(I6+K6+T6)*係数!I6/1000</f>
        <v>0</v>
      </c>
    </row>
    <row r="7" spans="1:33">
      <c r="A7" s="381"/>
      <c r="B7" s="394">
        <v>2</v>
      </c>
      <c r="C7" s="395" t="s">
        <v>23</v>
      </c>
      <c r="D7" s="396"/>
      <c r="E7" s="397">
        <f>固定資本!P7*$E$35</f>
        <v>0</v>
      </c>
      <c r="F7" s="398">
        <f>係数!D7</f>
        <v>3.0160827002289059E-2</v>
      </c>
      <c r="G7" s="397">
        <f t="shared" ref="G7:G25" si="0">E7*F7</f>
        <v>0</v>
      </c>
      <c r="H7" s="398">
        <f>固定資本!M7</f>
        <v>1.3446136564913536</v>
      </c>
      <c r="I7" s="396"/>
      <c r="J7" s="397">
        <f t="shared" ref="J7:J25" si="1">G7/H7</f>
        <v>0</v>
      </c>
      <c r="K7" s="507">
        <v>0</v>
      </c>
      <c r="L7" s="397">
        <f t="shared" ref="L7:L25" si="2">H7*K7</f>
        <v>0</v>
      </c>
      <c r="M7" s="398">
        <f>係数!E7+係数!F7</f>
        <v>0.26368236033167564</v>
      </c>
      <c r="N7" s="397">
        <f t="shared" ref="N7:N25" si="3">K7*M7</f>
        <v>0</v>
      </c>
      <c r="Q7" s="398">
        <f>係数!G7</f>
        <v>1.4077333551141487E-7</v>
      </c>
      <c r="R7" s="397">
        <f t="shared" ref="R7:R22" si="4">Q7*$P$30</f>
        <v>0</v>
      </c>
      <c r="S7" s="397">
        <f t="shared" ref="S7:S25" si="5">F7*R7</f>
        <v>0</v>
      </c>
      <c r="T7" s="507">
        <v>0</v>
      </c>
      <c r="U7" s="397">
        <f t="shared" ref="U7:U25" si="6">H7*T7</f>
        <v>0</v>
      </c>
      <c r="V7" s="396"/>
      <c r="W7" s="397">
        <f t="shared" ref="W7:W25" si="7">L7</f>
        <v>0</v>
      </c>
      <c r="X7" s="397">
        <f t="shared" ref="X7:X25" si="8">U7</f>
        <v>0</v>
      </c>
      <c r="Y7" s="397">
        <f t="shared" ref="Y7:Y25" si="9">SUM(V7:X7)</f>
        <v>0</v>
      </c>
      <c r="Z7" s="396"/>
      <c r="AA7" s="397">
        <f>W7*(1-固定資本!N7)</f>
        <v>0</v>
      </c>
      <c r="AB7" s="397">
        <f>X7*(1-固定資本!N7)</f>
        <v>0</v>
      </c>
      <c r="AC7" s="397">
        <f t="shared" ref="AC7:AC25" si="10">SUM(Z7:AB7)</f>
        <v>0</v>
      </c>
      <c r="AD7" s="399"/>
      <c r="AE7" s="400">
        <f>(I7+K7+T7)*係数!H7/1000</f>
        <v>0</v>
      </c>
      <c r="AF7" s="399"/>
      <c r="AG7" s="400">
        <f>(I7+K7+T7)*係数!I7/1000</f>
        <v>0</v>
      </c>
    </row>
    <row r="8" spans="1:33">
      <c r="A8" s="381"/>
      <c r="B8" s="394">
        <v>3</v>
      </c>
      <c r="C8" s="395" t="s">
        <v>24</v>
      </c>
      <c r="D8" s="396"/>
      <c r="E8" s="397">
        <f>固定資本!P8*$E$35</f>
        <v>0</v>
      </c>
      <c r="F8" s="398">
        <f>係数!D8</f>
        <v>0.20072013777143771</v>
      </c>
      <c r="G8" s="397">
        <f t="shared" si="0"/>
        <v>0</v>
      </c>
      <c r="H8" s="398">
        <f>固定資本!M8</f>
        <v>1.0806750710483002</v>
      </c>
      <c r="I8" s="396"/>
      <c r="J8" s="397">
        <f t="shared" si="1"/>
        <v>0</v>
      </c>
      <c r="K8" s="507">
        <v>0</v>
      </c>
      <c r="L8" s="397">
        <f t="shared" si="2"/>
        <v>0</v>
      </c>
      <c r="M8" s="398">
        <f>係数!E8+係数!F8</f>
        <v>0.23439218833455738</v>
      </c>
      <c r="N8" s="397">
        <f t="shared" si="3"/>
        <v>0</v>
      </c>
      <c r="Q8" s="398">
        <f>係数!G8</f>
        <v>0.2007953339784751</v>
      </c>
      <c r="R8" s="397">
        <f t="shared" si="4"/>
        <v>0</v>
      </c>
      <c r="S8" s="397">
        <f t="shared" si="5"/>
        <v>0</v>
      </c>
      <c r="T8" s="507">
        <v>0</v>
      </c>
      <c r="U8" s="397">
        <f t="shared" si="6"/>
        <v>0</v>
      </c>
      <c r="V8" s="396"/>
      <c r="W8" s="397">
        <f t="shared" si="7"/>
        <v>0</v>
      </c>
      <c r="X8" s="397">
        <f t="shared" si="8"/>
        <v>0</v>
      </c>
      <c r="Y8" s="397">
        <f t="shared" si="9"/>
        <v>0</v>
      </c>
      <c r="Z8" s="396"/>
      <c r="AA8" s="397">
        <f>W8*(1-固定資本!N8)</f>
        <v>0</v>
      </c>
      <c r="AB8" s="397">
        <f>X8*(1-固定資本!N8)</f>
        <v>0</v>
      </c>
      <c r="AC8" s="397">
        <f t="shared" si="10"/>
        <v>0</v>
      </c>
      <c r="AD8" s="399"/>
      <c r="AE8" s="400">
        <f>(I8+K8+T8)*係数!H8/1000</f>
        <v>0</v>
      </c>
      <c r="AF8" s="399"/>
      <c r="AG8" s="400">
        <f>(I8+K8+T8)*係数!I8/1000</f>
        <v>0</v>
      </c>
    </row>
    <row r="9" spans="1:33">
      <c r="A9" s="381"/>
      <c r="B9" s="394">
        <v>4</v>
      </c>
      <c r="C9" s="395" t="s">
        <v>25</v>
      </c>
      <c r="D9" s="401">
        <f>入力!D14</f>
        <v>0</v>
      </c>
      <c r="E9" s="397">
        <f>固定資本!P9*$E$35</f>
        <v>0</v>
      </c>
      <c r="F9" s="398">
        <f>係数!D9</f>
        <v>1</v>
      </c>
      <c r="G9" s="397">
        <f t="shared" si="0"/>
        <v>0</v>
      </c>
      <c r="H9" s="398">
        <f>固定資本!M9</f>
        <v>1.0837344351628673</v>
      </c>
      <c r="I9" s="401">
        <f>D9/H9</f>
        <v>0</v>
      </c>
      <c r="J9" s="397">
        <f t="shared" si="1"/>
        <v>0</v>
      </c>
      <c r="K9" s="507">
        <v>0</v>
      </c>
      <c r="L9" s="397">
        <f t="shared" si="2"/>
        <v>0</v>
      </c>
      <c r="M9" s="398">
        <f>係数!E9+係数!F9</f>
        <v>0.40192809887703745</v>
      </c>
      <c r="N9" s="397">
        <f t="shared" si="3"/>
        <v>0</v>
      </c>
      <c r="Q9" s="398">
        <f>係数!G9</f>
        <v>0</v>
      </c>
      <c r="R9" s="397">
        <f t="shared" si="4"/>
        <v>0</v>
      </c>
      <c r="S9" s="397">
        <f t="shared" si="5"/>
        <v>0</v>
      </c>
      <c r="T9" s="507">
        <v>0</v>
      </c>
      <c r="U9" s="397">
        <f t="shared" si="6"/>
        <v>0</v>
      </c>
      <c r="V9" s="401">
        <f>D9</f>
        <v>0</v>
      </c>
      <c r="W9" s="397">
        <f t="shared" si="7"/>
        <v>0</v>
      </c>
      <c r="X9" s="397">
        <f t="shared" si="8"/>
        <v>0</v>
      </c>
      <c r="Y9" s="397">
        <f t="shared" si="9"/>
        <v>0</v>
      </c>
      <c r="Z9" s="401">
        <f>E34</f>
        <v>0</v>
      </c>
      <c r="AA9" s="397">
        <f>W9*(1-固定資本!N9)</f>
        <v>0</v>
      </c>
      <c r="AB9" s="397">
        <f>X9*(1-固定資本!N9)</f>
        <v>0</v>
      </c>
      <c r="AC9" s="397">
        <f t="shared" si="10"/>
        <v>0</v>
      </c>
      <c r="AD9" s="402">
        <f>I9*係数!H9/1000</f>
        <v>0</v>
      </c>
      <c r="AE9" s="400">
        <f>(I9+K9+T9)*係数!H9/1000</f>
        <v>0</v>
      </c>
      <c r="AF9" s="402">
        <f>I9*係数!I9/1000</f>
        <v>0</v>
      </c>
      <c r="AG9" s="400">
        <f>(I9+K9+T9)*係数!I9/1000</f>
        <v>0</v>
      </c>
    </row>
    <row r="10" spans="1:33">
      <c r="A10" s="381"/>
      <c r="B10" s="394">
        <v>5</v>
      </c>
      <c r="C10" s="395" t="s">
        <v>26</v>
      </c>
      <c r="D10" s="396"/>
      <c r="E10" s="397">
        <f>固定資本!P10*$E$35</f>
        <v>0</v>
      </c>
      <c r="F10" s="398">
        <f>係数!D10</f>
        <v>0.67935797556191746</v>
      </c>
      <c r="G10" s="397">
        <f t="shared" si="0"/>
        <v>0</v>
      </c>
      <c r="H10" s="398">
        <f>固定資本!M10</f>
        <v>1.0270278426848884</v>
      </c>
      <c r="I10" s="396"/>
      <c r="J10" s="397">
        <f t="shared" si="1"/>
        <v>0</v>
      </c>
      <c r="K10" s="507">
        <v>0</v>
      </c>
      <c r="L10" s="397">
        <f t="shared" si="2"/>
        <v>0</v>
      </c>
      <c r="M10" s="398">
        <f>係数!E10+係数!F10</f>
        <v>0.15515223470512657</v>
      </c>
      <c r="N10" s="397">
        <f t="shared" si="3"/>
        <v>0</v>
      </c>
      <c r="Q10" s="398">
        <f>係数!G10</f>
        <v>3.0927514375825624E-2</v>
      </c>
      <c r="R10" s="397">
        <f t="shared" si="4"/>
        <v>0</v>
      </c>
      <c r="S10" s="397">
        <f t="shared" si="5"/>
        <v>0</v>
      </c>
      <c r="T10" s="507">
        <v>0</v>
      </c>
      <c r="U10" s="397">
        <f t="shared" si="6"/>
        <v>0</v>
      </c>
      <c r="V10" s="396"/>
      <c r="W10" s="397">
        <f t="shared" si="7"/>
        <v>0</v>
      </c>
      <c r="X10" s="397">
        <f t="shared" si="8"/>
        <v>0</v>
      </c>
      <c r="Y10" s="397">
        <f t="shared" si="9"/>
        <v>0</v>
      </c>
      <c r="Z10" s="396"/>
      <c r="AA10" s="397">
        <f>W10*(1-固定資本!N10)</f>
        <v>0</v>
      </c>
      <c r="AB10" s="397">
        <f>X10*(1-固定資本!N10)</f>
        <v>0</v>
      </c>
      <c r="AC10" s="397">
        <f t="shared" si="10"/>
        <v>0</v>
      </c>
      <c r="AD10" s="399"/>
      <c r="AE10" s="400">
        <f>(I10+K10+T10)*係数!H10/1000</f>
        <v>0</v>
      </c>
      <c r="AF10" s="399"/>
      <c r="AG10" s="400">
        <f>(I10+K10+T10)*係数!I10/1000</f>
        <v>0</v>
      </c>
    </row>
    <row r="11" spans="1:33">
      <c r="A11" s="381"/>
      <c r="B11" s="394">
        <v>6</v>
      </c>
      <c r="C11" s="395" t="s">
        <v>27</v>
      </c>
      <c r="D11" s="396"/>
      <c r="E11" s="397">
        <f>固定資本!P11*$E$35</f>
        <v>0</v>
      </c>
      <c r="F11" s="398">
        <f>係数!D11</f>
        <v>0.70804842552064784</v>
      </c>
      <c r="G11" s="397">
        <f t="shared" si="0"/>
        <v>0</v>
      </c>
      <c r="H11" s="398">
        <f>固定資本!M11</f>
        <v>1.0828948084534689</v>
      </c>
      <c r="I11" s="396"/>
      <c r="J11" s="397">
        <f t="shared" si="1"/>
        <v>0</v>
      </c>
      <c r="K11" s="507">
        <v>0</v>
      </c>
      <c r="L11" s="397">
        <f t="shared" si="2"/>
        <v>0</v>
      </c>
      <c r="M11" s="398">
        <f>係数!E11+係数!F11</f>
        <v>0.54797125739735564</v>
      </c>
      <c r="N11" s="397">
        <f t="shared" si="3"/>
        <v>0</v>
      </c>
      <c r="Q11" s="398">
        <f>係数!G11</f>
        <v>0.15313294044826331</v>
      </c>
      <c r="R11" s="397">
        <f t="shared" si="4"/>
        <v>0</v>
      </c>
      <c r="S11" s="397">
        <f t="shared" si="5"/>
        <v>0</v>
      </c>
      <c r="T11" s="507">
        <v>0</v>
      </c>
      <c r="U11" s="397">
        <f t="shared" si="6"/>
        <v>0</v>
      </c>
      <c r="V11" s="396"/>
      <c r="W11" s="397">
        <f t="shared" si="7"/>
        <v>0</v>
      </c>
      <c r="X11" s="397">
        <f t="shared" si="8"/>
        <v>0</v>
      </c>
      <c r="Y11" s="397">
        <f t="shared" si="9"/>
        <v>0</v>
      </c>
      <c r="Z11" s="396"/>
      <c r="AA11" s="397">
        <f>W11*(1-固定資本!N11)</f>
        <v>0</v>
      </c>
      <c r="AB11" s="397">
        <f>X11*(1-固定資本!N11)</f>
        <v>0</v>
      </c>
      <c r="AC11" s="397">
        <f t="shared" si="10"/>
        <v>0</v>
      </c>
      <c r="AD11" s="399"/>
      <c r="AE11" s="400">
        <f>(I11+K11+T11)*係数!H11/1000</f>
        <v>0</v>
      </c>
      <c r="AF11" s="399"/>
      <c r="AG11" s="400">
        <f>(I11+K11+T11)*係数!I11/1000</f>
        <v>0</v>
      </c>
    </row>
    <row r="12" spans="1:33">
      <c r="A12" s="381"/>
      <c r="B12" s="394">
        <v>7</v>
      </c>
      <c r="C12" s="395" t="s">
        <v>28</v>
      </c>
      <c r="D12" s="396"/>
      <c r="E12" s="397">
        <f>固定資本!P12*$E$35</f>
        <v>0</v>
      </c>
      <c r="F12" s="398">
        <f>係数!D12</f>
        <v>0.68770259202726169</v>
      </c>
      <c r="G12" s="397">
        <f t="shared" si="0"/>
        <v>0</v>
      </c>
      <c r="H12" s="398">
        <f>固定資本!M12</f>
        <v>1.0150936591101991</v>
      </c>
      <c r="I12" s="396"/>
      <c r="J12" s="397">
        <f t="shared" si="1"/>
        <v>0</v>
      </c>
      <c r="K12" s="507">
        <v>0</v>
      </c>
      <c r="L12" s="397">
        <f t="shared" si="2"/>
        <v>0</v>
      </c>
      <c r="M12" s="398">
        <f>係数!E12+係数!F12</f>
        <v>0.52192103343471552</v>
      </c>
      <c r="N12" s="397">
        <f t="shared" si="3"/>
        <v>0</v>
      </c>
      <c r="Q12" s="398">
        <f>係数!G12</f>
        <v>4.7371922807883E-2</v>
      </c>
      <c r="R12" s="397">
        <f t="shared" si="4"/>
        <v>0</v>
      </c>
      <c r="S12" s="397">
        <f t="shared" si="5"/>
        <v>0</v>
      </c>
      <c r="T12" s="507">
        <v>0</v>
      </c>
      <c r="U12" s="397">
        <f t="shared" si="6"/>
        <v>0</v>
      </c>
      <c r="V12" s="396"/>
      <c r="W12" s="397">
        <f t="shared" si="7"/>
        <v>0</v>
      </c>
      <c r="X12" s="397">
        <f t="shared" si="8"/>
        <v>0</v>
      </c>
      <c r="Y12" s="397">
        <f t="shared" si="9"/>
        <v>0</v>
      </c>
      <c r="Z12" s="396"/>
      <c r="AA12" s="397">
        <f>W12*(1-固定資本!N12)</f>
        <v>0</v>
      </c>
      <c r="AB12" s="397">
        <f>X12*(1-固定資本!N12)</f>
        <v>0</v>
      </c>
      <c r="AC12" s="397">
        <f t="shared" si="10"/>
        <v>0</v>
      </c>
      <c r="AD12" s="399"/>
      <c r="AE12" s="400">
        <f>(I12+K12+T12)*係数!H12/1000</f>
        <v>0</v>
      </c>
      <c r="AF12" s="399"/>
      <c r="AG12" s="400">
        <f>(I12+K12+T12)*係数!I12/1000</f>
        <v>0</v>
      </c>
    </row>
    <row r="13" spans="1:33">
      <c r="A13" s="381"/>
      <c r="B13" s="394">
        <v>8</v>
      </c>
      <c r="C13" s="395" t="s">
        <v>29</v>
      </c>
      <c r="D13" s="396"/>
      <c r="E13" s="397">
        <f>固定資本!P13*$E$35</f>
        <v>0</v>
      </c>
      <c r="F13" s="398">
        <f>係数!D13</f>
        <v>0.85335503954694347</v>
      </c>
      <c r="G13" s="397">
        <f t="shared" si="0"/>
        <v>0</v>
      </c>
      <c r="H13" s="398">
        <f>固定資本!M13</f>
        <v>1.0262288884863693</v>
      </c>
      <c r="I13" s="396"/>
      <c r="J13" s="397">
        <f t="shared" si="1"/>
        <v>0</v>
      </c>
      <c r="K13" s="507">
        <v>0</v>
      </c>
      <c r="L13" s="397">
        <f t="shared" si="2"/>
        <v>0</v>
      </c>
      <c r="M13" s="398">
        <f>係数!E13+係数!F13</f>
        <v>0.34689791074956655</v>
      </c>
      <c r="N13" s="397">
        <f t="shared" si="3"/>
        <v>0</v>
      </c>
      <c r="Q13" s="398">
        <f>係数!G13</f>
        <v>4.6219015706579034E-2</v>
      </c>
      <c r="R13" s="397">
        <f t="shared" si="4"/>
        <v>0</v>
      </c>
      <c r="S13" s="397">
        <f t="shared" si="5"/>
        <v>0</v>
      </c>
      <c r="T13" s="507">
        <v>0</v>
      </c>
      <c r="U13" s="397">
        <f t="shared" si="6"/>
        <v>0</v>
      </c>
      <c r="V13" s="396"/>
      <c r="W13" s="397">
        <f t="shared" si="7"/>
        <v>0</v>
      </c>
      <c r="X13" s="397">
        <f t="shared" si="8"/>
        <v>0</v>
      </c>
      <c r="Y13" s="397">
        <f t="shared" si="9"/>
        <v>0</v>
      </c>
      <c r="Z13" s="396"/>
      <c r="AA13" s="397">
        <f>W13*(1-固定資本!N13)</f>
        <v>0</v>
      </c>
      <c r="AB13" s="397">
        <f>X13*(1-固定資本!N13)</f>
        <v>0</v>
      </c>
      <c r="AC13" s="397">
        <f t="shared" si="10"/>
        <v>0</v>
      </c>
      <c r="AD13" s="399"/>
      <c r="AE13" s="400">
        <f>(I13+K13+T13)*係数!H13/1000</f>
        <v>0</v>
      </c>
      <c r="AF13" s="399"/>
      <c r="AG13" s="400">
        <f>(I13+K13+T13)*係数!I13/1000</f>
        <v>0</v>
      </c>
    </row>
    <row r="14" spans="1:33">
      <c r="A14" s="381"/>
      <c r="B14" s="394">
        <v>9</v>
      </c>
      <c r="C14" s="395" t="s">
        <v>30</v>
      </c>
      <c r="D14" s="396"/>
      <c r="E14" s="397">
        <f>固定資本!P14*$E$35</f>
        <v>0</v>
      </c>
      <c r="F14" s="398">
        <f>係数!D14</f>
        <v>0.5385688819162493</v>
      </c>
      <c r="G14" s="397">
        <f t="shared" si="0"/>
        <v>0</v>
      </c>
      <c r="H14" s="398">
        <f>固定資本!M14</f>
        <v>1.0087963128229642</v>
      </c>
      <c r="I14" s="396"/>
      <c r="J14" s="397">
        <f t="shared" si="1"/>
        <v>0</v>
      </c>
      <c r="K14" s="507">
        <v>0</v>
      </c>
      <c r="L14" s="397">
        <f t="shared" si="2"/>
        <v>0</v>
      </c>
      <c r="M14" s="398">
        <f>係数!E14+係数!F14</f>
        <v>0.50067088795338788</v>
      </c>
      <c r="N14" s="397">
        <f t="shared" si="3"/>
        <v>0</v>
      </c>
      <c r="Q14" s="398">
        <f>係数!G14</f>
        <v>4.5302656304729606E-2</v>
      </c>
      <c r="R14" s="397">
        <f t="shared" si="4"/>
        <v>0</v>
      </c>
      <c r="S14" s="397">
        <f t="shared" si="5"/>
        <v>0</v>
      </c>
      <c r="T14" s="507">
        <v>0</v>
      </c>
      <c r="U14" s="397">
        <f t="shared" si="6"/>
        <v>0</v>
      </c>
      <c r="V14" s="396"/>
      <c r="W14" s="397">
        <f t="shared" si="7"/>
        <v>0</v>
      </c>
      <c r="X14" s="397">
        <f t="shared" si="8"/>
        <v>0</v>
      </c>
      <c r="Y14" s="397">
        <f t="shared" si="9"/>
        <v>0</v>
      </c>
      <c r="Z14" s="396"/>
      <c r="AA14" s="397">
        <f>W14*(1-固定資本!N14)</f>
        <v>0</v>
      </c>
      <c r="AB14" s="397">
        <f>X14*(1-固定資本!N14)</f>
        <v>0</v>
      </c>
      <c r="AC14" s="397">
        <f t="shared" si="10"/>
        <v>0</v>
      </c>
      <c r="AD14" s="399"/>
      <c r="AE14" s="400">
        <f>(I14+K14+T14)*係数!H14/1000</f>
        <v>0</v>
      </c>
      <c r="AF14" s="399"/>
      <c r="AG14" s="400">
        <f>(I14+K14+T14)*係数!I14/1000</f>
        <v>0</v>
      </c>
    </row>
    <row r="15" spans="1:33">
      <c r="A15" s="381"/>
      <c r="B15" s="394">
        <v>10</v>
      </c>
      <c r="C15" s="395" t="s">
        <v>31</v>
      </c>
      <c r="D15" s="396"/>
      <c r="E15" s="397">
        <f>固定資本!P15*$E$35</f>
        <v>0</v>
      </c>
      <c r="F15" s="398">
        <f>係数!D15</f>
        <v>0.374247944124524</v>
      </c>
      <c r="G15" s="397">
        <f t="shared" si="0"/>
        <v>0</v>
      </c>
      <c r="H15" s="398">
        <f>固定資本!M15</f>
        <v>0.94476365403107754</v>
      </c>
      <c r="I15" s="396"/>
      <c r="J15" s="397">
        <f t="shared" si="1"/>
        <v>0</v>
      </c>
      <c r="K15" s="507">
        <v>0</v>
      </c>
      <c r="L15" s="397">
        <f t="shared" si="2"/>
        <v>0</v>
      </c>
      <c r="M15" s="398">
        <f>係数!E15+係数!F15</f>
        <v>0.29616697035729772</v>
      </c>
      <c r="N15" s="397">
        <f t="shared" si="3"/>
        <v>0</v>
      </c>
      <c r="Q15" s="398">
        <f>係数!G15</f>
        <v>5.4859009166738942E-2</v>
      </c>
      <c r="R15" s="397">
        <f t="shared" si="4"/>
        <v>0</v>
      </c>
      <c r="S15" s="397">
        <f t="shared" si="5"/>
        <v>0</v>
      </c>
      <c r="T15" s="507">
        <v>0</v>
      </c>
      <c r="U15" s="397">
        <f t="shared" si="6"/>
        <v>0</v>
      </c>
      <c r="V15" s="396"/>
      <c r="W15" s="397">
        <f t="shared" si="7"/>
        <v>0</v>
      </c>
      <c r="X15" s="397">
        <f t="shared" si="8"/>
        <v>0</v>
      </c>
      <c r="Y15" s="397">
        <f t="shared" si="9"/>
        <v>0</v>
      </c>
      <c r="Z15" s="396"/>
      <c r="AA15" s="397">
        <f>W15*(1-固定資本!N15)</f>
        <v>0</v>
      </c>
      <c r="AB15" s="397">
        <f>X15*(1-固定資本!N15)</f>
        <v>0</v>
      </c>
      <c r="AC15" s="397">
        <f t="shared" si="10"/>
        <v>0</v>
      </c>
      <c r="AD15" s="399"/>
      <c r="AE15" s="400">
        <f>(I15+K15+T15)*係数!H15/1000</f>
        <v>0</v>
      </c>
      <c r="AF15" s="399"/>
      <c r="AG15" s="400">
        <f>(I15+K15+T15)*係数!I15/1000</f>
        <v>0</v>
      </c>
    </row>
    <row r="16" spans="1:33">
      <c r="A16" s="381"/>
      <c r="B16" s="394">
        <v>11</v>
      </c>
      <c r="C16" s="395" t="s">
        <v>32</v>
      </c>
      <c r="D16" s="396"/>
      <c r="E16" s="397">
        <f>固定資本!P16*$E$35</f>
        <v>0</v>
      </c>
      <c r="F16" s="398">
        <f>係数!D16</f>
        <v>1</v>
      </c>
      <c r="G16" s="397">
        <f t="shared" si="0"/>
        <v>0</v>
      </c>
      <c r="H16" s="398">
        <f>固定資本!M16</f>
        <v>1.0219068672293024</v>
      </c>
      <c r="I16" s="396"/>
      <c r="J16" s="397">
        <f t="shared" si="1"/>
        <v>0</v>
      </c>
      <c r="K16" s="507">
        <v>0</v>
      </c>
      <c r="L16" s="397">
        <f t="shared" si="2"/>
        <v>0</v>
      </c>
      <c r="M16" s="398">
        <f>係数!E16+係数!F16</f>
        <v>0.36924482699005529</v>
      </c>
      <c r="N16" s="397">
        <f t="shared" si="3"/>
        <v>0</v>
      </c>
      <c r="Q16" s="398">
        <f>係数!G16</f>
        <v>2.7258709934576486E-3</v>
      </c>
      <c r="R16" s="397">
        <f t="shared" si="4"/>
        <v>0</v>
      </c>
      <c r="S16" s="397">
        <f t="shared" si="5"/>
        <v>0</v>
      </c>
      <c r="T16" s="507">
        <v>0</v>
      </c>
      <c r="U16" s="397">
        <f t="shared" si="6"/>
        <v>0</v>
      </c>
      <c r="V16" s="396"/>
      <c r="W16" s="397">
        <f t="shared" si="7"/>
        <v>0</v>
      </c>
      <c r="X16" s="397">
        <f t="shared" si="8"/>
        <v>0</v>
      </c>
      <c r="Y16" s="397">
        <f t="shared" si="9"/>
        <v>0</v>
      </c>
      <c r="Z16" s="396"/>
      <c r="AA16" s="397">
        <f>W16*(1-固定資本!N16)</f>
        <v>0</v>
      </c>
      <c r="AB16" s="397">
        <f>X16*(1-固定資本!N16)</f>
        <v>0</v>
      </c>
      <c r="AC16" s="397">
        <f t="shared" si="10"/>
        <v>0</v>
      </c>
      <c r="AD16" s="399"/>
      <c r="AE16" s="400">
        <f>(I16+K16+T16)*係数!H16/1000</f>
        <v>0</v>
      </c>
      <c r="AF16" s="399"/>
      <c r="AG16" s="400">
        <f>(I16+K16+T16)*係数!I16/1000</f>
        <v>0</v>
      </c>
    </row>
    <row r="17" spans="1:33">
      <c r="A17" s="381"/>
      <c r="B17" s="394">
        <v>12</v>
      </c>
      <c r="C17" s="395" t="s">
        <v>33</v>
      </c>
      <c r="D17" s="396"/>
      <c r="E17" s="397">
        <f>固定資本!P17*$E$35</f>
        <v>0</v>
      </c>
      <c r="F17" s="398">
        <f>係数!D17</f>
        <v>0.77418871350256457</v>
      </c>
      <c r="G17" s="397">
        <f t="shared" si="0"/>
        <v>0</v>
      </c>
      <c r="H17" s="398">
        <f>固定資本!M17</f>
        <v>0.97392898541967743</v>
      </c>
      <c r="I17" s="396"/>
      <c r="J17" s="397">
        <f t="shared" si="1"/>
        <v>0</v>
      </c>
      <c r="K17" s="507">
        <v>0</v>
      </c>
      <c r="L17" s="397">
        <f t="shared" si="2"/>
        <v>0</v>
      </c>
      <c r="M17" s="398">
        <f>係数!E17+係数!F17</f>
        <v>0.6285823335361076</v>
      </c>
      <c r="N17" s="397">
        <f t="shared" si="3"/>
        <v>0</v>
      </c>
      <c r="Q17" s="398">
        <f>係数!G17</f>
        <v>2.6421722946925696E-2</v>
      </c>
      <c r="R17" s="397">
        <f t="shared" si="4"/>
        <v>0</v>
      </c>
      <c r="S17" s="397">
        <f t="shared" si="5"/>
        <v>0</v>
      </c>
      <c r="T17" s="507">
        <v>0</v>
      </c>
      <c r="U17" s="397">
        <f t="shared" si="6"/>
        <v>0</v>
      </c>
      <c r="V17" s="396"/>
      <c r="W17" s="397">
        <f t="shared" si="7"/>
        <v>0</v>
      </c>
      <c r="X17" s="397">
        <f t="shared" si="8"/>
        <v>0</v>
      </c>
      <c r="Y17" s="397">
        <f t="shared" si="9"/>
        <v>0</v>
      </c>
      <c r="Z17" s="396"/>
      <c r="AA17" s="397">
        <f>W17*(1-固定資本!N17)</f>
        <v>0</v>
      </c>
      <c r="AB17" s="397">
        <f>X17*(1-固定資本!N17)</f>
        <v>0</v>
      </c>
      <c r="AC17" s="397">
        <f t="shared" si="10"/>
        <v>0</v>
      </c>
      <c r="AD17" s="399"/>
      <c r="AE17" s="400">
        <f>(I17+K17+T17)*係数!H17/1000</f>
        <v>0</v>
      </c>
      <c r="AF17" s="399"/>
      <c r="AG17" s="400">
        <f>(I17+K17+T17)*係数!I17/1000</f>
        <v>0</v>
      </c>
    </row>
    <row r="18" spans="1:33">
      <c r="A18" s="381"/>
      <c r="B18" s="394">
        <v>13</v>
      </c>
      <c r="C18" s="395" t="s">
        <v>34</v>
      </c>
      <c r="D18" s="396"/>
      <c r="E18" s="397">
        <f>固定資本!P18*$E$35</f>
        <v>0</v>
      </c>
      <c r="F18" s="398">
        <f>係数!D18</f>
        <v>0.92473053489569101</v>
      </c>
      <c r="G18" s="397">
        <f t="shared" si="0"/>
        <v>0</v>
      </c>
      <c r="H18" s="398">
        <f>固定資本!M18</f>
        <v>0.98897888385181099</v>
      </c>
      <c r="I18" s="396"/>
      <c r="J18" s="397">
        <f t="shared" si="1"/>
        <v>0</v>
      </c>
      <c r="K18" s="507">
        <v>0</v>
      </c>
      <c r="L18" s="397">
        <f t="shared" si="2"/>
        <v>0</v>
      </c>
      <c r="M18" s="398">
        <f>係数!E18+係数!F18</f>
        <v>0.51069413554928089</v>
      </c>
      <c r="N18" s="397">
        <f t="shared" si="3"/>
        <v>0</v>
      </c>
      <c r="Q18" s="398">
        <f>係数!G18</f>
        <v>4.3762692829048565E-2</v>
      </c>
      <c r="R18" s="397">
        <f t="shared" si="4"/>
        <v>0</v>
      </c>
      <c r="S18" s="397">
        <f t="shared" si="5"/>
        <v>0</v>
      </c>
      <c r="T18" s="507">
        <v>0</v>
      </c>
      <c r="U18" s="397">
        <f t="shared" si="6"/>
        <v>0</v>
      </c>
      <c r="V18" s="396"/>
      <c r="W18" s="397">
        <f t="shared" si="7"/>
        <v>0</v>
      </c>
      <c r="X18" s="397">
        <f t="shared" si="8"/>
        <v>0</v>
      </c>
      <c r="Y18" s="397">
        <f t="shared" si="9"/>
        <v>0</v>
      </c>
      <c r="Z18" s="396"/>
      <c r="AA18" s="397">
        <f>W18*(1-固定資本!N18)</f>
        <v>0</v>
      </c>
      <c r="AB18" s="397">
        <f>X18*(1-固定資本!N18)</f>
        <v>0</v>
      </c>
      <c r="AC18" s="397">
        <f t="shared" si="10"/>
        <v>0</v>
      </c>
      <c r="AD18" s="399"/>
      <c r="AE18" s="400">
        <f>(I18+K18+T18)*係数!H18/1000</f>
        <v>0</v>
      </c>
      <c r="AF18" s="399"/>
      <c r="AG18" s="400">
        <f>(I18+K18+T18)*係数!I18/1000</f>
        <v>0</v>
      </c>
    </row>
    <row r="19" spans="1:33">
      <c r="A19" s="381"/>
      <c r="B19" s="394">
        <v>14</v>
      </c>
      <c r="C19" s="395" t="s">
        <v>35</v>
      </c>
      <c r="D19" s="396"/>
      <c r="E19" s="397">
        <f>固定資本!P19*$E$35</f>
        <v>0</v>
      </c>
      <c r="F19" s="398">
        <f>係数!D19</f>
        <v>0.10302625374160312</v>
      </c>
      <c r="G19" s="397">
        <f t="shared" si="0"/>
        <v>0</v>
      </c>
      <c r="H19" s="398">
        <f>固定資本!M19</f>
        <v>1.2388031845846939</v>
      </c>
      <c r="I19" s="396"/>
      <c r="J19" s="397">
        <f t="shared" si="1"/>
        <v>0</v>
      </c>
      <c r="K19" s="507">
        <v>0</v>
      </c>
      <c r="L19" s="397">
        <f t="shared" si="2"/>
        <v>0</v>
      </c>
      <c r="M19" s="398">
        <f>係数!E19+係数!F19</f>
        <v>0.14595039020468203</v>
      </c>
      <c r="N19" s="397">
        <f t="shared" si="3"/>
        <v>0</v>
      </c>
      <c r="Q19" s="398">
        <f>係数!G19</f>
        <v>6.9819974646785927E-3</v>
      </c>
      <c r="R19" s="397">
        <f t="shared" si="4"/>
        <v>0</v>
      </c>
      <c r="S19" s="397">
        <f t="shared" si="5"/>
        <v>0</v>
      </c>
      <c r="T19" s="507">
        <v>0</v>
      </c>
      <c r="U19" s="397">
        <f t="shared" si="6"/>
        <v>0</v>
      </c>
      <c r="V19" s="396"/>
      <c r="W19" s="397">
        <f t="shared" si="7"/>
        <v>0</v>
      </c>
      <c r="X19" s="397">
        <f t="shared" si="8"/>
        <v>0</v>
      </c>
      <c r="Y19" s="397">
        <f t="shared" si="9"/>
        <v>0</v>
      </c>
      <c r="Z19" s="396"/>
      <c r="AA19" s="397">
        <f>W19*(1-固定資本!N19)</f>
        <v>0</v>
      </c>
      <c r="AB19" s="397">
        <f>X19*(1-固定資本!N19)</f>
        <v>0</v>
      </c>
      <c r="AC19" s="397">
        <f t="shared" si="10"/>
        <v>0</v>
      </c>
      <c r="AD19" s="399"/>
      <c r="AE19" s="400">
        <f>(I19+K19+T19)*係数!H19/1000</f>
        <v>0</v>
      </c>
      <c r="AF19" s="399"/>
      <c r="AG19" s="400">
        <f>(I19+K19+T19)*係数!I19/1000</f>
        <v>0</v>
      </c>
    </row>
    <row r="20" spans="1:33">
      <c r="A20" s="381"/>
      <c r="B20" s="394">
        <v>15</v>
      </c>
      <c r="C20" s="395" t="s">
        <v>36</v>
      </c>
      <c r="D20" s="396"/>
      <c r="E20" s="397">
        <f>固定資本!P20*$E$35</f>
        <v>0</v>
      </c>
      <c r="F20" s="398">
        <f>係数!D20</f>
        <v>0.67936669965790486</v>
      </c>
      <c r="G20" s="397">
        <f t="shared" si="0"/>
        <v>0</v>
      </c>
      <c r="H20" s="398">
        <f>固定資本!M20</f>
        <v>1.003720355693317</v>
      </c>
      <c r="I20" s="396"/>
      <c r="J20" s="397">
        <f t="shared" si="1"/>
        <v>0</v>
      </c>
      <c r="K20" s="507">
        <v>0</v>
      </c>
      <c r="L20" s="397">
        <f t="shared" si="2"/>
        <v>0</v>
      </c>
      <c r="M20" s="398">
        <f>係数!E20+係数!F20</f>
        <v>0.28007426830551196</v>
      </c>
      <c r="N20" s="397">
        <f t="shared" si="3"/>
        <v>0</v>
      </c>
      <c r="Q20" s="398">
        <f>係数!G20</f>
        <v>5.0145811356273627E-2</v>
      </c>
      <c r="R20" s="397">
        <f t="shared" si="4"/>
        <v>0</v>
      </c>
      <c r="S20" s="397">
        <f t="shared" si="5"/>
        <v>0</v>
      </c>
      <c r="T20" s="507">
        <v>0</v>
      </c>
      <c r="U20" s="397">
        <f t="shared" si="6"/>
        <v>0</v>
      </c>
      <c r="V20" s="396"/>
      <c r="W20" s="397">
        <f t="shared" si="7"/>
        <v>0</v>
      </c>
      <c r="X20" s="397">
        <f t="shared" si="8"/>
        <v>0</v>
      </c>
      <c r="Y20" s="397">
        <f t="shared" si="9"/>
        <v>0</v>
      </c>
      <c r="Z20" s="396"/>
      <c r="AA20" s="397">
        <f>W20*(1-固定資本!N20)</f>
        <v>0</v>
      </c>
      <c r="AB20" s="397">
        <f>X20*(1-固定資本!N20)</f>
        <v>0</v>
      </c>
      <c r="AC20" s="397">
        <f t="shared" si="10"/>
        <v>0</v>
      </c>
      <c r="AD20" s="399"/>
      <c r="AE20" s="400">
        <f>(I20+K20+T20)*係数!H20/1000</f>
        <v>0</v>
      </c>
      <c r="AF20" s="399"/>
      <c r="AG20" s="400">
        <f>(I20+K20+T20)*係数!I20/1000</f>
        <v>0</v>
      </c>
    </row>
    <row r="21" spans="1:33">
      <c r="A21" s="381"/>
      <c r="B21" s="394">
        <v>16</v>
      </c>
      <c r="C21" s="395" t="s">
        <v>37</v>
      </c>
      <c r="D21" s="396"/>
      <c r="E21" s="397">
        <f>固定資本!P21*$E$35</f>
        <v>0</v>
      </c>
      <c r="F21" s="398">
        <f>係数!D21</f>
        <v>0.60906182273111553</v>
      </c>
      <c r="G21" s="397">
        <f t="shared" si="0"/>
        <v>0</v>
      </c>
      <c r="H21" s="398">
        <f>固定資本!M21</f>
        <v>1.0282762846622628</v>
      </c>
      <c r="I21" s="396"/>
      <c r="J21" s="397">
        <f t="shared" si="1"/>
        <v>0</v>
      </c>
      <c r="K21" s="507">
        <v>0</v>
      </c>
      <c r="L21" s="397">
        <f t="shared" si="2"/>
        <v>0</v>
      </c>
      <c r="M21" s="398">
        <f>係数!E21+係数!F21</f>
        <v>0.38223631055359558</v>
      </c>
      <c r="N21" s="397">
        <f t="shared" si="3"/>
        <v>0</v>
      </c>
      <c r="Q21" s="398">
        <f>係数!G21</f>
        <v>7.5600973032154017E-2</v>
      </c>
      <c r="R21" s="397">
        <f t="shared" si="4"/>
        <v>0</v>
      </c>
      <c r="S21" s="397">
        <f t="shared" si="5"/>
        <v>0</v>
      </c>
      <c r="T21" s="507">
        <v>0</v>
      </c>
      <c r="U21" s="397">
        <f t="shared" si="6"/>
        <v>0</v>
      </c>
      <c r="V21" s="396"/>
      <c r="W21" s="397">
        <f t="shared" si="7"/>
        <v>0</v>
      </c>
      <c r="X21" s="397">
        <f t="shared" si="8"/>
        <v>0</v>
      </c>
      <c r="Y21" s="397">
        <f t="shared" si="9"/>
        <v>0</v>
      </c>
      <c r="Z21" s="396"/>
      <c r="AA21" s="397">
        <f>W21*(1-固定資本!N21)</f>
        <v>0</v>
      </c>
      <c r="AB21" s="397">
        <f>X21*(1-固定資本!N21)</f>
        <v>0</v>
      </c>
      <c r="AC21" s="397">
        <f t="shared" si="10"/>
        <v>0</v>
      </c>
      <c r="AD21" s="399"/>
      <c r="AE21" s="400">
        <f>(I21+K21+T21)*係数!H21/1000</f>
        <v>0</v>
      </c>
      <c r="AF21" s="399"/>
      <c r="AG21" s="400">
        <f>(I21+K21+T21)*係数!I21/1000</f>
        <v>0</v>
      </c>
    </row>
    <row r="22" spans="1:33">
      <c r="A22" s="381"/>
      <c r="B22" s="394">
        <v>17</v>
      </c>
      <c r="C22" s="395" t="s">
        <v>460</v>
      </c>
      <c r="D22" s="396"/>
      <c r="E22" s="397">
        <f>固定資本!P22*$E$35</f>
        <v>0</v>
      </c>
      <c r="F22" s="398">
        <f>係数!D22</f>
        <v>1</v>
      </c>
      <c r="G22" s="397">
        <f t="shared" si="0"/>
        <v>0</v>
      </c>
      <c r="H22" s="398">
        <f>固定資本!M22</f>
        <v>1.0028003529063936</v>
      </c>
      <c r="I22" s="396"/>
      <c r="J22" s="397">
        <f t="shared" si="1"/>
        <v>0</v>
      </c>
      <c r="K22" s="507">
        <v>0</v>
      </c>
      <c r="L22" s="397">
        <f t="shared" si="2"/>
        <v>0</v>
      </c>
      <c r="M22" s="398">
        <f>係数!E22+係数!F22</f>
        <v>0.41348880007681132</v>
      </c>
      <c r="N22" s="397">
        <f t="shared" si="3"/>
        <v>0</v>
      </c>
      <c r="Q22" s="398">
        <f>係数!G22</f>
        <v>0.20310389470480342</v>
      </c>
      <c r="R22" s="397">
        <f t="shared" si="4"/>
        <v>0</v>
      </c>
      <c r="S22" s="397">
        <f t="shared" si="5"/>
        <v>0</v>
      </c>
      <c r="T22" s="507">
        <v>0</v>
      </c>
      <c r="U22" s="397">
        <f t="shared" si="6"/>
        <v>0</v>
      </c>
      <c r="V22" s="396"/>
      <c r="W22" s="397">
        <f t="shared" si="7"/>
        <v>0</v>
      </c>
      <c r="X22" s="397">
        <f t="shared" si="8"/>
        <v>0</v>
      </c>
      <c r="Y22" s="397">
        <f t="shared" si="9"/>
        <v>0</v>
      </c>
      <c r="Z22" s="396"/>
      <c r="AA22" s="397">
        <f>W22*(1-固定資本!N22)</f>
        <v>0</v>
      </c>
      <c r="AB22" s="397">
        <f>X22*(1-固定資本!N22)</f>
        <v>0</v>
      </c>
      <c r="AC22" s="397">
        <f t="shared" si="10"/>
        <v>0</v>
      </c>
      <c r="AD22" s="399"/>
      <c r="AE22" s="400">
        <f>(I22+K22+T22)*係数!H22/1000</f>
        <v>0</v>
      </c>
      <c r="AF22" s="399"/>
      <c r="AG22" s="400">
        <f>(I22+K22+T22)*係数!I22/1000</f>
        <v>0</v>
      </c>
    </row>
    <row r="23" spans="1:33">
      <c r="A23" s="381"/>
      <c r="B23" s="394">
        <v>18</v>
      </c>
      <c r="C23" s="395" t="s">
        <v>38</v>
      </c>
      <c r="D23" s="396"/>
      <c r="E23" s="397">
        <f>固定資本!P23*$E$35</f>
        <v>0</v>
      </c>
      <c r="F23" s="398">
        <f>係数!D23</f>
        <v>1</v>
      </c>
      <c r="G23" s="397">
        <f t="shared" si="0"/>
        <v>0</v>
      </c>
      <c r="H23" s="398">
        <f>固定資本!M23</f>
        <v>1.0882606993166555</v>
      </c>
      <c r="I23" s="396"/>
      <c r="J23" s="397">
        <f t="shared" si="1"/>
        <v>0</v>
      </c>
      <c r="K23" s="507">
        <v>0</v>
      </c>
      <c r="L23" s="397">
        <f t="shared" si="2"/>
        <v>0</v>
      </c>
      <c r="M23" s="398">
        <f>係数!E23+係数!F23</f>
        <v>0</v>
      </c>
      <c r="N23" s="397">
        <f t="shared" si="3"/>
        <v>0</v>
      </c>
      <c r="Q23" s="398">
        <f>係数!G23</f>
        <v>0</v>
      </c>
      <c r="R23" s="397">
        <f t="shared" ref="R23:R26" si="11">Q23*$P$30</f>
        <v>0</v>
      </c>
      <c r="S23" s="397">
        <f t="shared" si="5"/>
        <v>0</v>
      </c>
      <c r="T23" s="507">
        <v>0</v>
      </c>
      <c r="U23" s="397">
        <f t="shared" si="6"/>
        <v>0</v>
      </c>
      <c r="V23" s="396"/>
      <c r="W23" s="397">
        <f t="shared" si="7"/>
        <v>0</v>
      </c>
      <c r="X23" s="397">
        <f t="shared" si="8"/>
        <v>0</v>
      </c>
      <c r="Y23" s="397">
        <f t="shared" si="9"/>
        <v>0</v>
      </c>
      <c r="Z23" s="396"/>
      <c r="AA23" s="397">
        <f>W23*(1-固定資本!N23)</f>
        <v>0</v>
      </c>
      <c r="AB23" s="397">
        <f>X23*(1-固定資本!N23)</f>
        <v>0</v>
      </c>
      <c r="AC23" s="397">
        <f t="shared" si="10"/>
        <v>0</v>
      </c>
      <c r="AD23" s="399"/>
      <c r="AE23" s="400">
        <f>(I23+K23+T23)*係数!H23/1000</f>
        <v>0</v>
      </c>
      <c r="AF23" s="399"/>
      <c r="AG23" s="400">
        <f>(I23+K23+T23)*係数!I23/1000</f>
        <v>0</v>
      </c>
    </row>
    <row r="24" spans="1:33">
      <c r="A24" s="381"/>
      <c r="B24" s="394">
        <v>19</v>
      </c>
      <c r="C24" s="395" t="s">
        <v>39</v>
      </c>
      <c r="D24" s="396"/>
      <c r="E24" s="397">
        <f>固定資本!P24*$E$35</f>
        <v>0</v>
      </c>
      <c r="F24" s="398">
        <f>係数!D24</f>
        <v>1</v>
      </c>
      <c r="G24" s="397">
        <f t="shared" si="0"/>
        <v>0</v>
      </c>
      <c r="H24" s="398">
        <f>固定資本!M24</f>
        <v>1.0287413518373496</v>
      </c>
      <c r="I24" s="396"/>
      <c r="J24" s="397">
        <f t="shared" si="1"/>
        <v>0</v>
      </c>
      <c r="K24" s="507">
        <v>0</v>
      </c>
      <c r="L24" s="397">
        <f t="shared" si="2"/>
        <v>0</v>
      </c>
      <c r="M24" s="398">
        <f>係数!E24+係数!F24</f>
        <v>0</v>
      </c>
      <c r="N24" s="397">
        <f t="shared" si="3"/>
        <v>0</v>
      </c>
      <c r="Q24" s="398">
        <f>係数!G24</f>
        <v>0</v>
      </c>
      <c r="R24" s="397">
        <f t="shared" si="11"/>
        <v>0</v>
      </c>
      <c r="S24" s="397">
        <f t="shared" si="5"/>
        <v>0</v>
      </c>
      <c r="T24" s="507">
        <v>0</v>
      </c>
      <c r="U24" s="397">
        <f t="shared" si="6"/>
        <v>0</v>
      </c>
      <c r="V24" s="396"/>
      <c r="W24" s="397">
        <f t="shared" si="7"/>
        <v>0</v>
      </c>
      <c r="X24" s="397">
        <f t="shared" si="8"/>
        <v>0</v>
      </c>
      <c r="Y24" s="397">
        <f t="shared" si="9"/>
        <v>0</v>
      </c>
      <c r="Z24" s="396"/>
      <c r="AA24" s="397">
        <f>W24*(1-固定資本!N24)</f>
        <v>0</v>
      </c>
      <c r="AB24" s="397">
        <f>X24*(1-固定資本!N24)</f>
        <v>0</v>
      </c>
      <c r="AC24" s="397">
        <f t="shared" si="10"/>
        <v>0</v>
      </c>
      <c r="AD24" s="399"/>
      <c r="AE24" s="400">
        <f>(I24+K24+T24)*係数!H24/1000</f>
        <v>0</v>
      </c>
      <c r="AF24" s="399"/>
      <c r="AG24" s="400">
        <f>(I24+K24+T24)*係数!I24/1000</f>
        <v>0</v>
      </c>
    </row>
    <row r="25" spans="1:33">
      <c r="A25" s="381"/>
      <c r="B25" s="403">
        <v>20</v>
      </c>
      <c r="C25" s="404" t="s">
        <v>40</v>
      </c>
      <c r="D25" s="405"/>
      <c r="E25" s="406">
        <f>固定資本!P25*$E$35</f>
        <v>0</v>
      </c>
      <c r="F25" s="407">
        <f>係数!D25</f>
        <v>0.86001495909806924</v>
      </c>
      <c r="G25" s="406">
        <f t="shared" si="0"/>
        <v>0</v>
      </c>
      <c r="H25" s="408">
        <f>固定資本!M25</f>
        <v>1.0462282109380405</v>
      </c>
      <c r="I25" s="405"/>
      <c r="J25" s="406">
        <f t="shared" si="1"/>
        <v>0</v>
      </c>
      <c r="K25" s="508">
        <v>0</v>
      </c>
      <c r="L25" s="406">
        <f t="shared" si="2"/>
        <v>0</v>
      </c>
      <c r="M25" s="408">
        <f>係数!E25+係数!F25</f>
        <v>0.56668329190038969</v>
      </c>
      <c r="N25" s="406">
        <f t="shared" si="3"/>
        <v>0</v>
      </c>
      <c r="Q25" s="407">
        <f>係数!G25</f>
        <v>8.4525283964417709E-6</v>
      </c>
      <c r="R25" s="406">
        <f t="shared" si="11"/>
        <v>0</v>
      </c>
      <c r="S25" s="406">
        <f t="shared" si="5"/>
        <v>0</v>
      </c>
      <c r="T25" s="508">
        <v>0</v>
      </c>
      <c r="U25" s="406">
        <f t="shared" si="6"/>
        <v>0</v>
      </c>
      <c r="V25" s="405"/>
      <c r="W25" s="406">
        <f t="shared" si="7"/>
        <v>0</v>
      </c>
      <c r="X25" s="406">
        <f t="shared" si="8"/>
        <v>0</v>
      </c>
      <c r="Y25" s="406">
        <f t="shared" si="9"/>
        <v>0</v>
      </c>
      <c r="Z25" s="405"/>
      <c r="AA25" s="406">
        <f>W25*(1-固定資本!N25)</f>
        <v>0</v>
      </c>
      <c r="AB25" s="406">
        <f>X25*(1-固定資本!N25)</f>
        <v>0</v>
      </c>
      <c r="AC25" s="406">
        <f t="shared" si="10"/>
        <v>0</v>
      </c>
      <c r="AD25" s="409"/>
      <c r="AE25" s="410">
        <f>(I25+K25+T25)*係数!H25/1000</f>
        <v>0</v>
      </c>
      <c r="AF25" s="409"/>
      <c r="AG25" s="410">
        <f>(I25+K25+T25)*係数!I25/1000</f>
        <v>0</v>
      </c>
    </row>
    <row r="26" spans="1:33">
      <c r="A26" s="381"/>
      <c r="B26" s="403">
        <v>70</v>
      </c>
      <c r="C26" s="404" t="s">
        <v>458</v>
      </c>
      <c r="D26" s="411"/>
      <c r="E26" s="412">
        <f>固定資本!P26*$E$35</f>
        <v>0</v>
      </c>
      <c r="F26" s="413"/>
      <c r="G26" s="412">
        <f>SUM(G6:G25)</f>
        <v>0</v>
      </c>
      <c r="H26" s="270"/>
      <c r="J26" s="412">
        <f>SUM(J6:J25)</f>
        <v>0</v>
      </c>
      <c r="K26" s="412">
        <f>SUM(K6:K25)</f>
        <v>0</v>
      </c>
      <c r="L26" s="412">
        <f>SUM(L6:L25)</f>
        <v>0</v>
      </c>
      <c r="N26" s="412">
        <f>SUM(N6:N25)</f>
        <v>0</v>
      </c>
      <c r="Q26" s="414">
        <f>係数!G26</f>
        <v>1</v>
      </c>
      <c r="R26" s="412">
        <f t="shared" si="11"/>
        <v>0</v>
      </c>
      <c r="S26" s="412">
        <f>SUM(S6:S25)</f>
        <v>0</v>
      </c>
      <c r="T26" s="412">
        <f>SUM(T6:T25)</f>
        <v>0</v>
      </c>
      <c r="U26" s="412">
        <f>SUM(U6:U25)</f>
        <v>0</v>
      </c>
      <c r="V26" s="412">
        <f t="shared" ref="V26:AE26" si="12">SUM(V6:V25)</f>
        <v>0</v>
      </c>
      <c r="W26" s="412">
        <f t="shared" si="12"/>
        <v>0</v>
      </c>
      <c r="X26" s="412">
        <f t="shared" si="12"/>
        <v>0</v>
      </c>
      <c r="Y26" s="412">
        <f t="shared" si="12"/>
        <v>0</v>
      </c>
      <c r="Z26" s="412">
        <f t="shared" si="12"/>
        <v>0</v>
      </c>
      <c r="AA26" s="412">
        <f t="shared" si="12"/>
        <v>0</v>
      </c>
      <c r="AB26" s="412">
        <f t="shared" si="12"/>
        <v>0</v>
      </c>
      <c r="AC26" s="412">
        <f t="shared" si="12"/>
        <v>0</v>
      </c>
      <c r="AD26" s="415">
        <f t="shared" si="12"/>
        <v>0</v>
      </c>
      <c r="AE26" s="415">
        <f t="shared" si="12"/>
        <v>0</v>
      </c>
      <c r="AF26" s="415">
        <f>SUM(AF6:AF25)</f>
        <v>0</v>
      </c>
      <c r="AG26" s="415">
        <f>SUM(AG6:AG25)</f>
        <v>0</v>
      </c>
    </row>
    <row r="27" spans="1:33">
      <c r="A27" s="381"/>
      <c r="B27" s="416">
        <v>71</v>
      </c>
      <c r="C27" s="417" t="s">
        <v>94</v>
      </c>
      <c r="D27" s="259"/>
      <c r="E27" s="418">
        <f>固定資本!P27*$E$35</f>
        <v>0</v>
      </c>
      <c r="F27" s="289"/>
      <c r="H27" s="269"/>
      <c r="J27" s="269"/>
      <c r="N27" s="277" t="s">
        <v>124</v>
      </c>
      <c r="O27" s="277" t="s">
        <v>125</v>
      </c>
      <c r="P27" s="277" t="s">
        <v>126</v>
      </c>
    </row>
    <row r="28" spans="1:33">
      <c r="A28" s="381"/>
      <c r="B28" s="394">
        <v>91</v>
      </c>
      <c r="C28" s="395" t="s">
        <v>95</v>
      </c>
      <c r="D28" s="259"/>
      <c r="E28" s="397">
        <f>固定資本!P28*$E$35</f>
        <v>0</v>
      </c>
      <c r="F28" s="274"/>
      <c r="G28" s="259"/>
      <c r="H28" s="414">
        <f>固定資本!M26</f>
        <v>0.98603825064722328</v>
      </c>
      <c r="I28" s="419"/>
      <c r="J28" s="412">
        <f>(E28+E29)/H28</f>
        <v>0</v>
      </c>
      <c r="K28" s="274"/>
      <c r="M28" s="259"/>
      <c r="N28" s="420">
        <f>J28</f>
        <v>0</v>
      </c>
      <c r="O28" s="421">
        <f>固定資本!H6</f>
        <v>0.9410230177254062</v>
      </c>
      <c r="P28" s="421">
        <f>固定資本!I6</f>
        <v>0.78403790917303728</v>
      </c>
      <c r="U28" s="469"/>
      <c r="V28" s="469"/>
      <c r="W28" s="469"/>
      <c r="X28" s="469"/>
      <c r="Y28" s="469"/>
    </row>
    <row r="29" spans="1:33">
      <c r="A29" s="381"/>
      <c r="B29" s="394">
        <v>92</v>
      </c>
      <c r="C29" s="395" t="s">
        <v>96</v>
      </c>
      <c r="D29" s="259"/>
      <c r="E29" s="397">
        <f>固定資本!P29*$E$35</f>
        <v>0</v>
      </c>
      <c r="F29" s="274"/>
      <c r="H29" s="270"/>
      <c r="J29" s="270"/>
      <c r="N29" s="422" t="s">
        <v>123</v>
      </c>
      <c r="O29" s="422" t="s">
        <v>123</v>
      </c>
      <c r="P29" s="422" t="s">
        <v>123</v>
      </c>
      <c r="U29" s="469"/>
      <c r="V29" s="469"/>
      <c r="W29" s="469"/>
      <c r="X29" s="469"/>
      <c r="Y29" s="469"/>
    </row>
    <row r="30" spans="1:33">
      <c r="A30" s="381"/>
      <c r="B30" s="394">
        <v>93</v>
      </c>
      <c r="C30" s="395" t="s">
        <v>97</v>
      </c>
      <c r="D30" s="259"/>
      <c r="E30" s="397">
        <f>固定資本!P30*$E$35</f>
        <v>0</v>
      </c>
      <c r="F30" s="274"/>
      <c r="L30" s="468"/>
      <c r="M30" s="259"/>
      <c r="N30" s="420">
        <f>N26+N28</f>
        <v>0</v>
      </c>
      <c r="O30" s="423">
        <f>N30*O28</f>
        <v>0</v>
      </c>
      <c r="P30" s="423">
        <f>O30*P28</f>
        <v>0</v>
      </c>
    </row>
    <row r="31" spans="1:33">
      <c r="A31" s="381"/>
      <c r="B31" s="394">
        <v>94</v>
      </c>
      <c r="C31" s="424" t="s">
        <v>98</v>
      </c>
      <c r="D31" s="259"/>
      <c r="E31" s="397">
        <f>固定資本!P31*$E$35</f>
        <v>0</v>
      </c>
      <c r="F31" s="274"/>
      <c r="K31" s="469"/>
      <c r="L31" s="468"/>
      <c r="N31" s="270"/>
      <c r="U31" s="468"/>
      <c r="V31" s="468"/>
      <c r="W31" s="468"/>
      <c r="X31" s="468"/>
      <c r="Y31" s="468"/>
    </row>
    <row r="32" spans="1:33">
      <c r="A32" s="381"/>
      <c r="B32" s="394">
        <v>95</v>
      </c>
      <c r="C32" s="395" t="s">
        <v>99</v>
      </c>
      <c r="D32" s="259"/>
      <c r="E32" s="397">
        <f>固定資本!P32*$E$35</f>
        <v>0</v>
      </c>
      <c r="F32" s="274"/>
      <c r="K32" s="469"/>
      <c r="U32" s="468"/>
      <c r="V32" s="468"/>
      <c r="W32" s="468"/>
      <c r="X32" s="468"/>
      <c r="Y32" s="468"/>
    </row>
    <row r="33" spans="1:6">
      <c r="A33" s="381"/>
      <c r="B33" s="425"/>
      <c r="C33" s="426" t="s">
        <v>329</v>
      </c>
      <c r="D33" s="259"/>
      <c r="E33" s="427">
        <f>固定資本!P33*$E$35</f>
        <v>0</v>
      </c>
      <c r="F33" s="274"/>
    </row>
    <row r="34" spans="1:6">
      <c r="A34" s="381"/>
      <c r="B34" s="403">
        <v>96</v>
      </c>
      <c r="C34" s="404" t="s">
        <v>100</v>
      </c>
      <c r="D34" s="259"/>
      <c r="E34" s="412">
        <f>固定資本!P34*$E$35</f>
        <v>0</v>
      </c>
      <c r="F34" s="274"/>
    </row>
    <row r="35" spans="1:6">
      <c r="A35" s="381"/>
      <c r="B35" s="403">
        <v>97</v>
      </c>
      <c r="C35" s="404" t="s">
        <v>101</v>
      </c>
      <c r="D35" s="259"/>
      <c r="E35" s="412">
        <f>D9</f>
        <v>0</v>
      </c>
      <c r="F35" s="274"/>
    </row>
    <row r="36" spans="1:6">
      <c r="A36" s="381"/>
      <c r="B36" s="381"/>
      <c r="C36" s="381"/>
      <c r="E36" s="270"/>
    </row>
    <row r="49" s="155" customFormat="1"/>
    <row r="50" s="155" customFormat="1"/>
    <row r="51" s="155" customFormat="1"/>
    <row r="52" s="155" customFormat="1"/>
    <row r="53" s="155" customFormat="1"/>
    <row r="55" s="155" customFormat="1"/>
    <row r="56" s="155" customFormat="1"/>
    <row r="57" s="155" customFormat="1"/>
    <row r="58" s="155" customFormat="1"/>
    <row r="59" s="155" customFormat="1"/>
    <row r="61" s="155" customFormat="1"/>
    <row r="63" s="155" customFormat="1"/>
    <row r="64" s="155" customFormat="1"/>
    <row r="65" s="155" customFormat="1"/>
    <row r="67" s="155" customFormat="1"/>
    <row r="68" s="155" customFormat="1"/>
    <row r="69" s="155" customFormat="1"/>
    <row r="71" s="155" customFormat="1"/>
    <row r="72" s="155" customFormat="1"/>
    <row r="73" s="155" customFormat="1"/>
    <row r="74" s="155" customFormat="1"/>
    <row r="76" s="155" customFormat="1"/>
    <row r="77" s="155" customFormat="1"/>
    <row r="79" s="155" customFormat="1"/>
    <row r="80" s="155" customFormat="1"/>
    <row r="82" s="155" customFormat="1"/>
    <row r="83" s="155" customFormat="1"/>
    <row r="85" s="155" customFormat="1"/>
    <row r="88" s="155" customFormat="1"/>
    <row r="91" s="155" customFormat="1"/>
    <row r="92" s="155" customFormat="1"/>
    <row r="94" s="155" customFormat="1"/>
    <row r="97" s="155" customFormat="1"/>
    <row r="98" s="155" customFormat="1"/>
    <row r="99" s="155" customFormat="1"/>
    <row r="100" s="155" customFormat="1"/>
    <row r="101" s="155" customFormat="1"/>
    <row r="102" s="155" customFormat="1"/>
    <row r="103" s="155" customFormat="1"/>
    <row r="104" s="155" customFormat="1"/>
    <row r="105" s="155" customFormat="1"/>
    <row r="106" s="155" customFormat="1"/>
    <row r="107" s="155" customFormat="1"/>
    <row r="108" s="155" customFormat="1"/>
    <row r="109" s="155" customFormat="1"/>
    <row r="110" s="155" customFormat="1"/>
    <row r="111" s="155" customFormat="1"/>
    <row r="112" s="155" customFormat="1"/>
    <row r="113" s="155" customFormat="1"/>
    <row r="115" s="155" customFormat="1"/>
    <row r="116" s="155" customFormat="1"/>
    <row r="117" s="155" customFormat="1"/>
    <row r="119" s="155" customFormat="1"/>
    <row r="120" s="155" customFormat="1"/>
    <row r="121" s="155" customFormat="1"/>
    <row r="122" s="155" customFormat="1"/>
    <row r="123" s="155" customFormat="1"/>
    <row r="124" s="155" customFormat="1"/>
    <row r="125" s="155" customFormat="1"/>
    <row r="127" s="155" customFormat="1"/>
    <row r="129" s="155" customFormat="1"/>
  </sheetData>
  <sheetProtection sheet="1" objects="1" scenarios="1"/>
  <mergeCells count="35">
    <mergeCell ref="AF2:AG2"/>
    <mergeCell ref="Z3:Z4"/>
    <mergeCell ref="AA3:AA4"/>
    <mergeCell ref="AB3:AB4"/>
    <mergeCell ref="AC3:AC4"/>
    <mergeCell ref="AF3:AF4"/>
    <mergeCell ref="AG3:AG4"/>
    <mergeCell ref="AD2:AE2"/>
    <mergeCell ref="AD3:AD4"/>
    <mergeCell ref="AE3:AE4"/>
    <mergeCell ref="P2:P4"/>
    <mergeCell ref="Q2:Q4"/>
    <mergeCell ref="R2:R4"/>
    <mergeCell ref="V2:Y2"/>
    <mergeCell ref="Z2:AC2"/>
    <mergeCell ref="V3:V4"/>
    <mergeCell ref="W3:W4"/>
    <mergeCell ref="X3:X4"/>
    <mergeCell ref="Y3:Y4"/>
    <mergeCell ref="T2:T4"/>
    <mergeCell ref="U2:U3"/>
    <mergeCell ref="S2:S4"/>
    <mergeCell ref="G2:G4"/>
    <mergeCell ref="B2:C5"/>
    <mergeCell ref="D2:D4"/>
    <mergeCell ref="E2:E4"/>
    <mergeCell ref="F2:F4"/>
    <mergeCell ref="M2:M4"/>
    <mergeCell ref="N2:N4"/>
    <mergeCell ref="O2:O4"/>
    <mergeCell ref="H2:H4"/>
    <mergeCell ref="I2:I3"/>
    <mergeCell ref="J2:J3"/>
    <mergeCell ref="K2:K4"/>
    <mergeCell ref="L2:L3"/>
  </mergeCells>
  <phoneticPr fontId="27"/>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800000"/>
  </sheetPr>
  <dimension ref="A1:AG129"/>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155" customWidth="1"/>
    <col min="2" max="2" width="6.6328125" style="155" customWidth="1"/>
    <col min="3" max="3" width="21.08984375" style="155" customWidth="1"/>
    <col min="4" max="33" width="12.6328125" style="155" customWidth="1"/>
    <col min="34" max="16384" width="9" style="155"/>
  </cols>
  <sheetData>
    <row r="1" spans="1:33" ht="37.5" customHeight="1">
      <c r="A1" s="381"/>
      <c r="B1" s="382"/>
      <c r="C1" s="383"/>
    </row>
    <row r="2" spans="1:33" ht="17.25" customHeight="1">
      <c r="A2" s="384"/>
      <c r="B2" s="649" t="s">
        <v>196</v>
      </c>
      <c r="C2" s="650"/>
      <c r="D2" s="655" t="s">
        <v>331</v>
      </c>
      <c r="E2" s="643" t="s">
        <v>103</v>
      </c>
      <c r="F2" s="643" t="s">
        <v>104</v>
      </c>
      <c r="G2" s="643" t="s">
        <v>334</v>
      </c>
      <c r="H2" s="643" t="s">
        <v>106</v>
      </c>
      <c r="I2" s="645" t="s">
        <v>102</v>
      </c>
      <c r="J2" s="643" t="s">
        <v>128</v>
      </c>
      <c r="K2" s="643" t="s">
        <v>107</v>
      </c>
      <c r="L2" s="643" t="s">
        <v>107</v>
      </c>
      <c r="M2" s="644" t="s">
        <v>108</v>
      </c>
      <c r="N2" s="643" t="s">
        <v>109</v>
      </c>
      <c r="O2" s="643" t="s">
        <v>110</v>
      </c>
      <c r="P2" s="643" t="s">
        <v>111</v>
      </c>
      <c r="Q2" s="644" t="s">
        <v>112</v>
      </c>
      <c r="R2" s="644" t="s">
        <v>113</v>
      </c>
      <c r="S2" s="643" t="s">
        <v>114</v>
      </c>
      <c r="T2" s="643" t="s">
        <v>115</v>
      </c>
      <c r="U2" s="643" t="s">
        <v>115</v>
      </c>
      <c r="V2" s="644" t="s">
        <v>116</v>
      </c>
      <c r="W2" s="644"/>
      <c r="X2" s="644"/>
      <c r="Y2" s="644"/>
      <c r="Z2" s="657" t="s">
        <v>117</v>
      </c>
      <c r="AA2" s="657"/>
      <c r="AB2" s="657"/>
      <c r="AC2" s="657"/>
      <c r="AD2" s="662" t="s">
        <v>119</v>
      </c>
      <c r="AE2" s="663"/>
      <c r="AF2" s="662" t="s">
        <v>118</v>
      </c>
      <c r="AG2" s="663"/>
    </row>
    <row r="3" spans="1:33">
      <c r="A3" s="384"/>
      <c r="B3" s="651"/>
      <c r="C3" s="652"/>
      <c r="D3" s="656"/>
      <c r="E3" s="644"/>
      <c r="F3" s="644"/>
      <c r="G3" s="644"/>
      <c r="H3" s="644"/>
      <c r="I3" s="646"/>
      <c r="J3" s="644"/>
      <c r="K3" s="644"/>
      <c r="L3" s="643"/>
      <c r="M3" s="644"/>
      <c r="N3" s="643"/>
      <c r="O3" s="643"/>
      <c r="P3" s="644"/>
      <c r="Q3" s="644"/>
      <c r="R3" s="644"/>
      <c r="S3" s="644"/>
      <c r="T3" s="644"/>
      <c r="U3" s="643"/>
      <c r="V3" s="657" t="s">
        <v>120</v>
      </c>
      <c r="W3" s="658" t="s">
        <v>107</v>
      </c>
      <c r="X3" s="658" t="s">
        <v>115</v>
      </c>
      <c r="Y3" s="644" t="s">
        <v>121</v>
      </c>
      <c r="Z3" s="657" t="s">
        <v>120</v>
      </c>
      <c r="AA3" s="658" t="s">
        <v>107</v>
      </c>
      <c r="AB3" s="658" t="s">
        <v>115</v>
      </c>
      <c r="AC3" s="657" t="s">
        <v>121</v>
      </c>
      <c r="AD3" s="659" t="s">
        <v>120</v>
      </c>
      <c r="AE3" s="647" t="s">
        <v>121</v>
      </c>
      <c r="AF3" s="659" t="s">
        <v>120</v>
      </c>
      <c r="AG3" s="647" t="s">
        <v>121</v>
      </c>
    </row>
    <row r="4" spans="1:33">
      <c r="A4" s="384"/>
      <c r="B4" s="651"/>
      <c r="C4" s="652"/>
      <c r="D4" s="656"/>
      <c r="E4" s="644"/>
      <c r="F4" s="644"/>
      <c r="G4" s="644"/>
      <c r="H4" s="644"/>
      <c r="I4" s="385" t="s">
        <v>122</v>
      </c>
      <c r="J4" s="644"/>
      <c r="K4" s="644"/>
      <c r="L4" s="385" t="s">
        <v>122</v>
      </c>
      <c r="M4" s="644"/>
      <c r="N4" s="643"/>
      <c r="O4" s="643"/>
      <c r="P4" s="644"/>
      <c r="Q4" s="644"/>
      <c r="R4" s="644"/>
      <c r="S4" s="644"/>
      <c r="T4" s="644"/>
      <c r="U4" s="385" t="s">
        <v>122</v>
      </c>
      <c r="V4" s="657"/>
      <c r="W4" s="658"/>
      <c r="X4" s="658"/>
      <c r="Y4" s="644"/>
      <c r="Z4" s="657"/>
      <c r="AA4" s="658"/>
      <c r="AB4" s="658"/>
      <c r="AC4" s="657"/>
      <c r="AD4" s="660"/>
      <c r="AE4" s="661"/>
      <c r="AF4" s="660"/>
      <c r="AG4" s="661"/>
    </row>
    <row r="5" spans="1:33">
      <c r="A5" s="384"/>
      <c r="B5" s="653"/>
      <c r="C5" s="654"/>
      <c r="D5" s="387">
        <f>固定資本!$F$6</f>
        <v>2025</v>
      </c>
      <c r="E5" s="387">
        <f>固定資本!$F$6</f>
        <v>2025</v>
      </c>
      <c r="F5" s="388"/>
      <c r="G5" s="387">
        <f>固定資本!$F$6</f>
        <v>2025</v>
      </c>
      <c r="H5" s="386"/>
      <c r="I5" s="389">
        <v>2020</v>
      </c>
      <c r="J5" s="389">
        <v>2020</v>
      </c>
      <c r="K5" s="389">
        <v>2020</v>
      </c>
      <c r="L5" s="387">
        <f>固定資本!$F$6</f>
        <v>2025</v>
      </c>
      <c r="M5" s="390"/>
      <c r="N5" s="389">
        <v>2020</v>
      </c>
      <c r="O5" s="391"/>
      <c r="P5" s="391"/>
      <c r="Q5" s="388"/>
      <c r="R5" s="389">
        <v>2020</v>
      </c>
      <c r="S5" s="389">
        <v>2020</v>
      </c>
      <c r="T5" s="389">
        <v>2020</v>
      </c>
      <c r="U5" s="387">
        <f>固定資本!$F$6</f>
        <v>2025</v>
      </c>
      <c r="V5" s="387">
        <f>固定資本!$F$6</f>
        <v>2025</v>
      </c>
      <c r="W5" s="387">
        <f>固定資本!$F$6</f>
        <v>2025</v>
      </c>
      <c r="X5" s="387">
        <f>固定資本!$F$6</f>
        <v>2025</v>
      </c>
      <c r="Y5" s="387">
        <f>固定資本!$F$6</f>
        <v>2025</v>
      </c>
      <c r="Z5" s="387">
        <f>固定資本!$F$6</f>
        <v>2025</v>
      </c>
      <c r="AA5" s="387">
        <f>固定資本!$F$6</f>
        <v>2025</v>
      </c>
      <c r="AB5" s="387">
        <f>固定資本!$F$6</f>
        <v>2025</v>
      </c>
      <c r="AC5" s="387">
        <f>固定資本!$F$6</f>
        <v>2025</v>
      </c>
      <c r="AD5" s="392"/>
      <c r="AE5" s="393"/>
      <c r="AF5" s="392"/>
      <c r="AG5" s="393"/>
    </row>
    <row r="6" spans="1:33">
      <c r="A6" s="381"/>
      <c r="B6" s="394">
        <v>1</v>
      </c>
      <c r="C6" s="395" t="s">
        <v>330</v>
      </c>
      <c r="D6" s="397">
        <f>IF(B6=入力!$F$30,入力!$D$16,0)</f>
        <v>0</v>
      </c>
      <c r="E6" s="397">
        <f t="array" ref="E6:E25">MMULT(固定資本!Q6:AJ25,D6:D25)</f>
        <v>0</v>
      </c>
      <c r="F6" s="398">
        <f>係数!D6</f>
        <v>0.18042550811978708</v>
      </c>
      <c r="G6" s="397">
        <f>E6*F6</f>
        <v>0</v>
      </c>
      <c r="H6" s="398">
        <f>固定資本!M6</f>
        <v>1.0104808178894849</v>
      </c>
      <c r="I6" s="401">
        <f>G6/H6</f>
        <v>0</v>
      </c>
      <c r="J6" s="507">
        <f t="array" ref="J6:J25">MMULT(係数!J6:AC25,I6:I25)</f>
        <v>0</v>
      </c>
      <c r="K6" s="397">
        <f>J6-I6</f>
        <v>0</v>
      </c>
      <c r="L6" s="397">
        <f t="shared" ref="L6:L25" si="0">H6*K6</f>
        <v>0</v>
      </c>
      <c r="M6" s="398">
        <f>係数!E6+係数!F6</f>
        <v>0.34729264892287653</v>
      </c>
      <c r="N6" s="397">
        <f>J6*M6</f>
        <v>0</v>
      </c>
      <c r="Q6" s="398">
        <f>係数!G6</f>
        <v>1.2640050582432142E-2</v>
      </c>
      <c r="R6" s="397">
        <f>Q6*$P$30</f>
        <v>0</v>
      </c>
      <c r="S6" s="397">
        <f t="shared" ref="S6:S25" si="1">F6*R6</f>
        <v>0</v>
      </c>
      <c r="T6" s="507">
        <f t="array" ref="T6:T25">MMULT(係数!J6:AC25,S6:S25)</f>
        <v>0</v>
      </c>
      <c r="U6" s="397">
        <f t="shared" ref="U6:U25" si="2">H6*T6</f>
        <v>0</v>
      </c>
      <c r="V6" s="429">
        <f t="shared" ref="V6:V25" si="3">G6</f>
        <v>0</v>
      </c>
      <c r="W6" s="397">
        <f>L6</f>
        <v>0</v>
      </c>
      <c r="X6" s="397">
        <f>U6</f>
        <v>0</v>
      </c>
      <c r="Y6" s="397">
        <f>SUM(V6:X6)</f>
        <v>0</v>
      </c>
      <c r="Z6" s="401">
        <f>V6*(1-固定資本!N6)</f>
        <v>0</v>
      </c>
      <c r="AA6" s="397">
        <f>W6*(1-固定資本!N6)</f>
        <v>0</v>
      </c>
      <c r="AB6" s="397">
        <f>X6*(1-固定資本!N6)</f>
        <v>0</v>
      </c>
      <c r="AC6" s="397">
        <f>SUM(Z6:AB6)</f>
        <v>0</v>
      </c>
      <c r="AD6" s="402">
        <f>I6*係数!H6/1000</f>
        <v>0</v>
      </c>
      <c r="AE6" s="400">
        <f>(J6+T6)*係数!H6/1000</f>
        <v>0</v>
      </c>
      <c r="AF6" s="402">
        <f>I6*係数!I6/1000</f>
        <v>0</v>
      </c>
      <c r="AG6" s="400">
        <f>(J6+T6)*係数!I6/1000</f>
        <v>0</v>
      </c>
    </row>
    <row r="7" spans="1:33">
      <c r="A7" s="381"/>
      <c r="B7" s="394">
        <v>2</v>
      </c>
      <c r="C7" s="395" t="s">
        <v>23</v>
      </c>
      <c r="D7" s="397">
        <f>IF(B7=入力!$F$30,入力!$D$16,0)</f>
        <v>0</v>
      </c>
      <c r="E7" s="397">
        <v>0</v>
      </c>
      <c r="F7" s="398">
        <f>係数!D7</f>
        <v>3.0160827002289059E-2</v>
      </c>
      <c r="G7" s="397">
        <f t="shared" ref="G7:G25" si="4">E7*F7</f>
        <v>0</v>
      </c>
      <c r="H7" s="398">
        <f>固定資本!M7</f>
        <v>1.3446136564913536</v>
      </c>
      <c r="I7" s="401">
        <f t="shared" ref="I7:I25" si="5">G7/H7</f>
        <v>0</v>
      </c>
      <c r="J7" s="507">
        <v>0</v>
      </c>
      <c r="K7" s="397">
        <f>J7-I7</f>
        <v>0</v>
      </c>
      <c r="L7" s="397">
        <f t="shared" si="0"/>
        <v>0</v>
      </c>
      <c r="M7" s="398">
        <f>係数!E7+係数!F7</f>
        <v>0.26368236033167564</v>
      </c>
      <c r="N7" s="397">
        <f t="shared" ref="N7:N25" si="6">J7*M7</f>
        <v>0</v>
      </c>
      <c r="Q7" s="398">
        <f>係数!G7</f>
        <v>1.4077333551141487E-7</v>
      </c>
      <c r="R7" s="397">
        <f t="shared" ref="R7:R22" si="7">Q7*$P$30</f>
        <v>0</v>
      </c>
      <c r="S7" s="397">
        <f t="shared" si="1"/>
        <v>0</v>
      </c>
      <c r="T7" s="507">
        <v>0</v>
      </c>
      <c r="U7" s="397">
        <f t="shared" si="2"/>
        <v>0</v>
      </c>
      <c r="V7" s="401">
        <f t="shared" si="3"/>
        <v>0</v>
      </c>
      <c r="W7" s="397">
        <f t="shared" ref="W7:W25" si="8">L7</f>
        <v>0</v>
      </c>
      <c r="X7" s="397">
        <f t="shared" ref="X7:X25" si="9">U7</f>
        <v>0</v>
      </c>
      <c r="Y7" s="397">
        <f t="shared" ref="Y7:Y25" si="10">SUM(V7:X7)</f>
        <v>0</v>
      </c>
      <c r="Z7" s="401">
        <f>V7*(1-固定資本!N7)</f>
        <v>0</v>
      </c>
      <c r="AA7" s="397">
        <f>W7*(1-固定資本!N7)</f>
        <v>0</v>
      </c>
      <c r="AB7" s="397">
        <f>X7*(1-固定資本!N7)</f>
        <v>0</v>
      </c>
      <c r="AC7" s="397">
        <f t="shared" ref="AC7:AC25" si="11">SUM(Z7:AB7)</f>
        <v>0</v>
      </c>
      <c r="AD7" s="402">
        <f>I7*係数!H7/1000</f>
        <v>0</v>
      </c>
      <c r="AE7" s="400">
        <f>(J7+T7)*係数!H7/1000</f>
        <v>0</v>
      </c>
      <c r="AF7" s="402">
        <f>I7*係数!I7/1000</f>
        <v>0</v>
      </c>
      <c r="AG7" s="400">
        <f>(J7+T7)*係数!I7/1000</f>
        <v>0</v>
      </c>
    </row>
    <row r="8" spans="1:33">
      <c r="A8" s="381"/>
      <c r="B8" s="394">
        <v>3</v>
      </c>
      <c r="C8" s="395" t="s">
        <v>24</v>
      </c>
      <c r="D8" s="397">
        <f>IF(B8=入力!$F$30,入力!$D$16,0)</f>
        <v>0</v>
      </c>
      <c r="E8" s="397">
        <v>0</v>
      </c>
      <c r="F8" s="398">
        <f>係数!D8</f>
        <v>0.20072013777143771</v>
      </c>
      <c r="G8" s="397">
        <f t="shared" si="4"/>
        <v>0</v>
      </c>
      <c r="H8" s="398">
        <f>固定資本!M8</f>
        <v>1.0806750710483002</v>
      </c>
      <c r="I8" s="401">
        <f t="shared" si="5"/>
        <v>0</v>
      </c>
      <c r="J8" s="507">
        <v>0</v>
      </c>
      <c r="K8" s="397">
        <f t="shared" ref="K8:K25" si="12">J8-I8</f>
        <v>0</v>
      </c>
      <c r="L8" s="397">
        <f t="shared" si="0"/>
        <v>0</v>
      </c>
      <c r="M8" s="398">
        <f>係数!E8+係数!F8</f>
        <v>0.23439218833455738</v>
      </c>
      <c r="N8" s="397">
        <f t="shared" si="6"/>
        <v>0</v>
      </c>
      <c r="Q8" s="398">
        <f>係数!G8</f>
        <v>0.2007953339784751</v>
      </c>
      <c r="R8" s="397">
        <f t="shared" si="7"/>
        <v>0</v>
      </c>
      <c r="S8" s="397">
        <f t="shared" si="1"/>
        <v>0</v>
      </c>
      <c r="T8" s="507">
        <v>0</v>
      </c>
      <c r="U8" s="397">
        <f t="shared" si="2"/>
        <v>0</v>
      </c>
      <c r="V8" s="401">
        <f t="shared" si="3"/>
        <v>0</v>
      </c>
      <c r="W8" s="397">
        <f t="shared" si="8"/>
        <v>0</v>
      </c>
      <c r="X8" s="397">
        <f t="shared" si="9"/>
        <v>0</v>
      </c>
      <c r="Y8" s="397">
        <f t="shared" si="10"/>
        <v>0</v>
      </c>
      <c r="Z8" s="401">
        <f>V8*(1-固定資本!N8)</f>
        <v>0</v>
      </c>
      <c r="AA8" s="397">
        <f>W8*(1-固定資本!N8)</f>
        <v>0</v>
      </c>
      <c r="AB8" s="397">
        <f>X8*(1-固定資本!N8)</f>
        <v>0</v>
      </c>
      <c r="AC8" s="397">
        <f t="shared" si="11"/>
        <v>0</v>
      </c>
      <c r="AD8" s="402">
        <f>I8*係数!H8/1000</f>
        <v>0</v>
      </c>
      <c r="AE8" s="400">
        <f>(J8+T8)*係数!H8/1000</f>
        <v>0</v>
      </c>
      <c r="AF8" s="402">
        <f>I8*係数!I8/1000</f>
        <v>0</v>
      </c>
      <c r="AG8" s="400">
        <f>(J8+T8)*係数!I8/1000</f>
        <v>0</v>
      </c>
    </row>
    <row r="9" spans="1:33">
      <c r="A9" s="381"/>
      <c r="B9" s="394">
        <v>4</v>
      </c>
      <c r="C9" s="395" t="s">
        <v>25</v>
      </c>
      <c r="D9" s="397">
        <f>IF(B9=入力!$F$30,入力!$D$16,0)</f>
        <v>0</v>
      </c>
      <c r="E9" s="397">
        <v>0</v>
      </c>
      <c r="F9" s="398">
        <f>係数!D9</f>
        <v>1</v>
      </c>
      <c r="G9" s="397">
        <f t="shared" si="4"/>
        <v>0</v>
      </c>
      <c r="H9" s="398">
        <f>固定資本!M9</f>
        <v>1.0837344351628673</v>
      </c>
      <c r="I9" s="401">
        <f t="shared" si="5"/>
        <v>0</v>
      </c>
      <c r="J9" s="507">
        <v>0</v>
      </c>
      <c r="K9" s="397">
        <f t="shared" si="12"/>
        <v>0</v>
      </c>
      <c r="L9" s="397">
        <f t="shared" si="0"/>
        <v>0</v>
      </c>
      <c r="M9" s="398">
        <f>係数!E9+係数!F9</f>
        <v>0.40192809887703745</v>
      </c>
      <c r="N9" s="397">
        <f t="shared" si="6"/>
        <v>0</v>
      </c>
      <c r="Q9" s="398">
        <f>係数!G9</f>
        <v>0</v>
      </c>
      <c r="R9" s="397">
        <f t="shared" si="7"/>
        <v>0</v>
      </c>
      <c r="S9" s="397">
        <f t="shared" si="1"/>
        <v>0</v>
      </c>
      <c r="T9" s="507">
        <v>0</v>
      </c>
      <c r="U9" s="397">
        <f t="shared" si="2"/>
        <v>0</v>
      </c>
      <c r="V9" s="401">
        <f t="shared" si="3"/>
        <v>0</v>
      </c>
      <c r="W9" s="397">
        <f t="shared" si="8"/>
        <v>0</v>
      </c>
      <c r="X9" s="397">
        <f t="shared" si="9"/>
        <v>0</v>
      </c>
      <c r="Y9" s="397">
        <f t="shared" si="10"/>
        <v>0</v>
      </c>
      <c r="Z9" s="401">
        <f>V9*(1-固定資本!N9)</f>
        <v>0</v>
      </c>
      <c r="AA9" s="397">
        <f>W9*(1-固定資本!N9)</f>
        <v>0</v>
      </c>
      <c r="AB9" s="397">
        <f>X9*(1-固定資本!N9)</f>
        <v>0</v>
      </c>
      <c r="AC9" s="397">
        <f t="shared" si="11"/>
        <v>0</v>
      </c>
      <c r="AD9" s="402">
        <f>I9*係数!H9/1000</f>
        <v>0</v>
      </c>
      <c r="AE9" s="400">
        <f>(J9+T9)*係数!H9/1000</f>
        <v>0</v>
      </c>
      <c r="AF9" s="402">
        <f>I9*係数!I9/1000</f>
        <v>0</v>
      </c>
      <c r="AG9" s="400">
        <f>(J9+T9)*係数!I9/1000</f>
        <v>0</v>
      </c>
    </row>
    <row r="10" spans="1:33">
      <c r="A10" s="381"/>
      <c r="B10" s="394">
        <v>5</v>
      </c>
      <c r="C10" s="395" t="s">
        <v>26</v>
      </c>
      <c r="D10" s="397">
        <f>IF(B10=入力!$F$30,入力!$D$16,0)</f>
        <v>0</v>
      </c>
      <c r="E10" s="397">
        <v>0</v>
      </c>
      <c r="F10" s="398">
        <f>係数!D10</f>
        <v>0.67935797556191746</v>
      </c>
      <c r="G10" s="397">
        <f t="shared" si="4"/>
        <v>0</v>
      </c>
      <c r="H10" s="398">
        <f>固定資本!M10</f>
        <v>1.0270278426848884</v>
      </c>
      <c r="I10" s="401">
        <f t="shared" si="5"/>
        <v>0</v>
      </c>
      <c r="J10" s="507">
        <v>0</v>
      </c>
      <c r="K10" s="397">
        <f t="shared" si="12"/>
        <v>0</v>
      </c>
      <c r="L10" s="397">
        <f t="shared" si="0"/>
        <v>0</v>
      </c>
      <c r="M10" s="398">
        <f>係数!E10+係数!F10</f>
        <v>0.15515223470512657</v>
      </c>
      <c r="N10" s="397">
        <f t="shared" si="6"/>
        <v>0</v>
      </c>
      <c r="Q10" s="398">
        <f>係数!G10</f>
        <v>3.0927514375825624E-2</v>
      </c>
      <c r="R10" s="397">
        <f t="shared" si="7"/>
        <v>0</v>
      </c>
      <c r="S10" s="397">
        <f t="shared" si="1"/>
        <v>0</v>
      </c>
      <c r="T10" s="507">
        <v>0</v>
      </c>
      <c r="U10" s="397">
        <f t="shared" si="2"/>
        <v>0</v>
      </c>
      <c r="V10" s="401">
        <f t="shared" si="3"/>
        <v>0</v>
      </c>
      <c r="W10" s="397">
        <f t="shared" si="8"/>
        <v>0</v>
      </c>
      <c r="X10" s="397">
        <f t="shared" si="9"/>
        <v>0</v>
      </c>
      <c r="Y10" s="397">
        <f t="shared" si="10"/>
        <v>0</v>
      </c>
      <c r="Z10" s="401">
        <f>V10*(1-固定資本!N10)</f>
        <v>0</v>
      </c>
      <c r="AA10" s="397">
        <f>W10*(1-固定資本!N10)</f>
        <v>0</v>
      </c>
      <c r="AB10" s="397">
        <f>X10*(1-固定資本!N10)</f>
        <v>0</v>
      </c>
      <c r="AC10" s="397">
        <f t="shared" si="11"/>
        <v>0</v>
      </c>
      <c r="AD10" s="402">
        <f>I10*係数!H10/1000</f>
        <v>0</v>
      </c>
      <c r="AE10" s="400">
        <f>(J10+T10)*係数!H10/1000</f>
        <v>0</v>
      </c>
      <c r="AF10" s="402">
        <f>I10*係数!I10/1000</f>
        <v>0</v>
      </c>
      <c r="AG10" s="400">
        <f>(J10+T10)*係数!I10/1000</f>
        <v>0</v>
      </c>
    </row>
    <row r="11" spans="1:33">
      <c r="A11" s="381"/>
      <c r="B11" s="394">
        <v>6</v>
      </c>
      <c r="C11" s="395" t="s">
        <v>27</v>
      </c>
      <c r="D11" s="397">
        <f>IF(B11=入力!$F$30,入力!$D$16,0)</f>
        <v>0</v>
      </c>
      <c r="E11" s="397">
        <v>0</v>
      </c>
      <c r="F11" s="398">
        <f>係数!D11</f>
        <v>0.70804842552064784</v>
      </c>
      <c r="G11" s="397">
        <f t="shared" si="4"/>
        <v>0</v>
      </c>
      <c r="H11" s="398">
        <f>固定資本!M11</f>
        <v>1.0828948084534689</v>
      </c>
      <c r="I11" s="401">
        <f t="shared" si="5"/>
        <v>0</v>
      </c>
      <c r="J11" s="507">
        <v>0</v>
      </c>
      <c r="K11" s="397">
        <f t="shared" si="12"/>
        <v>0</v>
      </c>
      <c r="L11" s="397">
        <f t="shared" si="0"/>
        <v>0</v>
      </c>
      <c r="M11" s="398">
        <f>係数!E11+係数!F11</f>
        <v>0.54797125739735564</v>
      </c>
      <c r="N11" s="397">
        <f t="shared" si="6"/>
        <v>0</v>
      </c>
      <c r="Q11" s="398">
        <f>係数!G11</f>
        <v>0.15313294044826331</v>
      </c>
      <c r="R11" s="397">
        <f t="shared" si="7"/>
        <v>0</v>
      </c>
      <c r="S11" s="397">
        <f t="shared" si="1"/>
        <v>0</v>
      </c>
      <c r="T11" s="507">
        <v>0</v>
      </c>
      <c r="U11" s="397">
        <f t="shared" si="2"/>
        <v>0</v>
      </c>
      <c r="V11" s="401">
        <f t="shared" si="3"/>
        <v>0</v>
      </c>
      <c r="W11" s="397">
        <f t="shared" si="8"/>
        <v>0</v>
      </c>
      <c r="X11" s="397">
        <f t="shared" si="9"/>
        <v>0</v>
      </c>
      <c r="Y11" s="397">
        <f t="shared" si="10"/>
        <v>0</v>
      </c>
      <c r="Z11" s="401">
        <f>V11*(1-固定資本!N11)</f>
        <v>0</v>
      </c>
      <c r="AA11" s="397">
        <f>W11*(1-固定資本!N11)</f>
        <v>0</v>
      </c>
      <c r="AB11" s="397">
        <f>X11*(1-固定資本!N11)</f>
        <v>0</v>
      </c>
      <c r="AC11" s="397">
        <f t="shared" si="11"/>
        <v>0</v>
      </c>
      <c r="AD11" s="402">
        <f>I11*係数!H11/1000</f>
        <v>0</v>
      </c>
      <c r="AE11" s="400">
        <f>(J11+T11)*係数!H11/1000</f>
        <v>0</v>
      </c>
      <c r="AF11" s="402">
        <f>I11*係数!I11/1000</f>
        <v>0</v>
      </c>
      <c r="AG11" s="400">
        <f>(J11+T11)*係数!I11/1000</f>
        <v>0</v>
      </c>
    </row>
    <row r="12" spans="1:33">
      <c r="A12" s="381"/>
      <c r="B12" s="394">
        <v>7</v>
      </c>
      <c r="C12" s="395" t="s">
        <v>28</v>
      </c>
      <c r="D12" s="397">
        <f>IF(B12=入力!$F$30,入力!$D$16,0)</f>
        <v>0</v>
      </c>
      <c r="E12" s="397">
        <v>0</v>
      </c>
      <c r="F12" s="398">
        <f>係数!D12</f>
        <v>0.68770259202726169</v>
      </c>
      <c r="G12" s="397">
        <f t="shared" si="4"/>
        <v>0</v>
      </c>
      <c r="H12" s="398">
        <f>固定資本!M12</f>
        <v>1.0150936591101991</v>
      </c>
      <c r="I12" s="401">
        <f t="shared" si="5"/>
        <v>0</v>
      </c>
      <c r="J12" s="507">
        <v>0</v>
      </c>
      <c r="K12" s="397">
        <f t="shared" si="12"/>
        <v>0</v>
      </c>
      <c r="L12" s="397">
        <f t="shared" si="0"/>
        <v>0</v>
      </c>
      <c r="M12" s="398">
        <f>係数!E12+係数!F12</f>
        <v>0.52192103343471552</v>
      </c>
      <c r="N12" s="397">
        <f t="shared" si="6"/>
        <v>0</v>
      </c>
      <c r="Q12" s="398">
        <f>係数!G12</f>
        <v>4.7371922807883E-2</v>
      </c>
      <c r="R12" s="397">
        <f t="shared" si="7"/>
        <v>0</v>
      </c>
      <c r="S12" s="397">
        <f t="shared" si="1"/>
        <v>0</v>
      </c>
      <c r="T12" s="507">
        <v>0</v>
      </c>
      <c r="U12" s="397">
        <f t="shared" si="2"/>
        <v>0</v>
      </c>
      <c r="V12" s="401">
        <f t="shared" si="3"/>
        <v>0</v>
      </c>
      <c r="W12" s="397">
        <f t="shared" si="8"/>
        <v>0</v>
      </c>
      <c r="X12" s="397">
        <f t="shared" si="9"/>
        <v>0</v>
      </c>
      <c r="Y12" s="397">
        <f t="shared" si="10"/>
        <v>0</v>
      </c>
      <c r="Z12" s="401">
        <f>V12*(1-固定資本!N12)</f>
        <v>0</v>
      </c>
      <c r="AA12" s="397">
        <f>W12*(1-固定資本!N12)</f>
        <v>0</v>
      </c>
      <c r="AB12" s="397">
        <f>X12*(1-固定資本!N12)</f>
        <v>0</v>
      </c>
      <c r="AC12" s="397">
        <f t="shared" si="11"/>
        <v>0</v>
      </c>
      <c r="AD12" s="402">
        <f>I12*係数!H12/1000</f>
        <v>0</v>
      </c>
      <c r="AE12" s="400">
        <f>(J12+T12)*係数!H12/1000</f>
        <v>0</v>
      </c>
      <c r="AF12" s="402">
        <f>I12*係数!I12/1000</f>
        <v>0</v>
      </c>
      <c r="AG12" s="400">
        <f>(J12+T12)*係数!I12/1000</f>
        <v>0</v>
      </c>
    </row>
    <row r="13" spans="1:33">
      <c r="A13" s="381"/>
      <c r="B13" s="394">
        <v>8</v>
      </c>
      <c r="C13" s="395" t="s">
        <v>29</v>
      </c>
      <c r="D13" s="397">
        <f>IF(B13=入力!$F$30,入力!$D$16,0)</f>
        <v>0</v>
      </c>
      <c r="E13" s="397">
        <v>0</v>
      </c>
      <c r="F13" s="398">
        <f>係数!D13</f>
        <v>0.85335503954694347</v>
      </c>
      <c r="G13" s="397">
        <f t="shared" si="4"/>
        <v>0</v>
      </c>
      <c r="H13" s="398">
        <f>固定資本!M13</f>
        <v>1.0262288884863693</v>
      </c>
      <c r="I13" s="401">
        <f t="shared" si="5"/>
        <v>0</v>
      </c>
      <c r="J13" s="507">
        <v>0</v>
      </c>
      <c r="K13" s="397">
        <f t="shared" si="12"/>
        <v>0</v>
      </c>
      <c r="L13" s="397">
        <f t="shared" si="0"/>
        <v>0</v>
      </c>
      <c r="M13" s="398">
        <f>係数!E13+係数!F13</f>
        <v>0.34689791074956655</v>
      </c>
      <c r="N13" s="397">
        <f t="shared" si="6"/>
        <v>0</v>
      </c>
      <c r="Q13" s="398">
        <f>係数!G13</f>
        <v>4.6219015706579034E-2</v>
      </c>
      <c r="R13" s="397">
        <f t="shared" si="7"/>
        <v>0</v>
      </c>
      <c r="S13" s="397">
        <f t="shared" si="1"/>
        <v>0</v>
      </c>
      <c r="T13" s="507">
        <v>0</v>
      </c>
      <c r="U13" s="397">
        <f t="shared" si="2"/>
        <v>0</v>
      </c>
      <c r="V13" s="401">
        <f t="shared" si="3"/>
        <v>0</v>
      </c>
      <c r="W13" s="397">
        <f t="shared" si="8"/>
        <v>0</v>
      </c>
      <c r="X13" s="397">
        <f t="shared" si="9"/>
        <v>0</v>
      </c>
      <c r="Y13" s="397">
        <f t="shared" si="10"/>
        <v>0</v>
      </c>
      <c r="Z13" s="401">
        <f>V13*(1-固定資本!N13)</f>
        <v>0</v>
      </c>
      <c r="AA13" s="397">
        <f>W13*(1-固定資本!N13)</f>
        <v>0</v>
      </c>
      <c r="AB13" s="397">
        <f>X13*(1-固定資本!N13)</f>
        <v>0</v>
      </c>
      <c r="AC13" s="397">
        <f t="shared" si="11"/>
        <v>0</v>
      </c>
      <c r="AD13" s="402">
        <f>I13*係数!H13/1000</f>
        <v>0</v>
      </c>
      <c r="AE13" s="400">
        <f>(J13+T13)*係数!H13/1000</f>
        <v>0</v>
      </c>
      <c r="AF13" s="402">
        <f>I13*係数!I13/1000</f>
        <v>0</v>
      </c>
      <c r="AG13" s="400">
        <f>(J13+T13)*係数!I13/1000</f>
        <v>0</v>
      </c>
    </row>
    <row r="14" spans="1:33">
      <c r="A14" s="381"/>
      <c r="B14" s="394">
        <v>9</v>
      </c>
      <c r="C14" s="395" t="s">
        <v>30</v>
      </c>
      <c r="D14" s="397">
        <f>IF(B14=入力!$F$30,入力!$D$16,0)</f>
        <v>0</v>
      </c>
      <c r="E14" s="397">
        <v>0</v>
      </c>
      <c r="F14" s="398">
        <f>係数!D14</f>
        <v>0.5385688819162493</v>
      </c>
      <c r="G14" s="397">
        <f t="shared" si="4"/>
        <v>0</v>
      </c>
      <c r="H14" s="398">
        <f>固定資本!M14</f>
        <v>1.0087963128229642</v>
      </c>
      <c r="I14" s="401">
        <f t="shared" si="5"/>
        <v>0</v>
      </c>
      <c r="J14" s="507">
        <v>0</v>
      </c>
      <c r="K14" s="397">
        <f t="shared" si="12"/>
        <v>0</v>
      </c>
      <c r="L14" s="397">
        <f t="shared" si="0"/>
        <v>0</v>
      </c>
      <c r="M14" s="398">
        <f>係数!E14+係数!F14</f>
        <v>0.50067088795338788</v>
      </c>
      <c r="N14" s="397">
        <f t="shared" si="6"/>
        <v>0</v>
      </c>
      <c r="Q14" s="398">
        <f>係数!G14</f>
        <v>4.5302656304729606E-2</v>
      </c>
      <c r="R14" s="397">
        <f t="shared" si="7"/>
        <v>0</v>
      </c>
      <c r="S14" s="397">
        <f t="shared" si="1"/>
        <v>0</v>
      </c>
      <c r="T14" s="507">
        <v>0</v>
      </c>
      <c r="U14" s="397">
        <f t="shared" si="2"/>
        <v>0</v>
      </c>
      <c r="V14" s="401">
        <f t="shared" si="3"/>
        <v>0</v>
      </c>
      <c r="W14" s="397">
        <f t="shared" si="8"/>
        <v>0</v>
      </c>
      <c r="X14" s="397">
        <f t="shared" si="9"/>
        <v>0</v>
      </c>
      <c r="Y14" s="397">
        <f t="shared" si="10"/>
        <v>0</v>
      </c>
      <c r="Z14" s="401">
        <f>V14*(1-固定資本!N14)</f>
        <v>0</v>
      </c>
      <c r="AA14" s="397">
        <f>W14*(1-固定資本!N14)</f>
        <v>0</v>
      </c>
      <c r="AB14" s="397">
        <f>X14*(1-固定資本!N14)</f>
        <v>0</v>
      </c>
      <c r="AC14" s="397">
        <f t="shared" si="11"/>
        <v>0</v>
      </c>
      <c r="AD14" s="402">
        <f>I14*係数!H14/1000</f>
        <v>0</v>
      </c>
      <c r="AE14" s="400">
        <f>(J14+T14)*係数!H14/1000</f>
        <v>0</v>
      </c>
      <c r="AF14" s="402">
        <f>I14*係数!I14/1000</f>
        <v>0</v>
      </c>
      <c r="AG14" s="400">
        <f>(J14+T14)*係数!I14/1000</f>
        <v>0</v>
      </c>
    </row>
    <row r="15" spans="1:33">
      <c r="A15" s="381"/>
      <c r="B15" s="394">
        <v>10</v>
      </c>
      <c r="C15" s="395" t="s">
        <v>31</v>
      </c>
      <c r="D15" s="397">
        <f>IF(B15=入力!$F$30,入力!$D$16,0)</f>
        <v>0</v>
      </c>
      <c r="E15" s="397">
        <v>0</v>
      </c>
      <c r="F15" s="398">
        <f>係数!D15</f>
        <v>0.374247944124524</v>
      </c>
      <c r="G15" s="397">
        <f t="shared" si="4"/>
        <v>0</v>
      </c>
      <c r="H15" s="398">
        <f>固定資本!M15</f>
        <v>0.94476365403107754</v>
      </c>
      <c r="I15" s="401">
        <f t="shared" si="5"/>
        <v>0</v>
      </c>
      <c r="J15" s="507">
        <v>0</v>
      </c>
      <c r="K15" s="397">
        <f t="shared" si="12"/>
        <v>0</v>
      </c>
      <c r="L15" s="397">
        <f t="shared" si="0"/>
        <v>0</v>
      </c>
      <c r="M15" s="398">
        <f>係数!E15+係数!F15</f>
        <v>0.29616697035729772</v>
      </c>
      <c r="N15" s="397">
        <f t="shared" si="6"/>
        <v>0</v>
      </c>
      <c r="Q15" s="398">
        <f>係数!G15</f>
        <v>5.4859009166738942E-2</v>
      </c>
      <c r="R15" s="397">
        <f t="shared" si="7"/>
        <v>0</v>
      </c>
      <c r="S15" s="397">
        <f t="shared" si="1"/>
        <v>0</v>
      </c>
      <c r="T15" s="507">
        <v>0</v>
      </c>
      <c r="U15" s="397">
        <f t="shared" si="2"/>
        <v>0</v>
      </c>
      <c r="V15" s="401">
        <f t="shared" si="3"/>
        <v>0</v>
      </c>
      <c r="W15" s="397">
        <f t="shared" si="8"/>
        <v>0</v>
      </c>
      <c r="X15" s="397">
        <f t="shared" si="9"/>
        <v>0</v>
      </c>
      <c r="Y15" s="397">
        <f t="shared" si="10"/>
        <v>0</v>
      </c>
      <c r="Z15" s="401">
        <f>V15*(1-固定資本!N15)</f>
        <v>0</v>
      </c>
      <c r="AA15" s="397">
        <f>W15*(1-固定資本!N15)</f>
        <v>0</v>
      </c>
      <c r="AB15" s="397">
        <f>X15*(1-固定資本!N15)</f>
        <v>0</v>
      </c>
      <c r="AC15" s="397">
        <f t="shared" si="11"/>
        <v>0</v>
      </c>
      <c r="AD15" s="402">
        <f>I15*係数!H15/1000</f>
        <v>0</v>
      </c>
      <c r="AE15" s="400">
        <f>(J15+T15)*係数!H15/1000</f>
        <v>0</v>
      </c>
      <c r="AF15" s="402">
        <f>I15*係数!I15/1000</f>
        <v>0</v>
      </c>
      <c r="AG15" s="400">
        <f>(J15+T15)*係数!I15/1000</f>
        <v>0</v>
      </c>
    </row>
    <row r="16" spans="1:33">
      <c r="A16" s="381"/>
      <c r="B16" s="394">
        <v>11</v>
      </c>
      <c r="C16" s="395" t="s">
        <v>32</v>
      </c>
      <c r="D16" s="397">
        <f>IF(B16=入力!$F$30,入力!$D$16,0)</f>
        <v>0</v>
      </c>
      <c r="E16" s="397">
        <v>0</v>
      </c>
      <c r="F16" s="398">
        <f>係数!D16</f>
        <v>1</v>
      </c>
      <c r="G16" s="397">
        <f t="shared" si="4"/>
        <v>0</v>
      </c>
      <c r="H16" s="398">
        <f>固定資本!M16</f>
        <v>1.0219068672293024</v>
      </c>
      <c r="I16" s="401">
        <f t="shared" si="5"/>
        <v>0</v>
      </c>
      <c r="J16" s="507">
        <v>0</v>
      </c>
      <c r="K16" s="397">
        <f t="shared" si="12"/>
        <v>0</v>
      </c>
      <c r="L16" s="397">
        <f t="shared" si="0"/>
        <v>0</v>
      </c>
      <c r="M16" s="398">
        <f>係数!E16+係数!F16</f>
        <v>0.36924482699005529</v>
      </c>
      <c r="N16" s="397">
        <f t="shared" si="6"/>
        <v>0</v>
      </c>
      <c r="Q16" s="398">
        <f>係数!G16</f>
        <v>2.7258709934576486E-3</v>
      </c>
      <c r="R16" s="397">
        <f t="shared" si="7"/>
        <v>0</v>
      </c>
      <c r="S16" s="397">
        <f t="shared" si="1"/>
        <v>0</v>
      </c>
      <c r="T16" s="507">
        <v>0</v>
      </c>
      <c r="U16" s="397">
        <f t="shared" si="2"/>
        <v>0</v>
      </c>
      <c r="V16" s="401">
        <f t="shared" si="3"/>
        <v>0</v>
      </c>
      <c r="W16" s="397">
        <f t="shared" si="8"/>
        <v>0</v>
      </c>
      <c r="X16" s="397">
        <f t="shared" si="9"/>
        <v>0</v>
      </c>
      <c r="Y16" s="397">
        <f t="shared" si="10"/>
        <v>0</v>
      </c>
      <c r="Z16" s="401">
        <f>V16*(1-固定資本!N16)</f>
        <v>0</v>
      </c>
      <c r="AA16" s="397">
        <f>W16*(1-固定資本!N16)</f>
        <v>0</v>
      </c>
      <c r="AB16" s="397">
        <f>X16*(1-固定資本!N16)</f>
        <v>0</v>
      </c>
      <c r="AC16" s="397">
        <f t="shared" si="11"/>
        <v>0</v>
      </c>
      <c r="AD16" s="402">
        <f>I16*係数!H16/1000</f>
        <v>0</v>
      </c>
      <c r="AE16" s="400">
        <f>(J16+T16)*係数!H16/1000</f>
        <v>0</v>
      </c>
      <c r="AF16" s="402">
        <f>I16*係数!I16/1000</f>
        <v>0</v>
      </c>
      <c r="AG16" s="400">
        <f>(J16+T16)*係数!I16/1000</f>
        <v>0</v>
      </c>
    </row>
    <row r="17" spans="1:33">
      <c r="A17" s="381"/>
      <c r="B17" s="394">
        <v>12</v>
      </c>
      <c r="C17" s="395" t="s">
        <v>33</v>
      </c>
      <c r="D17" s="397">
        <f>IF(B17=入力!$F$30,入力!$D$16,0)</f>
        <v>0</v>
      </c>
      <c r="E17" s="397">
        <v>0</v>
      </c>
      <c r="F17" s="398">
        <f>係数!D17</f>
        <v>0.77418871350256457</v>
      </c>
      <c r="G17" s="397">
        <f t="shared" si="4"/>
        <v>0</v>
      </c>
      <c r="H17" s="398">
        <f>固定資本!M17</f>
        <v>0.97392898541967743</v>
      </c>
      <c r="I17" s="401">
        <f t="shared" si="5"/>
        <v>0</v>
      </c>
      <c r="J17" s="507">
        <v>0</v>
      </c>
      <c r="K17" s="397">
        <f t="shared" si="12"/>
        <v>0</v>
      </c>
      <c r="L17" s="397">
        <f t="shared" si="0"/>
        <v>0</v>
      </c>
      <c r="M17" s="398">
        <f>係数!E17+係数!F17</f>
        <v>0.6285823335361076</v>
      </c>
      <c r="N17" s="397">
        <f t="shared" si="6"/>
        <v>0</v>
      </c>
      <c r="Q17" s="398">
        <f>係数!G17</f>
        <v>2.6421722946925696E-2</v>
      </c>
      <c r="R17" s="397">
        <f t="shared" si="7"/>
        <v>0</v>
      </c>
      <c r="S17" s="397">
        <f t="shared" si="1"/>
        <v>0</v>
      </c>
      <c r="T17" s="507">
        <v>0</v>
      </c>
      <c r="U17" s="397">
        <f t="shared" si="2"/>
        <v>0</v>
      </c>
      <c r="V17" s="401">
        <f t="shared" si="3"/>
        <v>0</v>
      </c>
      <c r="W17" s="397">
        <f t="shared" si="8"/>
        <v>0</v>
      </c>
      <c r="X17" s="397">
        <f t="shared" si="9"/>
        <v>0</v>
      </c>
      <c r="Y17" s="397">
        <f t="shared" si="10"/>
        <v>0</v>
      </c>
      <c r="Z17" s="401">
        <f>V17*(1-固定資本!N17)</f>
        <v>0</v>
      </c>
      <c r="AA17" s="397">
        <f>W17*(1-固定資本!N17)</f>
        <v>0</v>
      </c>
      <c r="AB17" s="397">
        <f>X17*(1-固定資本!N17)</f>
        <v>0</v>
      </c>
      <c r="AC17" s="397">
        <f t="shared" si="11"/>
        <v>0</v>
      </c>
      <c r="AD17" s="402">
        <f>I17*係数!H17/1000</f>
        <v>0</v>
      </c>
      <c r="AE17" s="400">
        <f>(J17+T17)*係数!H17/1000</f>
        <v>0</v>
      </c>
      <c r="AF17" s="402">
        <f>I17*係数!I17/1000</f>
        <v>0</v>
      </c>
      <c r="AG17" s="400">
        <f>(J17+T17)*係数!I17/1000</f>
        <v>0</v>
      </c>
    </row>
    <row r="18" spans="1:33">
      <c r="A18" s="381"/>
      <c r="B18" s="394">
        <v>13</v>
      </c>
      <c r="C18" s="395" t="s">
        <v>34</v>
      </c>
      <c r="D18" s="397">
        <f>IF(B18=入力!$F$30,入力!$D$16,0)</f>
        <v>0</v>
      </c>
      <c r="E18" s="397">
        <v>0</v>
      </c>
      <c r="F18" s="398">
        <f>係数!D18</f>
        <v>0.92473053489569101</v>
      </c>
      <c r="G18" s="397">
        <f t="shared" si="4"/>
        <v>0</v>
      </c>
      <c r="H18" s="398">
        <f>固定資本!M18</f>
        <v>0.98897888385181099</v>
      </c>
      <c r="I18" s="401">
        <f t="shared" si="5"/>
        <v>0</v>
      </c>
      <c r="J18" s="507">
        <v>0</v>
      </c>
      <c r="K18" s="397">
        <f t="shared" si="12"/>
        <v>0</v>
      </c>
      <c r="L18" s="397">
        <f t="shared" si="0"/>
        <v>0</v>
      </c>
      <c r="M18" s="398">
        <f>係数!E18+係数!F18</f>
        <v>0.51069413554928089</v>
      </c>
      <c r="N18" s="397">
        <f t="shared" si="6"/>
        <v>0</v>
      </c>
      <c r="Q18" s="398">
        <f>係数!G18</f>
        <v>4.3762692829048565E-2</v>
      </c>
      <c r="R18" s="397">
        <f t="shared" si="7"/>
        <v>0</v>
      </c>
      <c r="S18" s="397">
        <f t="shared" si="1"/>
        <v>0</v>
      </c>
      <c r="T18" s="507">
        <v>0</v>
      </c>
      <c r="U18" s="397">
        <f t="shared" si="2"/>
        <v>0</v>
      </c>
      <c r="V18" s="401">
        <f t="shared" si="3"/>
        <v>0</v>
      </c>
      <c r="W18" s="397">
        <f t="shared" si="8"/>
        <v>0</v>
      </c>
      <c r="X18" s="397">
        <f t="shared" si="9"/>
        <v>0</v>
      </c>
      <c r="Y18" s="397">
        <f t="shared" si="10"/>
        <v>0</v>
      </c>
      <c r="Z18" s="401">
        <f>V18*(1-固定資本!N18)</f>
        <v>0</v>
      </c>
      <c r="AA18" s="397">
        <f>W18*(1-固定資本!N18)</f>
        <v>0</v>
      </c>
      <c r="AB18" s="397">
        <f>X18*(1-固定資本!N18)</f>
        <v>0</v>
      </c>
      <c r="AC18" s="397">
        <f t="shared" si="11"/>
        <v>0</v>
      </c>
      <c r="AD18" s="402">
        <f>I18*係数!H18/1000</f>
        <v>0</v>
      </c>
      <c r="AE18" s="400">
        <f>(J18+T18)*係数!H18/1000</f>
        <v>0</v>
      </c>
      <c r="AF18" s="402">
        <f>I18*係数!I18/1000</f>
        <v>0</v>
      </c>
      <c r="AG18" s="400">
        <f>(J18+T18)*係数!I18/1000</f>
        <v>0</v>
      </c>
    </row>
    <row r="19" spans="1:33">
      <c r="A19" s="381"/>
      <c r="B19" s="394">
        <v>14</v>
      </c>
      <c r="C19" s="395" t="s">
        <v>35</v>
      </c>
      <c r="D19" s="397">
        <f>IF(B19=入力!$F$30,入力!$D$16,0)</f>
        <v>0</v>
      </c>
      <c r="E19" s="397">
        <v>0</v>
      </c>
      <c r="F19" s="398">
        <f>係数!D19</f>
        <v>0.10302625374160312</v>
      </c>
      <c r="G19" s="397">
        <f t="shared" si="4"/>
        <v>0</v>
      </c>
      <c r="H19" s="398">
        <f>固定資本!M19</f>
        <v>1.2388031845846939</v>
      </c>
      <c r="I19" s="401">
        <f t="shared" si="5"/>
        <v>0</v>
      </c>
      <c r="J19" s="507">
        <v>0</v>
      </c>
      <c r="K19" s="397">
        <f t="shared" si="12"/>
        <v>0</v>
      </c>
      <c r="L19" s="397">
        <f t="shared" si="0"/>
        <v>0</v>
      </c>
      <c r="M19" s="398">
        <f>係数!E19+係数!F19</f>
        <v>0.14595039020468203</v>
      </c>
      <c r="N19" s="397">
        <f t="shared" si="6"/>
        <v>0</v>
      </c>
      <c r="Q19" s="398">
        <f>係数!G19</f>
        <v>6.9819974646785927E-3</v>
      </c>
      <c r="R19" s="397">
        <f t="shared" si="7"/>
        <v>0</v>
      </c>
      <c r="S19" s="397">
        <f t="shared" si="1"/>
        <v>0</v>
      </c>
      <c r="T19" s="507">
        <v>0</v>
      </c>
      <c r="U19" s="397">
        <f t="shared" si="2"/>
        <v>0</v>
      </c>
      <c r="V19" s="401">
        <f t="shared" si="3"/>
        <v>0</v>
      </c>
      <c r="W19" s="397">
        <f t="shared" si="8"/>
        <v>0</v>
      </c>
      <c r="X19" s="397">
        <f t="shared" si="9"/>
        <v>0</v>
      </c>
      <c r="Y19" s="397">
        <f t="shared" si="10"/>
        <v>0</v>
      </c>
      <c r="Z19" s="401">
        <f>V19*(1-固定資本!N19)</f>
        <v>0</v>
      </c>
      <c r="AA19" s="397">
        <f>W19*(1-固定資本!N19)</f>
        <v>0</v>
      </c>
      <c r="AB19" s="397">
        <f>X19*(1-固定資本!N19)</f>
        <v>0</v>
      </c>
      <c r="AC19" s="397">
        <f t="shared" si="11"/>
        <v>0</v>
      </c>
      <c r="AD19" s="402">
        <f>I19*係数!H19/1000</f>
        <v>0</v>
      </c>
      <c r="AE19" s="400">
        <f>(J19+T19)*係数!H19/1000</f>
        <v>0</v>
      </c>
      <c r="AF19" s="402">
        <f>I19*係数!I19/1000</f>
        <v>0</v>
      </c>
      <c r="AG19" s="400">
        <f>(J19+T19)*係数!I19/1000</f>
        <v>0</v>
      </c>
    </row>
    <row r="20" spans="1:33">
      <c r="A20" s="381"/>
      <c r="B20" s="394">
        <v>15</v>
      </c>
      <c r="C20" s="395" t="s">
        <v>36</v>
      </c>
      <c r="D20" s="397">
        <f>IF(B20=入力!$F$30,入力!$D$16,0)</f>
        <v>0</v>
      </c>
      <c r="E20" s="397">
        <v>0</v>
      </c>
      <c r="F20" s="398">
        <f>係数!D20</f>
        <v>0.67936669965790486</v>
      </c>
      <c r="G20" s="397">
        <f t="shared" si="4"/>
        <v>0</v>
      </c>
      <c r="H20" s="398">
        <f>固定資本!M20</f>
        <v>1.003720355693317</v>
      </c>
      <c r="I20" s="401">
        <f t="shared" si="5"/>
        <v>0</v>
      </c>
      <c r="J20" s="507">
        <v>0</v>
      </c>
      <c r="K20" s="397">
        <f t="shared" si="12"/>
        <v>0</v>
      </c>
      <c r="L20" s="397">
        <f t="shared" si="0"/>
        <v>0</v>
      </c>
      <c r="M20" s="398">
        <f>係数!E20+係数!F20</f>
        <v>0.28007426830551196</v>
      </c>
      <c r="N20" s="397">
        <f t="shared" si="6"/>
        <v>0</v>
      </c>
      <c r="Q20" s="398">
        <f>係数!G20</f>
        <v>5.0145811356273627E-2</v>
      </c>
      <c r="R20" s="397">
        <f t="shared" si="7"/>
        <v>0</v>
      </c>
      <c r="S20" s="397">
        <f t="shared" si="1"/>
        <v>0</v>
      </c>
      <c r="T20" s="507">
        <v>0</v>
      </c>
      <c r="U20" s="397">
        <f t="shared" si="2"/>
        <v>0</v>
      </c>
      <c r="V20" s="401">
        <f t="shared" si="3"/>
        <v>0</v>
      </c>
      <c r="W20" s="397">
        <f t="shared" si="8"/>
        <v>0</v>
      </c>
      <c r="X20" s="397">
        <f t="shared" si="9"/>
        <v>0</v>
      </c>
      <c r="Y20" s="397">
        <f t="shared" si="10"/>
        <v>0</v>
      </c>
      <c r="Z20" s="401">
        <f>V20*(1-固定資本!N20)</f>
        <v>0</v>
      </c>
      <c r="AA20" s="397">
        <f>W20*(1-固定資本!N20)</f>
        <v>0</v>
      </c>
      <c r="AB20" s="397">
        <f>X20*(1-固定資本!N20)</f>
        <v>0</v>
      </c>
      <c r="AC20" s="397">
        <f t="shared" si="11"/>
        <v>0</v>
      </c>
      <c r="AD20" s="402">
        <f>I20*係数!H20/1000</f>
        <v>0</v>
      </c>
      <c r="AE20" s="400">
        <f>(J20+T20)*係数!H20/1000</f>
        <v>0</v>
      </c>
      <c r="AF20" s="402">
        <f>I20*係数!I20/1000</f>
        <v>0</v>
      </c>
      <c r="AG20" s="400">
        <f>(J20+T20)*係数!I20/1000</f>
        <v>0</v>
      </c>
    </row>
    <row r="21" spans="1:33">
      <c r="A21" s="381"/>
      <c r="B21" s="394">
        <v>16</v>
      </c>
      <c r="C21" s="395" t="s">
        <v>37</v>
      </c>
      <c r="D21" s="397">
        <f>IF(B21=入力!$F$30,入力!$D$16,0)</f>
        <v>0</v>
      </c>
      <c r="E21" s="397">
        <v>0</v>
      </c>
      <c r="F21" s="398">
        <f>係数!D21</f>
        <v>0.60906182273111553</v>
      </c>
      <c r="G21" s="397">
        <f t="shared" si="4"/>
        <v>0</v>
      </c>
      <c r="H21" s="398">
        <f>固定資本!M21</f>
        <v>1.0282762846622628</v>
      </c>
      <c r="I21" s="401">
        <f t="shared" si="5"/>
        <v>0</v>
      </c>
      <c r="J21" s="507">
        <v>0</v>
      </c>
      <c r="K21" s="397">
        <f t="shared" si="12"/>
        <v>0</v>
      </c>
      <c r="L21" s="397">
        <f t="shared" si="0"/>
        <v>0</v>
      </c>
      <c r="M21" s="398">
        <f>係数!E21+係数!F21</f>
        <v>0.38223631055359558</v>
      </c>
      <c r="N21" s="397">
        <f t="shared" si="6"/>
        <v>0</v>
      </c>
      <c r="Q21" s="398">
        <f>係数!G21</f>
        <v>7.5600973032154017E-2</v>
      </c>
      <c r="R21" s="397">
        <f t="shared" si="7"/>
        <v>0</v>
      </c>
      <c r="S21" s="397">
        <f t="shared" si="1"/>
        <v>0</v>
      </c>
      <c r="T21" s="507">
        <v>0</v>
      </c>
      <c r="U21" s="397">
        <f t="shared" si="2"/>
        <v>0</v>
      </c>
      <c r="V21" s="401">
        <f t="shared" si="3"/>
        <v>0</v>
      </c>
      <c r="W21" s="397">
        <f t="shared" si="8"/>
        <v>0</v>
      </c>
      <c r="X21" s="397">
        <f t="shared" si="9"/>
        <v>0</v>
      </c>
      <c r="Y21" s="397">
        <f t="shared" si="10"/>
        <v>0</v>
      </c>
      <c r="Z21" s="401">
        <f>V21*(1-固定資本!N21)</f>
        <v>0</v>
      </c>
      <c r="AA21" s="397">
        <f>W21*(1-固定資本!N21)</f>
        <v>0</v>
      </c>
      <c r="AB21" s="397">
        <f>X21*(1-固定資本!N21)</f>
        <v>0</v>
      </c>
      <c r="AC21" s="397">
        <f t="shared" si="11"/>
        <v>0</v>
      </c>
      <c r="AD21" s="402">
        <f>I21*係数!H21/1000</f>
        <v>0</v>
      </c>
      <c r="AE21" s="400">
        <f>(J21+T21)*係数!H21/1000</f>
        <v>0</v>
      </c>
      <c r="AF21" s="402">
        <f>I21*係数!I21/1000</f>
        <v>0</v>
      </c>
      <c r="AG21" s="400">
        <f>(J21+T21)*係数!I21/1000</f>
        <v>0</v>
      </c>
    </row>
    <row r="22" spans="1:33">
      <c r="A22" s="381"/>
      <c r="B22" s="394">
        <v>17</v>
      </c>
      <c r="C22" s="395" t="s">
        <v>460</v>
      </c>
      <c r="D22" s="397">
        <v>0</v>
      </c>
      <c r="E22" s="397">
        <v>0</v>
      </c>
      <c r="F22" s="398">
        <f>係数!D22</f>
        <v>1</v>
      </c>
      <c r="G22" s="397">
        <f t="shared" si="4"/>
        <v>0</v>
      </c>
      <c r="H22" s="398">
        <f>固定資本!M22</f>
        <v>1.0028003529063936</v>
      </c>
      <c r="I22" s="401">
        <f t="shared" si="5"/>
        <v>0</v>
      </c>
      <c r="J22" s="507">
        <v>0</v>
      </c>
      <c r="K22" s="397">
        <f t="shared" si="12"/>
        <v>0</v>
      </c>
      <c r="L22" s="397">
        <f t="shared" si="0"/>
        <v>0</v>
      </c>
      <c r="M22" s="398">
        <f>係数!E22+係数!F22</f>
        <v>0.41348880007681132</v>
      </c>
      <c r="N22" s="397">
        <f t="shared" si="6"/>
        <v>0</v>
      </c>
      <c r="Q22" s="398">
        <f>係数!G22</f>
        <v>0.20310389470480342</v>
      </c>
      <c r="R22" s="397">
        <f t="shared" si="7"/>
        <v>0</v>
      </c>
      <c r="S22" s="397">
        <f t="shared" si="1"/>
        <v>0</v>
      </c>
      <c r="T22" s="507">
        <v>0</v>
      </c>
      <c r="U22" s="397">
        <f t="shared" si="2"/>
        <v>0</v>
      </c>
      <c r="V22" s="401">
        <f t="shared" si="3"/>
        <v>0</v>
      </c>
      <c r="W22" s="397">
        <f t="shared" si="8"/>
        <v>0</v>
      </c>
      <c r="X22" s="397">
        <f t="shared" si="9"/>
        <v>0</v>
      </c>
      <c r="Y22" s="397">
        <f t="shared" si="10"/>
        <v>0</v>
      </c>
      <c r="Z22" s="401">
        <f>V22*(1-固定資本!N22)</f>
        <v>0</v>
      </c>
      <c r="AA22" s="397">
        <f>W22*(1-固定資本!N22)</f>
        <v>0</v>
      </c>
      <c r="AB22" s="397">
        <f>X22*(1-固定資本!N22)</f>
        <v>0</v>
      </c>
      <c r="AC22" s="397">
        <f t="shared" si="11"/>
        <v>0</v>
      </c>
      <c r="AD22" s="402">
        <f>I22*係数!H22/1000</f>
        <v>0</v>
      </c>
      <c r="AE22" s="400">
        <f>(J22+T22)*係数!H22/1000</f>
        <v>0</v>
      </c>
      <c r="AF22" s="402">
        <f>I22*係数!I22/1000</f>
        <v>0</v>
      </c>
      <c r="AG22" s="400">
        <f>(J22+T22)*係数!I22/1000</f>
        <v>0</v>
      </c>
    </row>
    <row r="23" spans="1:33">
      <c r="A23" s="381"/>
      <c r="B23" s="394">
        <v>18</v>
      </c>
      <c r="C23" s="395" t="s">
        <v>38</v>
      </c>
      <c r="D23" s="397">
        <v>0</v>
      </c>
      <c r="E23" s="397">
        <v>0</v>
      </c>
      <c r="F23" s="398">
        <f>係数!D23</f>
        <v>1</v>
      </c>
      <c r="G23" s="397">
        <f t="shared" si="4"/>
        <v>0</v>
      </c>
      <c r="H23" s="398">
        <f>固定資本!M23</f>
        <v>1.0882606993166555</v>
      </c>
      <c r="I23" s="401">
        <f t="shared" si="5"/>
        <v>0</v>
      </c>
      <c r="J23" s="507">
        <v>0</v>
      </c>
      <c r="K23" s="397">
        <f t="shared" si="12"/>
        <v>0</v>
      </c>
      <c r="L23" s="397">
        <f t="shared" si="0"/>
        <v>0</v>
      </c>
      <c r="M23" s="398">
        <f>係数!E23+係数!F23</f>
        <v>0</v>
      </c>
      <c r="N23" s="397">
        <f t="shared" si="6"/>
        <v>0</v>
      </c>
      <c r="Q23" s="398">
        <f>係数!G23</f>
        <v>0</v>
      </c>
      <c r="R23" s="397">
        <f t="shared" ref="R23:R26" si="13">Q23*$P$30</f>
        <v>0</v>
      </c>
      <c r="S23" s="397">
        <f t="shared" si="1"/>
        <v>0</v>
      </c>
      <c r="T23" s="507">
        <v>0</v>
      </c>
      <c r="U23" s="397">
        <f t="shared" si="2"/>
        <v>0</v>
      </c>
      <c r="V23" s="401">
        <f t="shared" si="3"/>
        <v>0</v>
      </c>
      <c r="W23" s="397">
        <f t="shared" si="8"/>
        <v>0</v>
      </c>
      <c r="X23" s="397">
        <f t="shared" si="9"/>
        <v>0</v>
      </c>
      <c r="Y23" s="397">
        <f t="shared" si="10"/>
        <v>0</v>
      </c>
      <c r="Z23" s="401">
        <f>V23*(1-固定資本!N23)</f>
        <v>0</v>
      </c>
      <c r="AA23" s="397">
        <f>W23*(1-固定資本!N23)</f>
        <v>0</v>
      </c>
      <c r="AB23" s="397">
        <f>X23*(1-固定資本!N23)</f>
        <v>0</v>
      </c>
      <c r="AC23" s="397">
        <f t="shared" si="11"/>
        <v>0</v>
      </c>
      <c r="AD23" s="402">
        <f>I23*係数!H23/1000</f>
        <v>0</v>
      </c>
      <c r="AE23" s="400">
        <f>(J23+T23)*係数!H23/1000</f>
        <v>0</v>
      </c>
      <c r="AF23" s="402">
        <f>I23*係数!I23/1000</f>
        <v>0</v>
      </c>
      <c r="AG23" s="400">
        <f>(J23+T23)*係数!I23/1000</f>
        <v>0</v>
      </c>
    </row>
    <row r="24" spans="1:33">
      <c r="A24" s="381"/>
      <c r="B24" s="394">
        <v>19</v>
      </c>
      <c r="C24" s="395" t="s">
        <v>39</v>
      </c>
      <c r="D24" s="397">
        <v>0</v>
      </c>
      <c r="E24" s="397">
        <v>0</v>
      </c>
      <c r="F24" s="398">
        <f>係数!D24</f>
        <v>1</v>
      </c>
      <c r="G24" s="397">
        <f t="shared" si="4"/>
        <v>0</v>
      </c>
      <c r="H24" s="398">
        <f>固定資本!M24</f>
        <v>1.0287413518373496</v>
      </c>
      <c r="I24" s="401">
        <f t="shared" si="5"/>
        <v>0</v>
      </c>
      <c r="J24" s="507">
        <v>0</v>
      </c>
      <c r="K24" s="397">
        <f t="shared" si="12"/>
        <v>0</v>
      </c>
      <c r="L24" s="397">
        <f t="shared" si="0"/>
        <v>0</v>
      </c>
      <c r="M24" s="398">
        <f>係数!E24+係数!F24</f>
        <v>0</v>
      </c>
      <c r="N24" s="397">
        <f t="shared" si="6"/>
        <v>0</v>
      </c>
      <c r="Q24" s="398">
        <f>係数!G24</f>
        <v>0</v>
      </c>
      <c r="R24" s="397">
        <f t="shared" si="13"/>
        <v>0</v>
      </c>
      <c r="S24" s="397">
        <f t="shared" si="1"/>
        <v>0</v>
      </c>
      <c r="T24" s="507">
        <v>0</v>
      </c>
      <c r="U24" s="397">
        <f t="shared" si="2"/>
        <v>0</v>
      </c>
      <c r="V24" s="401">
        <f t="shared" si="3"/>
        <v>0</v>
      </c>
      <c r="W24" s="397">
        <f t="shared" si="8"/>
        <v>0</v>
      </c>
      <c r="X24" s="397">
        <f t="shared" si="9"/>
        <v>0</v>
      </c>
      <c r="Y24" s="397">
        <f t="shared" si="10"/>
        <v>0</v>
      </c>
      <c r="Z24" s="401">
        <f>V24*(1-固定資本!N24)</f>
        <v>0</v>
      </c>
      <c r="AA24" s="397">
        <f>W24*(1-固定資本!N24)</f>
        <v>0</v>
      </c>
      <c r="AB24" s="397">
        <f>X24*(1-固定資本!N24)</f>
        <v>0</v>
      </c>
      <c r="AC24" s="397">
        <f t="shared" si="11"/>
        <v>0</v>
      </c>
      <c r="AD24" s="402">
        <f>I24*係数!H24/1000</f>
        <v>0</v>
      </c>
      <c r="AE24" s="400">
        <f>(J24+T24)*係数!H24/1000</f>
        <v>0</v>
      </c>
      <c r="AF24" s="402">
        <f>I24*係数!I24/1000</f>
        <v>0</v>
      </c>
      <c r="AG24" s="400">
        <f>(J24+T24)*係数!I24/1000</f>
        <v>0</v>
      </c>
    </row>
    <row r="25" spans="1:33">
      <c r="A25" s="381"/>
      <c r="B25" s="403">
        <v>20</v>
      </c>
      <c r="C25" s="404" t="s">
        <v>40</v>
      </c>
      <c r="D25" s="406">
        <v>0</v>
      </c>
      <c r="E25" s="406">
        <v>0</v>
      </c>
      <c r="F25" s="407">
        <f>係数!D25</f>
        <v>0.86001495909806924</v>
      </c>
      <c r="G25" s="406">
        <f t="shared" si="4"/>
        <v>0</v>
      </c>
      <c r="H25" s="408">
        <f>固定資本!M25</f>
        <v>1.0462282109380405</v>
      </c>
      <c r="I25" s="430">
        <f t="shared" si="5"/>
        <v>0</v>
      </c>
      <c r="J25" s="508">
        <v>0</v>
      </c>
      <c r="K25" s="397">
        <f t="shared" si="12"/>
        <v>0</v>
      </c>
      <c r="L25" s="406">
        <f t="shared" si="0"/>
        <v>0</v>
      </c>
      <c r="M25" s="408">
        <f>係数!E25+係数!F25</f>
        <v>0.56668329190038969</v>
      </c>
      <c r="N25" s="406">
        <f t="shared" si="6"/>
        <v>0</v>
      </c>
      <c r="Q25" s="407">
        <f>係数!G25</f>
        <v>8.4525283964417709E-6</v>
      </c>
      <c r="R25" s="406">
        <f t="shared" si="13"/>
        <v>0</v>
      </c>
      <c r="S25" s="406">
        <f t="shared" si="1"/>
        <v>0</v>
      </c>
      <c r="T25" s="508">
        <v>0</v>
      </c>
      <c r="U25" s="406">
        <f t="shared" si="2"/>
        <v>0</v>
      </c>
      <c r="V25" s="430">
        <f t="shared" si="3"/>
        <v>0</v>
      </c>
      <c r="W25" s="406">
        <f t="shared" si="8"/>
        <v>0</v>
      </c>
      <c r="X25" s="406">
        <f t="shared" si="9"/>
        <v>0</v>
      </c>
      <c r="Y25" s="406">
        <f t="shared" si="10"/>
        <v>0</v>
      </c>
      <c r="Z25" s="401">
        <f>V25*(1-固定資本!N25)</f>
        <v>0</v>
      </c>
      <c r="AA25" s="406">
        <f>W25*(1-固定資本!N25)</f>
        <v>0</v>
      </c>
      <c r="AB25" s="406">
        <f>X25*(1-固定資本!N25)</f>
        <v>0</v>
      </c>
      <c r="AC25" s="406">
        <f t="shared" si="11"/>
        <v>0</v>
      </c>
      <c r="AD25" s="402">
        <f>I25*係数!H25/1000</f>
        <v>0</v>
      </c>
      <c r="AE25" s="400">
        <f>(J25+T25)*係数!H25/1000</f>
        <v>0</v>
      </c>
      <c r="AF25" s="402">
        <f>I25*係数!I25/1000</f>
        <v>0</v>
      </c>
      <c r="AG25" s="400">
        <f>(J25+T25)*係数!I25/1000</f>
        <v>0</v>
      </c>
    </row>
    <row r="26" spans="1:33">
      <c r="A26" s="381"/>
      <c r="B26" s="403">
        <v>70</v>
      </c>
      <c r="C26" s="404" t="s">
        <v>458</v>
      </c>
      <c r="D26" s="412">
        <f>SUM(D6:D25)</f>
        <v>0</v>
      </c>
      <c r="E26" s="412">
        <f>SUM(E6:E25)</f>
        <v>0</v>
      </c>
      <c r="F26" s="413"/>
      <c r="G26" s="412">
        <f>SUM(G6:G25)</f>
        <v>0</v>
      </c>
      <c r="H26" s="270"/>
      <c r="I26" s="412">
        <f>SUM(I6:I25)</f>
        <v>0</v>
      </c>
      <c r="J26" s="412">
        <f>SUM(J6:J25)</f>
        <v>0</v>
      </c>
      <c r="K26" s="412">
        <f>SUM(K6:K25)</f>
        <v>0</v>
      </c>
      <c r="L26" s="412">
        <f>SUM(L6:L25)</f>
        <v>0</v>
      </c>
      <c r="N26" s="412">
        <f>SUM(N6:N25)</f>
        <v>0</v>
      </c>
      <c r="Q26" s="414">
        <f>係数!G26</f>
        <v>1</v>
      </c>
      <c r="R26" s="412">
        <f t="shared" si="13"/>
        <v>0</v>
      </c>
      <c r="S26" s="412">
        <f>SUM(S6:S25)</f>
        <v>0</v>
      </c>
      <c r="T26" s="412">
        <f>SUM(T6:T25)</f>
        <v>0</v>
      </c>
      <c r="U26" s="412">
        <f>SUM(U6:U25)</f>
        <v>0</v>
      </c>
      <c r="V26" s="412">
        <f t="shared" ref="V26:AE26" si="14">SUM(V6:V25)</f>
        <v>0</v>
      </c>
      <c r="W26" s="412">
        <f t="shared" si="14"/>
        <v>0</v>
      </c>
      <c r="X26" s="412">
        <f t="shared" si="14"/>
        <v>0</v>
      </c>
      <c r="Y26" s="412">
        <f t="shared" si="14"/>
        <v>0</v>
      </c>
      <c r="Z26" s="412">
        <f t="shared" si="14"/>
        <v>0</v>
      </c>
      <c r="AA26" s="412">
        <f t="shared" si="14"/>
        <v>0</v>
      </c>
      <c r="AB26" s="412">
        <f t="shared" si="14"/>
        <v>0</v>
      </c>
      <c r="AC26" s="412">
        <f t="shared" si="14"/>
        <v>0</v>
      </c>
      <c r="AD26" s="415">
        <f t="shared" si="14"/>
        <v>0</v>
      </c>
      <c r="AE26" s="415">
        <f t="shared" si="14"/>
        <v>0</v>
      </c>
      <c r="AF26" s="415">
        <f>SUM(AF6:AF25)</f>
        <v>0</v>
      </c>
      <c r="AG26" s="415">
        <f>SUM(AG6:AG25)</f>
        <v>0</v>
      </c>
    </row>
    <row r="27" spans="1:33">
      <c r="A27" s="381"/>
      <c r="D27" s="259"/>
      <c r="F27" s="289"/>
      <c r="H27" s="269"/>
      <c r="O27" s="277" t="s">
        <v>125</v>
      </c>
      <c r="P27" s="277" t="s">
        <v>126</v>
      </c>
    </row>
    <row r="28" spans="1:33">
      <c r="A28" s="381"/>
      <c r="D28" s="259"/>
      <c r="F28" s="274"/>
      <c r="G28" s="259"/>
      <c r="I28" s="419"/>
      <c r="J28" s="274"/>
      <c r="K28" s="274"/>
      <c r="M28" s="259"/>
      <c r="O28" s="421">
        <f>固定資本!H6</f>
        <v>0.9410230177254062</v>
      </c>
      <c r="P28" s="421">
        <f>固定資本!I6</f>
        <v>0.78403790917303728</v>
      </c>
    </row>
    <row r="29" spans="1:33">
      <c r="A29" s="381"/>
      <c r="D29" s="259"/>
      <c r="F29" s="274"/>
      <c r="H29" s="270"/>
      <c r="O29" s="422" t="s">
        <v>123</v>
      </c>
      <c r="P29" s="422" t="s">
        <v>123</v>
      </c>
    </row>
    <row r="30" spans="1:33">
      <c r="A30" s="381"/>
      <c r="D30" s="259"/>
      <c r="F30" s="274"/>
      <c r="M30" s="259"/>
      <c r="O30" s="423">
        <f>N26*O28</f>
        <v>0</v>
      </c>
      <c r="P30" s="423">
        <f>O30*P28</f>
        <v>0</v>
      </c>
    </row>
    <row r="31" spans="1:33">
      <c r="A31" s="381"/>
      <c r="D31" s="259"/>
      <c r="F31" s="274"/>
      <c r="N31" s="270"/>
    </row>
    <row r="32" spans="1:33">
      <c r="A32" s="381"/>
      <c r="D32" s="259"/>
      <c r="F32" s="274"/>
    </row>
    <row r="33" spans="1:6">
      <c r="A33" s="381"/>
      <c r="D33" s="259"/>
      <c r="F33" s="274"/>
    </row>
    <row r="34" spans="1:6">
      <c r="A34" s="381"/>
      <c r="D34" s="259"/>
      <c r="F34" s="274"/>
    </row>
    <row r="35" spans="1:6">
      <c r="A35" s="381"/>
      <c r="B35" s="381"/>
      <c r="C35" s="381"/>
      <c r="E35" s="270"/>
    </row>
    <row r="49" s="155" customFormat="1"/>
    <row r="50" s="155" customFormat="1"/>
    <row r="51" s="155" customFormat="1"/>
    <row r="52" s="155" customFormat="1"/>
    <row r="53" s="155" customFormat="1"/>
    <row r="55" s="155" customFormat="1"/>
    <row r="56" s="155" customFormat="1"/>
    <row r="57" s="155" customFormat="1"/>
    <row r="58" s="155" customFormat="1"/>
    <row r="59" s="155" customFormat="1"/>
    <row r="61" s="155" customFormat="1"/>
    <row r="63" s="155" customFormat="1"/>
    <row r="64" s="155" customFormat="1"/>
    <row r="65" s="155" customFormat="1"/>
    <row r="67" s="155" customFormat="1"/>
    <row r="68" s="155" customFormat="1"/>
    <row r="69" s="155" customFormat="1"/>
    <row r="71" s="155" customFormat="1"/>
    <row r="72" s="155" customFormat="1"/>
    <row r="73" s="155" customFormat="1"/>
    <row r="74" s="155" customFormat="1"/>
    <row r="76" s="155" customFormat="1"/>
    <row r="77" s="155" customFormat="1"/>
    <row r="79" s="155" customFormat="1"/>
    <row r="80" s="155" customFormat="1"/>
    <row r="82" s="155" customFormat="1"/>
    <row r="83" s="155" customFormat="1"/>
    <row r="85" s="155" customFormat="1"/>
    <row r="88" s="155" customFormat="1"/>
    <row r="91" s="155" customFormat="1"/>
    <row r="92" s="155" customFormat="1"/>
    <row r="94" s="155" customFormat="1"/>
    <row r="97" s="155" customFormat="1"/>
    <row r="98" s="155" customFormat="1"/>
    <row r="99" s="155" customFormat="1"/>
    <row r="100" s="155" customFormat="1"/>
    <row r="101" s="155" customFormat="1"/>
    <row r="102" s="155" customFormat="1"/>
    <row r="103" s="155" customFormat="1"/>
    <row r="104" s="155" customFormat="1"/>
    <row r="105" s="155" customFormat="1"/>
    <row r="106" s="155" customFormat="1"/>
    <row r="107" s="155" customFormat="1"/>
    <row r="108" s="155" customFormat="1"/>
    <row r="109" s="155" customFormat="1"/>
    <row r="110" s="155" customFormat="1"/>
    <row r="111" s="155" customFormat="1"/>
    <row r="112" s="155" customFormat="1"/>
    <row r="113" s="155" customFormat="1"/>
    <row r="115" s="155" customFormat="1"/>
    <row r="116" s="155" customFormat="1"/>
    <row r="117" s="155" customFormat="1"/>
    <row r="119" s="155" customFormat="1"/>
    <row r="120" s="155" customFormat="1"/>
    <row r="121" s="155" customFormat="1"/>
    <row r="122" s="155" customFormat="1"/>
    <row r="123" s="155" customFormat="1"/>
    <row r="124" s="155" customFormat="1"/>
    <row r="125" s="155" customFormat="1"/>
    <row r="127" s="155" customFormat="1"/>
    <row r="129" s="155" customFormat="1"/>
  </sheetData>
  <sheetProtection sheet="1" objects="1" scenarios="1"/>
  <mergeCells count="35">
    <mergeCell ref="W3:W4"/>
    <mergeCell ref="X3:X4"/>
    <mergeCell ref="Y3:Y4"/>
    <mergeCell ref="Z2:AC2"/>
    <mergeCell ref="AF2:AG2"/>
    <mergeCell ref="Z3:Z4"/>
    <mergeCell ref="AA3:AA4"/>
    <mergeCell ref="AB3:AB4"/>
    <mergeCell ref="AC3:AC4"/>
    <mergeCell ref="AF3:AF4"/>
    <mergeCell ref="AG3:AG4"/>
    <mergeCell ref="AD2:AE2"/>
    <mergeCell ref="AD3:AD4"/>
    <mergeCell ref="AE3:AE4"/>
    <mergeCell ref="U2:U3"/>
    <mergeCell ref="V2:Y2"/>
    <mergeCell ref="G2:G4"/>
    <mergeCell ref="K2:K4"/>
    <mergeCell ref="S2:S4"/>
    <mergeCell ref="H2:H4"/>
    <mergeCell ref="I2:I3"/>
    <mergeCell ref="J2:J4"/>
    <mergeCell ref="L2:L3"/>
    <mergeCell ref="M2:M4"/>
    <mergeCell ref="N2:N4"/>
    <mergeCell ref="O2:O4"/>
    <mergeCell ref="P2:P4"/>
    <mergeCell ref="Q2:Q4"/>
    <mergeCell ref="R2:R4"/>
    <mergeCell ref="V3:V4"/>
    <mergeCell ref="B2:C5"/>
    <mergeCell ref="D2:D4"/>
    <mergeCell ref="E2:E4"/>
    <mergeCell ref="F2:F4"/>
    <mergeCell ref="T2:T4"/>
  </mergeCells>
  <phoneticPr fontId="27"/>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800000"/>
  </sheetPr>
  <dimension ref="A1:AE129"/>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155" customWidth="1"/>
    <col min="2" max="2" width="6.6328125" style="155" customWidth="1"/>
    <col min="3" max="3" width="21.08984375" style="155" customWidth="1"/>
    <col min="4" max="31" width="12.6328125" style="155" customWidth="1"/>
    <col min="32" max="16384" width="9" style="155"/>
  </cols>
  <sheetData>
    <row r="1" spans="1:31" ht="37.5" customHeight="1">
      <c r="A1" s="381"/>
      <c r="B1" s="382"/>
      <c r="C1" s="428"/>
    </row>
    <row r="2" spans="1:31" ht="17.25" customHeight="1">
      <c r="A2" s="384"/>
      <c r="B2" s="649" t="s">
        <v>196</v>
      </c>
      <c r="C2" s="650"/>
      <c r="D2" s="643" t="s">
        <v>120</v>
      </c>
      <c r="E2" s="643" t="s">
        <v>106</v>
      </c>
      <c r="F2" s="647" t="s">
        <v>120</v>
      </c>
      <c r="G2" s="643" t="s">
        <v>128</v>
      </c>
      <c r="H2" s="643" t="s">
        <v>107</v>
      </c>
      <c r="I2" s="643" t="s">
        <v>107</v>
      </c>
      <c r="J2" s="644" t="s">
        <v>108</v>
      </c>
      <c r="K2" s="643" t="s">
        <v>109</v>
      </c>
      <c r="L2" s="643" t="s">
        <v>110</v>
      </c>
      <c r="M2" s="643" t="s">
        <v>111</v>
      </c>
      <c r="N2" s="644" t="s">
        <v>112</v>
      </c>
      <c r="O2" s="644" t="s">
        <v>113</v>
      </c>
      <c r="P2" s="643" t="s">
        <v>104</v>
      </c>
      <c r="Q2" s="643" t="s">
        <v>114</v>
      </c>
      <c r="R2" s="643" t="s">
        <v>115</v>
      </c>
      <c r="S2" s="643" t="s">
        <v>115</v>
      </c>
      <c r="T2" s="644" t="s">
        <v>116</v>
      </c>
      <c r="U2" s="644"/>
      <c r="V2" s="644"/>
      <c r="W2" s="644"/>
      <c r="X2" s="657" t="s">
        <v>117</v>
      </c>
      <c r="Y2" s="657"/>
      <c r="Z2" s="657"/>
      <c r="AA2" s="657"/>
      <c r="AB2" s="662" t="s">
        <v>119</v>
      </c>
      <c r="AC2" s="663"/>
      <c r="AD2" s="662" t="s">
        <v>118</v>
      </c>
      <c r="AE2" s="663"/>
    </row>
    <row r="3" spans="1:31">
      <c r="A3" s="384"/>
      <c r="B3" s="651"/>
      <c r="C3" s="652"/>
      <c r="D3" s="644"/>
      <c r="E3" s="644"/>
      <c r="F3" s="648"/>
      <c r="G3" s="644"/>
      <c r="H3" s="644"/>
      <c r="I3" s="643"/>
      <c r="J3" s="644"/>
      <c r="K3" s="643"/>
      <c r="L3" s="643"/>
      <c r="M3" s="644"/>
      <c r="N3" s="644"/>
      <c r="O3" s="644"/>
      <c r="P3" s="644"/>
      <c r="Q3" s="644"/>
      <c r="R3" s="644"/>
      <c r="S3" s="643"/>
      <c r="T3" s="657" t="s">
        <v>120</v>
      </c>
      <c r="U3" s="658" t="s">
        <v>107</v>
      </c>
      <c r="V3" s="658" t="s">
        <v>115</v>
      </c>
      <c r="W3" s="644" t="s">
        <v>121</v>
      </c>
      <c r="X3" s="657" t="s">
        <v>120</v>
      </c>
      <c r="Y3" s="658" t="s">
        <v>107</v>
      </c>
      <c r="Z3" s="658" t="s">
        <v>115</v>
      </c>
      <c r="AA3" s="657" t="s">
        <v>121</v>
      </c>
      <c r="AB3" s="659" t="s">
        <v>120</v>
      </c>
      <c r="AC3" s="647" t="s">
        <v>121</v>
      </c>
      <c r="AD3" s="659" t="s">
        <v>120</v>
      </c>
      <c r="AE3" s="647" t="s">
        <v>121</v>
      </c>
    </row>
    <row r="4" spans="1:31">
      <c r="A4" s="384"/>
      <c r="B4" s="651"/>
      <c r="C4" s="652"/>
      <c r="D4" s="644"/>
      <c r="E4" s="644"/>
      <c r="F4" s="385" t="s">
        <v>122</v>
      </c>
      <c r="G4" s="644"/>
      <c r="H4" s="644"/>
      <c r="I4" s="385" t="s">
        <v>122</v>
      </c>
      <c r="J4" s="644"/>
      <c r="K4" s="643"/>
      <c r="L4" s="643"/>
      <c r="M4" s="644"/>
      <c r="N4" s="644"/>
      <c r="O4" s="644"/>
      <c r="P4" s="644"/>
      <c r="Q4" s="644"/>
      <c r="R4" s="644"/>
      <c r="S4" s="385" t="s">
        <v>122</v>
      </c>
      <c r="T4" s="657"/>
      <c r="U4" s="658"/>
      <c r="V4" s="658"/>
      <c r="W4" s="644"/>
      <c r="X4" s="657"/>
      <c r="Y4" s="658"/>
      <c r="Z4" s="658"/>
      <c r="AA4" s="657"/>
      <c r="AB4" s="660"/>
      <c r="AC4" s="661"/>
      <c r="AD4" s="660"/>
      <c r="AE4" s="661"/>
    </row>
    <row r="5" spans="1:31">
      <c r="A5" s="384"/>
      <c r="B5" s="653"/>
      <c r="C5" s="654"/>
      <c r="D5" s="387">
        <f>固定資本!$F$6</f>
        <v>2025</v>
      </c>
      <c r="E5" s="386"/>
      <c r="F5" s="387">
        <v>2020</v>
      </c>
      <c r="G5" s="387">
        <v>2020</v>
      </c>
      <c r="H5" s="387">
        <v>2020</v>
      </c>
      <c r="I5" s="387">
        <f>固定資本!$F$6</f>
        <v>2025</v>
      </c>
      <c r="J5" s="390"/>
      <c r="K5" s="387">
        <v>2020</v>
      </c>
      <c r="L5" s="391"/>
      <c r="M5" s="391"/>
      <c r="N5" s="388"/>
      <c r="O5" s="387">
        <v>2020</v>
      </c>
      <c r="P5" s="388"/>
      <c r="Q5" s="387">
        <v>2020</v>
      </c>
      <c r="R5" s="387">
        <v>2020</v>
      </c>
      <c r="S5" s="387">
        <f>固定資本!$F$6</f>
        <v>2025</v>
      </c>
      <c r="T5" s="387">
        <f>固定資本!$F$6</f>
        <v>2025</v>
      </c>
      <c r="U5" s="387">
        <f>固定資本!$F$6</f>
        <v>2025</v>
      </c>
      <c r="V5" s="387">
        <f>固定資本!$F$6</f>
        <v>2025</v>
      </c>
      <c r="W5" s="387">
        <f>固定資本!$F$6</f>
        <v>2025</v>
      </c>
      <c r="X5" s="387">
        <f>固定資本!$F$6</f>
        <v>2025</v>
      </c>
      <c r="Y5" s="387">
        <f>固定資本!$F$6</f>
        <v>2025</v>
      </c>
      <c r="Z5" s="387">
        <f>固定資本!$F$6</f>
        <v>2025</v>
      </c>
      <c r="AA5" s="387">
        <f>固定資本!$F$6</f>
        <v>2025</v>
      </c>
      <c r="AB5" s="392"/>
      <c r="AC5" s="393"/>
      <c r="AD5" s="392"/>
      <c r="AE5" s="393"/>
    </row>
    <row r="6" spans="1:31">
      <c r="A6" s="381"/>
      <c r="B6" s="394">
        <v>1</v>
      </c>
      <c r="C6" s="395" t="s">
        <v>330</v>
      </c>
      <c r="D6" s="397">
        <f>IF(B6=入力!$F$30,入力!$D$18,0)</f>
        <v>6349.2534636753626</v>
      </c>
      <c r="E6" s="398">
        <f>固定資本!M6</f>
        <v>1.0104808178894849</v>
      </c>
      <c r="F6" s="397">
        <f t="shared" ref="F6:F25" si="0">D6/E6</f>
        <v>6283.3983102584471</v>
      </c>
      <c r="G6" s="507">
        <f t="array" ref="G6:G25">MMULT(係数!J6:AC25,F6:F25)</f>
        <v>6390.5651994854315</v>
      </c>
      <c r="H6" s="397">
        <f>G6-F6</f>
        <v>107.16688922698449</v>
      </c>
      <c r="I6" s="397">
        <f>E6*H6</f>
        <v>108.29008587675511</v>
      </c>
      <c r="J6" s="398">
        <f>係数!E6+係数!F6</f>
        <v>0.34729264892287653</v>
      </c>
      <c r="K6" s="397">
        <f>G6*J6</f>
        <v>2219.3963162436467</v>
      </c>
      <c r="N6" s="398">
        <f>係数!G6</f>
        <v>1.2640050582432142E-2</v>
      </c>
      <c r="O6" s="397">
        <f>N6*$M$30</f>
        <v>25.721172113984395</v>
      </c>
      <c r="P6" s="398">
        <f>係数!D6</f>
        <v>0.18042550811978708</v>
      </c>
      <c r="Q6" s="397">
        <f t="shared" ref="Q6:Q25" si="1">P6*O6</f>
        <v>4.6407555481021321</v>
      </c>
      <c r="R6" s="507">
        <f t="array" ref="R6:R25">MMULT(係数!J6:AC25,Q6:Q25)</f>
        <v>5.6551296817037331</v>
      </c>
      <c r="S6" s="397">
        <f t="shared" ref="S6:S25" si="2">E6*R6</f>
        <v>5.7144000660390901</v>
      </c>
      <c r="T6" s="429">
        <f t="shared" ref="T6:T25" si="3">D6</f>
        <v>6349.2534636753626</v>
      </c>
      <c r="U6" s="397">
        <f>I6</f>
        <v>108.29008587675511</v>
      </c>
      <c r="V6" s="397">
        <f>S6</f>
        <v>5.7144000660390901</v>
      </c>
      <c r="W6" s="397">
        <f>SUM(T6:V6)</f>
        <v>6463.257949618157</v>
      </c>
      <c r="X6" s="401">
        <f>T6*(1-固定資本!N6)</f>
        <v>2711.9160077373681</v>
      </c>
      <c r="Y6" s="397">
        <f>U6*(1-固定資本!N6)</f>
        <v>46.253251511939013</v>
      </c>
      <c r="Z6" s="397">
        <f>V6*(1-固定資本!N6)</f>
        <v>2.4407551379648691</v>
      </c>
      <c r="AA6" s="397">
        <f>SUM(X6:Z6)</f>
        <v>2760.6100143872723</v>
      </c>
      <c r="AB6" s="402">
        <f>F6*係数!H6/1000</f>
        <v>1.8186909347716085</v>
      </c>
      <c r="AC6" s="400">
        <f>(G6+R6)*係数!H6/1000</f>
        <v>1.8513465731539254</v>
      </c>
      <c r="AD6" s="402">
        <f>F6*係数!I6/1000</f>
        <v>0.65934593282150822</v>
      </c>
      <c r="AE6" s="400">
        <f>(G6+R6)*係数!I6/1000</f>
        <v>0.67118486704579661</v>
      </c>
    </row>
    <row r="7" spans="1:31">
      <c r="A7" s="381"/>
      <c r="B7" s="394">
        <v>2</v>
      </c>
      <c r="C7" s="395" t="s">
        <v>23</v>
      </c>
      <c r="D7" s="397">
        <f>IF(B7=入力!$F$30,入力!$D$18,0)</f>
        <v>0</v>
      </c>
      <c r="E7" s="398">
        <f>固定資本!M7</f>
        <v>1.3446136564913536</v>
      </c>
      <c r="F7" s="397">
        <f t="shared" si="0"/>
        <v>0</v>
      </c>
      <c r="G7" s="507">
        <v>0.48438310079899155</v>
      </c>
      <c r="H7" s="397">
        <f t="shared" ref="H7:H25" si="4">G7-F7</f>
        <v>0.48438310079899155</v>
      </c>
      <c r="I7" s="397">
        <f t="shared" ref="I7:I25" si="5">E7*H7</f>
        <v>0.65130813230795193</v>
      </c>
      <c r="J7" s="398">
        <f>係数!E7+係数!F7</f>
        <v>0.26368236033167564</v>
      </c>
      <c r="K7" s="397">
        <f t="shared" ref="K7:K25" si="6">G7*J7</f>
        <v>0.12772327932345406</v>
      </c>
      <c r="N7" s="398">
        <f>係数!G7</f>
        <v>1.4077333551141487E-7</v>
      </c>
      <c r="O7" s="397">
        <f t="shared" ref="O7:O26" si="7">N7*$M$30</f>
        <v>2.8645891629430997E-4</v>
      </c>
      <c r="P7" s="398">
        <f>係数!D7</f>
        <v>3.0160827002289059E-2</v>
      </c>
      <c r="Q7" s="397">
        <f t="shared" si="1"/>
        <v>8.6398378176158854E-6</v>
      </c>
      <c r="R7" s="507">
        <v>0.31399442061578908</v>
      </c>
      <c r="S7" s="397">
        <f t="shared" si="2"/>
        <v>0.42220118602208023</v>
      </c>
      <c r="T7" s="401">
        <f t="shared" si="3"/>
        <v>0</v>
      </c>
      <c r="U7" s="397">
        <f t="shared" ref="U7:U25" si="8">I7</f>
        <v>0.65130813230795193</v>
      </c>
      <c r="V7" s="397">
        <f t="shared" ref="V7:V25" si="9">S7</f>
        <v>0.42220118602208023</v>
      </c>
      <c r="W7" s="397">
        <f t="shared" ref="W7:W25" si="10">SUM(T7:V7)</f>
        <v>1.0735093183300322</v>
      </c>
      <c r="X7" s="401">
        <f>T7*(1-固定資本!N7)</f>
        <v>0</v>
      </c>
      <c r="Y7" s="397">
        <f>U7*(1-固定資本!N7)</f>
        <v>0.31639188414017799</v>
      </c>
      <c r="Z7" s="397">
        <f>V7*(1-固定資本!N7)</f>
        <v>0.20509651592770822</v>
      </c>
      <c r="AA7" s="397">
        <f t="shared" ref="AA7:AA25" si="11">SUM(X7:Z7)</f>
        <v>0.52148840006788622</v>
      </c>
      <c r="AB7" s="402">
        <f>F7*係数!H7/1000</f>
        <v>0</v>
      </c>
      <c r="AC7" s="400">
        <f>(G7+R7)*係数!H7/1000</f>
        <v>2.4939160521878287E-5</v>
      </c>
      <c r="AD7" s="402">
        <f>F7*係数!I7/1000</f>
        <v>0</v>
      </c>
      <c r="AE7" s="400">
        <f>(G7+R7)*係数!I7/1000</f>
        <v>2.4704990000546093E-5</v>
      </c>
    </row>
    <row r="8" spans="1:31">
      <c r="A8" s="381"/>
      <c r="B8" s="394">
        <v>3</v>
      </c>
      <c r="C8" s="395" t="s">
        <v>24</v>
      </c>
      <c r="D8" s="397">
        <f>IF(B8=入力!$F$30,入力!$D$18,0)</f>
        <v>0</v>
      </c>
      <c r="E8" s="398">
        <f>固定資本!M8</f>
        <v>1.0806750710483002</v>
      </c>
      <c r="F8" s="397">
        <f t="shared" si="0"/>
        <v>0</v>
      </c>
      <c r="G8" s="507">
        <v>310.441306981379</v>
      </c>
      <c r="H8" s="397">
        <f t="shared" si="4"/>
        <v>310.441306981379</v>
      </c>
      <c r="I8" s="397">
        <f t="shared" si="5"/>
        <v>335.48618147842893</v>
      </c>
      <c r="J8" s="398">
        <f>係数!E8+係数!F8</f>
        <v>0.23439218833455738</v>
      </c>
      <c r="K8" s="397">
        <f t="shared" si="6"/>
        <v>72.765017292805524</v>
      </c>
      <c r="N8" s="398">
        <f>係数!G8</f>
        <v>0.2007953339784751</v>
      </c>
      <c r="O8" s="397">
        <f t="shared" si="7"/>
        <v>408.5973636943761</v>
      </c>
      <c r="P8" s="398">
        <f>係数!D8</f>
        <v>0.20072013777143771</v>
      </c>
      <c r="Q8" s="397">
        <f t="shared" si="1"/>
        <v>82.013719133781407</v>
      </c>
      <c r="R8" s="507">
        <v>107.37647494702757</v>
      </c>
      <c r="S8" s="397">
        <f t="shared" si="2"/>
        <v>116.03907969229505</v>
      </c>
      <c r="T8" s="401">
        <f t="shared" si="3"/>
        <v>0</v>
      </c>
      <c r="U8" s="397">
        <f t="shared" si="8"/>
        <v>335.48618147842893</v>
      </c>
      <c r="V8" s="397">
        <f t="shared" si="9"/>
        <v>116.03907969229505</v>
      </c>
      <c r="W8" s="397">
        <f t="shared" si="10"/>
        <v>451.52526117072398</v>
      </c>
      <c r="X8" s="401">
        <f>T8*(1-固定資本!N8)</f>
        <v>0</v>
      </c>
      <c r="Y8" s="397">
        <f>U8*(1-固定資本!N8)</f>
        <v>105.16452403531991</v>
      </c>
      <c r="Z8" s="397">
        <f>V8*(1-固定資本!N8)</f>
        <v>36.374656421195716</v>
      </c>
      <c r="AA8" s="397">
        <f t="shared" si="11"/>
        <v>141.53918045651562</v>
      </c>
      <c r="AB8" s="402">
        <f>F8*係数!H8/1000</f>
        <v>0</v>
      </c>
      <c r="AC8" s="400">
        <f>(G8+R8)*係数!H8/1000</f>
        <v>1.5985775443560057E-2</v>
      </c>
      <c r="AD8" s="402">
        <f>F8*係数!I8/1000</f>
        <v>0</v>
      </c>
      <c r="AE8" s="400">
        <f>(G8+R8)*係数!I8/1000</f>
        <v>1.5270026943534422E-2</v>
      </c>
    </row>
    <row r="9" spans="1:31">
      <c r="A9" s="381"/>
      <c r="B9" s="394">
        <v>4</v>
      </c>
      <c r="C9" s="395" t="s">
        <v>25</v>
      </c>
      <c r="D9" s="397">
        <f>IF(B9=入力!$F$30,入力!$D$18,0)</f>
        <v>0</v>
      </c>
      <c r="E9" s="398">
        <f>固定資本!M9</f>
        <v>1.0837344351628673</v>
      </c>
      <c r="F9" s="397">
        <f t="shared" si="0"/>
        <v>0</v>
      </c>
      <c r="G9" s="507">
        <v>16.187014482058526</v>
      </c>
      <c r="H9" s="397">
        <f t="shared" si="4"/>
        <v>16.187014482058526</v>
      </c>
      <c r="I9" s="397">
        <f t="shared" si="5"/>
        <v>17.542424996686851</v>
      </c>
      <c r="J9" s="398">
        <f>係数!E9+係数!F9</f>
        <v>0.40192809887703745</v>
      </c>
      <c r="K9" s="397">
        <f t="shared" si="6"/>
        <v>6.5060159572688567</v>
      </c>
      <c r="N9" s="398">
        <f>係数!G9</f>
        <v>0</v>
      </c>
      <c r="O9" s="397">
        <f t="shared" si="7"/>
        <v>0</v>
      </c>
      <c r="P9" s="398">
        <f>係数!D9</f>
        <v>1</v>
      </c>
      <c r="Q9" s="397">
        <f t="shared" si="1"/>
        <v>0</v>
      </c>
      <c r="R9" s="507">
        <v>5.542983812827039</v>
      </c>
      <c r="S9" s="397">
        <f t="shared" si="2"/>
        <v>6.0071224315110276</v>
      </c>
      <c r="T9" s="401">
        <f t="shared" si="3"/>
        <v>0</v>
      </c>
      <c r="U9" s="397">
        <f t="shared" si="8"/>
        <v>17.542424996686851</v>
      </c>
      <c r="V9" s="397">
        <f t="shared" si="9"/>
        <v>6.0071224315110276</v>
      </c>
      <c r="W9" s="397">
        <f t="shared" si="10"/>
        <v>23.549547428197879</v>
      </c>
      <c r="X9" s="401">
        <f>T9*(1-固定資本!N9)</f>
        <v>0</v>
      </c>
      <c r="Y9" s="397">
        <f>U9*(1-固定資本!N9)</f>
        <v>8.9696594297303687</v>
      </c>
      <c r="Z9" s="397">
        <f>V9*(1-固定資本!N9)</f>
        <v>3.0715161885271907</v>
      </c>
      <c r="AA9" s="397">
        <f t="shared" si="11"/>
        <v>12.04117561825756</v>
      </c>
      <c r="AB9" s="402">
        <f>F9*係数!H9/1000</f>
        <v>0</v>
      </c>
      <c r="AC9" s="400">
        <f>(G9+R9)*係数!H9/1000</f>
        <v>1.7744897649849569E-3</v>
      </c>
      <c r="AD9" s="402">
        <f>F9*係数!I9/1000</f>
        <v>0</v>
      </c>
      <c r="AE9" s="400">
        <f>(G9+R9)*係数!I9/1000</f>
        <v>1.4231796598699908E-3</v>
      </c>
    </row>
    <row r="10" spans="1:31">
      <c r="A10" s="381"/>
      <c r="B10" s="394">
        <v>5</v>
      </c>
      <c r="C10" s="395" t="s">
        <v>26</v>
      </c>
      <c r="D10" s="397">
        <f>IF(B10=入力!$F$30,入力!$D$18,0)</f>
        <v>0</v>
      </c>
      <c r="E10" s="398">
        <f>固定資本!M10</f>
        <v>1.0270278426848884</v>
      </c>
      <c r="F10" s="397">
        <f t="shared" si="0"/>
        <v>0</v>
      </c>
      <c r="G10" s="507">
        <v>89.4343912143582</v>
      </c>
      <c r="H10" s="397">
        <f t="shared" si="4"/>
        <v>89.4343912143582</v>
      </c>
      <c r="I10" s="397">
        <f t="shared" si="5"/>
        <v>91.851609870718647</v>
      </c>
      <c r="J10" s="398">
        <f>係数!E10+係数!F10</f>
        <v>0.15515223470512657</v>
      </c>
      <c r="K10" s="397">
        <f t="shared" si="6"/>
        <v>13.875945656400212</v>
      </c>
      <c r="N10" s="398">
        <f>係数!G10</f>
        <v>3.0927514375825624E-2</v>
      </c>
      <c r="O10" s="397">
        <f t="shared" si="7"/>
        <v>62.934235518325949</v>
      </c>
      <c r="P10" s="398">
        <f>係数!D10</f>
        <v>0.67935797556191746</v>
      </c>
      <c r="Q10" s="397">
        <f t="shared" si="1"/>
        <v>42.75487483526684</v>
      </c>
      <c r="R10" s="507">
        <v>61.983204377905139</v>
      </c>
      <c r="S10" s="397">
        <f t="shared" si="2"/>
        <v>63.658476674936445</v>
      </c>
      <c r="T10" s="401">
        <f t="shared" si="3"/>
        <v>0</v>
      </c>
      <c r="U10" s="397">
        <f t="shared" si="8"/>
        <v>91.851609870718647</v>
      </c>
      <c r="V10" s="397">
        <f t="shared" si="9"/>
        <v>63.658476674936445</v>
      </c>
      <c r="W10" s="397">
        <f t="shared" si="10"/>
        <v>155.5100865456551</v>
      </c>
      <c r="X10" s="401">
        <f>T10*(1-固定資本!N10)</f>
        <v>0</v>
      </c>
      <c r="Y10" s="397">
        <f>U10*(1-固定資本!N10)</f>
        <v>35.533243909018395</v>
      </c>
      <c r="Z10" s="397">
        <f>V10*(1-固定資本!N10)</f>
        <v>24.626592628597741</v>
      </c>
      <c r="AA10" s="397">
        <f t="shared" si="11"/>
        <v>60.159836537616137</v>
      </c>
      <c r="AB10" s="402">
        <f>F10*係数!H10/1000</f>
        <v>0</v>
      </c>
      <c r="AC10" s="400">
        <f>(G10+R10)*係数!H10/1000</f>
        <v>1.8042563803659379E-3</v>
      </c>
      <c r="AD10" s="402">
        <f>F10*係数!I10/1000</f>
        <v>0</v>
      </c>
      <c r="AE10" s="400">
        <f>(G10+R10)*係数!I10/1000</f>
        <v>1.8042563803659379E-3</v>
      </c>
    </row>
    <row r="11" spans="1:31">
      <c r="A11" s="381"/>
      <c r="B11" s="394">
        <v>6</v>
      </c>
      <c r="C11" s="395" t="s">
        <v>27</v>
      </c>
      <c r="D11" s="397">
        <f>IF(B11=入力!$F$30,入力!$D$18,0)</f>
        <v>0</v>
      </c>
      <c r="E11" s="398">
        <f>固定資本!M11</f>
        <v>1.0828948084534689</v>
      </c>
      <c r="F11" s="397">
        <f t="shared" si="0"/>
        <v>0</v>
      </c>
      <c r="G11" s="507">
        <v>354.43792191419459</v>
      </c>
      <c r="H11" s="397">
        <f t="shared" si="4"/>
        <v>354.43792191419459</v>
      </c>
      <c r="I11" s="397">
        <f t="shared" si="5"/>
        <v>383.81898555991728</v>
      </c>
      <c r="J11" s="398">
        <f>係数!E11+係数!F11</f>
        <v>0.54797125739735564</v>
      </c>
      <c r="K11" s="397">
        <f t="shared" si="6"/>
        <v>194.22179374062696</v>
      </c>
      <c r="N11" s="398">
        <f>係数!G11</f>
        <v>0.15313294044826331</v>
      </c>
      <c r="O11" s="397">
        <f t="shared" si="7"/>
        <v>311.60941104655171</v>
      </c>
      <c r="P11" s="398">
        <f>係数!D11</f>
        <v>0.70804842552064784</v>
      </c>
      <c r="Q11" s="397">
        <f t="shared" si="1"/>
        <v>220.6345528689273</v>
      </c>
      <c r="R11" s="507">
        <v>241.06615499204341</v>
      </c>
      <c r="S11" s="397">
        <f t="shared" si="2"/>
        <v>261.04928773472307</v>
      </c>
      <c r="T11" s="401">
        <f t="shared" si="3"/>
        <v>0</v>
      </c>
      <c r="U11" s="397">
        <f t="shared" si="8"/>
        <v>383.81898555991728</v>
      </c>
      <c r="V11" s="397">
        <f t="shared" si="9"/>
        <v>261.04928773472307</v>
      </c>
      <c r="W11" s="397">
        <f t="shared" si="10"/>
        <v>644.8682732946404</v>
      </c>
      <c r="X11" s="401">
        <f>T11*(1-固定資本!N11)</f>
        <v>0</v>
      </c>
      <c r="Y11" s="397">
        <f>U11*(1-固定資本!N11)</f>
        <v>280.67804482423315</v>
      </c>
      <c r="Z11" s="397">
        <f>V11*(1-固定資本!N11)</f>
        <v>190.89937298764124</v>
      </c>
      <c r="AA11" s="397">
        <f t="shared" si="11"/>
        <v>471.5774178118744</v>
      </c>
      <c r="AB11" s="402">
        <f>F11*係数!H11/1000</f>
        <v>0</v>
      </c>
      <c r="AC11" s="400">
        <f>(G11+R11)*係数!H11/1000</f>
        <v>8.3563422300452536E-2</v>
      </c>
      <c r="AD11" s="402">
        <f>F11*係数!I11/1000</f>
        <v>0</v>
      </c>
      <c r="AE11" s="400">
        <f>(G11+R11)*係数!I11/1000</f>
        <v>7.8473804930980801E-2</v>
      </c>
    </row>
    <row r="12" spans="1:31">
      <c r="A12" s="381"/>
      <c r="B12" s="394">
        <v>7</v>
      </c>
      <c r="C12" s="395" t="s">
        <v>28</v>
      </c>
      <c r="D12" s="397">
        <f>IF(B12=入力!$F$30,入力!$D$18,0)</f>
        <v>0</v>
      </c>
      <c r="E12" s="398">
        <f>固定資本!M12</f>
        <v>1.0150936591101991</v>
      </c>
      <c r="F12" s="397">
        <f t="shared" si="0"/>
        <v>0</v>
      </c>
      <c r="G12" s="507">
        <v>57.554948714384331</v>
      </c>
      <c r="H12" s="397">
        <f t="shared" si="4"/>
        <v>57.554948714384331</v>
      </c>
      <c r="I12" s="397">
        <f t="shared" si="5"/>
        <v>58.423663490384243</v>
      </c>
      <c r="J12" s="398">
        <f>係数!E12+係数!F12</f>
        <v>0.52192103343471552</v>
      </c>
      <c r="K12" s="397">
        <f t="shared" si="6"/>
        <v>30.03913831229352</v>
      </c>
      <c r="N12" s="398">
        <f>係数!G12</f>
        <v>4.7371922807883E-2</v>
      </c>
      <c r="O12" s="397">
        <f t="shared" si="7"/>
        <v>96.396875310406443</v>
      </c>
      <c r="P12" s="398">
        <f>係数!D12</f>
        <v>0.68770259202726169</v>
      </c>
      <c r="Q12" s="397">
        <f t="shared" si="1"/>
        <v>66.292381014295259</v>
      </c>
      <c r="R12" s="507">
        <v>113.86978783904095</v>
      </c>
      <c r="S12" s="397">
        <f t="shared" si="2"/>
        <v>115.58849959963413</v>
      </c>
      <c r="T12" s="401">
        <f t="shared" si="3"/>
        <v>0</v>
      </c>
      <c r="U12" s="397">
        <f t="shared" si="8"/>
        <v>58.423663490384243</v>
      </c>
      <c r="V12" s="397">
        <f t="shared" si="9"/>
        <v>115.58849959963413</v>
      </c>
      <c r="W12" s="397">
        <f t="shared" si="10"/>
        <v>174.01216309001836</v>
      </c>
      <c r="X12" s="401">
        <f>T12*(1-固定資本!N12)</f>
        <v>0</v>
      </c>
      <c r="Y12" s="397">
        <f>U12*(1-固定資本!N12)</f>
        <v>36.366355049659248</v>
      </c>
      <c r="Z12" s="397">
        <f>V12*(1-固定資本!N12)</f>
        <v>71.949141237771499</v>
      </c>
      <c r="AA12" s="397">
        <f t="shared" si="11"/>
        <v>108.31549628743075</v>
      </c>
      <c r="AB12" s="402">
        <f>F12*係数!H12/1000</f>
        <v>0</v>
      </c>
      <c r="AC12" s="400">
        <f>(G12+R12)*係数!H12/1000</f>
        <v>7.5277178837134008E-3</v>
      </c>
      <c r="AD12" s="402">
        <f>F12*係数!I12/1000</f>
        <v>0</v>
      </c>
      <c r="AE12" s="400">
        <f>(G12+R12)*係数!I12/1000</f>
        <v>7.3162615343011356E-3</v>
      </c>
    </row>
    <row r="13" spans="1:31">
      <c r="A13" s="381"/>
      <c r="B13" s="394">
        <v>8</v>
      </c>
      <c r="C13" s="395" t="s">
        <v>29</v>
      </c>
      <c r="D13" s="397">
        <f>IF(B13=入力!$F$30,入力!$D$18,0)</f>
        <v>0</v>
      </c>
      <c r="E13" s="398">
        <f>固定資本!M13</f>
        <v>1.0262288884863693</v>
      </c>
      <c r="F13" s="397">
        <f t="shared" si="0"/>
        <v>0</v>
      </c>
      <c r="G13" s="507">
        <v>35.267509209602864</v>
      </c>
      <c r="H13" s="397">
        <f t="shared" si="4"/>
        <v>35.267509209602864</v>
      </c>
      <c r="I13" s="397">
        <f t="shared" si="5"/>
        <v>36.19253677585354</v>
      </c>
      <c r="J13" s="398">
        <f>係数!E13+係数!F13</f>
        <v>0.34689791074956655</v>
      </c>
      <c r="K13" s="397">
        <f t="shared" si="6"/>
        <v>12.23422526215233</v>
      </c>
      <c r="N13" s="398">
        <f>係数!G13</f>
        <v>4.6219015706579034E-2</v>
      </c>
      <c r="O13" s="397">
        <f t="shared" si="7"/>
        <v>94.050830744311966</v>
      </c>
      <c r="P13" s="398">
        <f>係数!D13</f>
        <v>0.85335503954694347</v>
      </c>
      <c r="Q13" s="397">
        <f t="shared" si="1"/>
        <v>80.258750389235232</v>
      </c>
      <c r="R13" s="507">
        <v>117.92243464060053</v>
      </c>
      <c r="S13" s="397">
        <f t="shared" si="2"/>
        <v>121.01540902883001</v>
      </c>
      <c r="T13" s="401">
        <f t="shared" si="3"/>
        <v>0</v>
      </c>
      <c r="U13" s="397">
        <f t="shared" si="8"/>
        <v>36.19253677585354</v>
      </c>
      <c r="V13" s="397">
        <f t="shared" si="9"/>
        <v>121.01540902883001</v>
      </c>
      <c r="W13" s="397">
        <f t="shared" si="10"/>
        <v>157.20794580468356</v>
      </c>
      <c r="X13" s="401">
        <f>T13*(1-固定資本!N13)</f>
        <v>0</v>
      </c>
      <c r="Y13" s="397">
        <f>U13*(1-固定資本!N13)</f>
        <v>24.303553169513407</v>
      </c>
      <c r="Z13" s="397">
        <f>V13*(1-固定資本!N13)</f>
        <v>81.262732310734023</v>
      </c>
      <c r="AA13" s="397">
        <f t="shared" si="11"/>
        <v>105.56628548024743</v>
      </c>
      <c r="AB13" s="402">
        <f>F13*係数!H13/1000</f>
        <v>0</v>
      </c>
      <c r="AC13" s="400">
        <f>(G13+R13)*係数!H13/1000</f>
        <v>5.8555236630295606E-3</v>
      </c>
      <c r="AD13" s="402">
        <f>F13*係数!I13/1000</f>
        <v>0</v>
      </c>
      <c r="AE13" s="400">
        <f>(G13+R13)*係数!I13/1000</f>
        <v>4.9190827488146535E-3</v>
      </c>
    </row>
    <row r="14" spans="1:31">
      <c r="A14" s="381"/>
      <c r="B14" s="394">
        <v>9</v>
      </c>
      <c r="C14" s="395" t="s">
        <v>30</v>
      </c>
      <c r="D14" s="397">
        <f>IF(B14=入力!$F$30,入力!$D$18,0)</f>
        <v>0</v>
      </c>
      <c r="E14" s="398">
        <f>固定資本!M14</f>
        <v>1.0087963128229642</v>
      </c>
      <c r="F14" s="397">
        <f t="shared" si="0"/>
        <v>0</v>
      </c>
      <c r="G14" s="507">
        <v>123.02831558991551</v>
      </c>
      <c r="H14" s="397">
        <f t="shared" si="4"/>
        <v>123.02831558991551</v>
      </c>
      <c r="I14" s="397">
        <f t="shared" si="5"/>
        <v>124.11051113992677</v>
      </c>
      <c r="J14" s="398">
        <f>係数!E14+係数!F14</f>
        <v>0.50067088795338788</v>
      </c>
      <c r="K14" s="397">
        <f t="shared" si="6"/>
        <v>61.596696009812632</v>
      </c>
      <c r="N14" s="398">
        <f>係数!G14</f>
        <v>4.5302656304729606E-2</v>
      </c>
      <c r="O14" s="397">
        <f t="shared" si="7"/>
        <v>92.186135841429575</v>
      </c>
      <c r="P14" s="398">
        <f>係数!D14</f>
        <v>0.5385688819162493</v>
      </c>
      <c r="Q14" s="397">
        <f t="shared" si="1"/>
        <v>49.648584108298202</v>
      </c>
      <c r="R14" s="507">
        <v>62.665274490495811</v>
      </c>
      <c r="S14" s="397">
        <f t="shared" si="2"/>
        <v>63.216497848051134</v>
      </c>
      <c r="T14" s="401">
        <f t="shared" si="3"/>
        <v>0</v>
      </c>
      <c r="U14" s="397">
        <f t="shared" si="8"/>
        <v>124.11051113992677</v>
      </c>
      <c r="V14" s="397">
        <f t="shared" si="9"/>
        <v>63.216497848051134</v>
      </c>
      <c r="W14" s="397">
        <f t="shared" si="10"/>
        <v>187.32700898797791</v>
      </c>
      <c r="X14" s="401">
        <f>T14*(1-固定資本!N14)</f>
        <v>0</v>
      </c>
      <c r="Y14" s="397">
        <f>U14*(1-固定資本!N14)</f>
        <v>88.997736245867557</v>
      </c>
      <c r="Z14" s="397">
        <f>V14*(1-固定資本!N14)</f>
        <v>45.33157707750641</v>
      </c>
      <c r="AA14" s="397">
        <f t="shared" si="11"/>
        <v>134.32931332337398</v>
      </c>
      <c r="AB14" s="402">
        <f>F14*係数!H14/1000</f>
        <v>0</v>
      </c>
      <c r="AC14" s="400">
        <f>(G14+R14)*係数!H14/1000</f>
        <v>1.882995852195023E-2</v>
      </c>
      <c r="AD14" s="402">
        <f>F14*係数!I14/1000</f>
        <v>0</v>
      </c>
      <c r="AE14" s="400">
        <f>(G14+R14)*係数!I14/1000</f>
        <v>1.8104305204329752E-2</v>
      </c>
    </row>
    <row r="15" spans="1:31">
      <c r="A15" s="381"/>
      <c r="B15" s="394">
        <v>10</v>
      </c>
      <c r="C15" s="395" t="s">
        <v>31</v>
      </c>
      <c r="D15" s="397">
        <f>IF(B15=入力!$F$30,入力!$D$18,0)</f>
        <v>0</v>
      </c>
      <c r="E15" s="398">
        <f>固定資本!M15</f>
        <v>0.94476365403107754</v>
      </c>
      <c r="F15" s="397">
        <f t="shared" si="0"/>
        <v>0</v>
      </c>
      <c r="G15" s="507">
        <v>26.420150304977966</v>
      </c>
      <c r="H15" s="397">
        <f t="shared" si="4"/>
        <v>26.420150304977966</v>
      </c>
      <c r="I15" s="397">
        <f t="shared" si="5"/>
        <v>24.960797742181271</v>
      </c>
      <c r="J15" s="398">
        <f>係数!E15+係数!F15</f>
        <v>0.29616697035729772</v>
      </c>
      <c r="K15" s="397">
        <f t="shared" si="6"/>
        <v>7.8247758722097593</v>
      </c>
      <c r="N15" s="398">
        <f>係数!G15</f>
        <v>5.4859009166738942E-2</v>
      </c>
      <c r="O15" s="397">
        <f t="shared" si="7"/>
        <v>111.63230776477117</v>
      </c>
      <c r="P15" s="398">
        <f>係数!D15</f>
        <v>0.374247944124524</v>
      </c>
      <c r="Q15" s="397">
        <f t="shared" si="1"/>
        <v>41.778161678841748</v>
      </c>
      <c r="R15" s="507">
        <v>57.323373357328606</v>
      </c>
      <c r="S15" s="397">
        <f t="shared" si="2"/>
        <v>54.157039674457494</v>
      </c>
      <c r="T15" s="401">
        <f t="shared" si="3"/>
        <v>0</v>
      </c>
      <c r="U15" s="397">
        <f t="shared" si="8"/>
        <v>24.960797742181271</v>
      </c>
      <c r="V15" s="397">
        <f t="shared" si="9"/>
        <v>54.157039674457494</v>
      </c>
      <c r="W15" s="397">
        <f t="shared" si="10"/>
        <v>79.117837416638764</v>
      </c>
      <c r="X15" s="401">
        <f>T15*(1-固定資本!N15)</f>
        <v>0</v>
      </c>
      <c r="Y15" s="397">
        <f>U15*(1-固定資本!N15)</f>
        <v>10.809997162564676</v>
      </c>
      <c r="Z15" s="397">
        <f>V15*(1-固定資本!N15)</f>
        <v>23.454276231903314</v>
      </c>
      <c r="AA15" s="397">
        <f t="shared" si="11"/>
        <v>34.264273394467992</v>
      </c>
      <c r="AB15" s="402">
        <f>F15*係数!H15/1000</f>
        <v>0</v>
      </c>
      <c r="AC15" s="400">
        <f>(G15+R15)*係数!H15/1000</f>
        <v>2.1914181871787392E-3</v>
      </c>
      <c r="AD15" s="402">
        <f>F15*係数!I15/1000</f>
        <v>0</v>
      </c>
      <c r="AE15" s="400">
        <f>(G15+R15)*係数!I15/1000</f>
        <v>1.9478242425406121E-3</v>
      </c>
    </row>
    <row r="16" spans="1:31">
      <c r="A16" s="381"/>
      <c r="B16" s="394">
        <v>11</v>
      </c>
      <c r="C16" s="395" t="s">
        <v>32</v>
      </c>
      <c r="D16" s="397">
        <f>IF(B16=入力!$F$30,入力!$D$18,0)</f>
        <v>0</v>
      </c>
      <c r="E16" s="398">
        <f>固定資本!M16</f>
        <v>1.0219068672293024</v>
      </c>
      <c r="F16" s="397">
        <f t="shared" si="0"/>
        <v>0</v>
      </c>
      <c r="G16" s="507">
        <v>2.5113495686738019</v>
      </c>
      <c r="H16" s="397">
        <f t="shared" si="4"/>
        <v>2.5113495686738019</v>
      </c>
      <c r="I16" s="397">
        <f t="shared" si="5"/>
        <v>2.5663653702411047</v>
      </c>
      <c r="J16" s="398">
        <f>係数!E16+係数!F16</f>
        <v>0.36924482699005529</v>
      </c>
      <c r="K16" s="397">
        <f t="shared" si="6"/>
        <v>0.92730283699650795</v>
      </c>
      <c r="N16" s="398">
        <f>係数!G16</f>
        <v>2.7258709934576486E-3</v>
      </c>
      <c r="O16" s="397">
        <f t="shared" si="7"/>
        <v>5.5468604754389403</v>
      </c>
      <c r="P16" s="398">
        <f>係数!D16</f>
        <v>1</v>
      </c>
      <c r="Q16" s="397">
        <f t="shared" si="1"/>
        <v>5.5468604754389403</v>
      </c>
      <c r="R16" s="507">
        <v>5.8168654875336649</v>
      </c>
      <c r="S16" s="397">
        <f t="shared" si="2"/>
        <v>5.9442947874597758</v>
      </c>
      <c r="T16" s="401">
        <f t="shared" si="3"/>
        <v>0</v>
      </c>
      <c r="U16" s="397">
        <f t="shared" si="8"/>
        <v>2.5663653702411047</v>
      </c>
      <c r="V16" s="397">
        <f t="shared" si="9"/>
        <v>5.9442947874597758</v>
      </c>
      <c r="W16" s="397">
        <f t="shared" si="10"/>
        <v>8.5106601577008796</v>
      </c>
      <c r="X16" s="401">
        <f>T16*(1-固定資本!N16)</f>
        <v>0</v>
      </c>
      <c r="Y16" s="397">
        <f>U16*(1-固定資本!N16)</f>
        <v>1.9676085069402438</v>
      </c>
      <c r="Z16" s="397">
        <f>V16*(1-固定資本!N16)</f>
        <v>4.5574356353115784</v>
      </c>
      <c r="AA16" s="397">
        <f t="shared" si="11"/>
        <v>6.5250441422518222</v>
      </c>
      <c r="AB16" s="402">
        <f>F16*係数!H16/1000</f>
        <v>0</v>
      </c>
      <c r="AC16" s="400">
        <f>(G16+R16)*係数!H16/1000</f>
        <v>4.152097593799941E-4</v>
      </c>
      <c r="AD16" s="402">
        <f>F16*係数!I16/1000</f>
        <v>0</v>
      </c>
      <c r="AE16" s="400">
        <f>(G16+R16)*係数!I16/1000</f>
        <v>4.152097593799941E-4</v>
      </c>
    </row>
    <row r="17" spans="1:31">
      <c r="A17" s="381"/>
      <c r="B17" s="394">
        <v>12</v>
      </c>
      <c r="C17" s="395" t="s">
        <v>33</v>
      </c>
      <c r="D17" s="397">
        <f>IF(B17=入力!$F$30,入力!$D$18,0)</f>
        <v>0</v>
      </c>
      <c r="E17" s="398">
        <f>固定資本!M17</f>
        <v>0.97392898541967743</v>
      </c>
      <c r="F17" s="397">
        <f t="shared" si="0"/>
        <v>0</v>
      </c>
      <c r="G17" s="507">
        <v>0.88941102574432473</v>
      </c>
      <c r="H17" s="397">
        <f t="shared" si="4"/>
        <v>0.88941102574432473</v>
      </c>
      <c r="I17" s="397">
        <f t="shared" si="5"/>
        <v>0.86622317792424475</v>
      </c>
      <c r="J17" s="398">
        <f>係数!E17+係数!F17</f>
        <v>0.6285823335361076</v>
      </c>
      <c r="K17" s="397">
        <f t="shared" si="6"/>
        <v>0.55906805803511073</v>
      </c>
      <c r="N17" s="398">
        <f>係数!G17</f>
        <v>2.6421722946925696E-2</v>
      </c>
      <c r="O17" s="397">
        <f t="shared" si="7"/>
        <v>53.765424357591584</v>
      </c>
      <c r="P17" s="398">
        <f>係数!D17</f>
        <v>0.77418871350256457</v>
      </c>
      <c r="Q17" s="397">
        <f t="shared" si="1"/>
        <v>41.624584714323277</v>
      </c>
      <c r="R17" s="507">
        <v>42.22270406631619</v>
      </c>
      <c r="S17" s="397">
        <f t="shared" si="2"/>
        <v>41.121915332982617</v>
      </c>
      <c r="T17" s="401">
        <f t="shared" si="3"/>
        <v>0</v>
      </c>
      <c r="U17" s="397">
        <f t="shared" si="8"/>
        <v>0.86622317792424475</v>
      </c>
      <c r="V17" s="397">
        <f t="shared" si="9"/>
        <v>41.121915332982617</v>
      </c>
      <c r="W17" s="397">
        <f t="shared" si="10"/>
        <v>41.988138510906865</v>
      </c>
      <c r="X17" s="401">
        <f>T17*(1-固定資本!N17)</f>
        <v>0</v>
      </c>
      <c r="Y17" s="397">
        <f>U17*(1-固定資本!N17)</f>
        <v>0.73305014112773803</v>
      </c>
      <c r="Z17" s="397">
        <f>V17*(1-固定資本!N17)</f>
        <v>34.799837508991331</v>
      </c>
      <c r="AA17" s="397">
        <f t="shared" si="11"/>
        <v>35.532887650119072</v>
      </c>
      <c r="AB17" s="402">
        <f>F17*係数!H17/1000</f>
        <v>0</v>
      </c>
      <c r="AC17" s="400">
        <f>(G17+R17)*係数!H17/1000</f>
        <v>4.0096704525745871E-3</v>
      </c>
      <c r="AD17" s="402">
        <f>F17*係数!I17/1000</f>
        <v>0</v>
      </c>
      <c r="AE17" s="400">
        <f>(G17+R17)*係数!I17/1000</f>
        <v>4.0053266514684209E-3</v>
      </c>
    </row>
    <row r="18" spans="1:31">
      <c r="A18" s="381"/>
      <c r="B18" s="394">
        <v>13</v>
      </c>
      <c r="C18" s="395" t="s">
        <v>34</v>
      </c>
      <c r="D18" s="397">
        <f>IF(B18=入力!$F$30,入力!$D$18,0)</f>
        <v>0</v>
      </c>
      <c r="E18" s="398">
        <f>固定資本!M18</f>
        <v>0.98897888385181099</v>
      </c>
      <c r="F18" s="397">
        <f t="shared" si="0"/>
        <v>0</v>
      </c>
      <c r="G18" s="507">
        <v>0.1581837033577087</v>
      </c>
      <c r="H18" s="397">
        <f t="shared" si="4"/>
        <v>0.1581837033577087</v>
      </c>
      <c r="I18" s="397">
        <f t="shared" si="5"/>
        <v>0.15644034239025273</v>
      </c>
      <c r="J18" s="398">
        <f>係数!E18+係数!F18</f>
        <v>0.51069413554928089</v>
      </c>
      <c r="K18" s="397">
        <f t="shared" si="6"/>
        <v>8.0783489644248932E-2</v>
      </c>
      <c r="N18" s="398">
        <f>係数!G18</f>
        <v>4.3762692829048565E-2</v>
      </c>
      <c r="O18" s="397">
        <f t="shared" si="7"/>
        <v>89.05247230512272</v>
      </c>
      <c r="P18" s="398">
        <f>係数!D18</f>
        <v>0.92473053489569101</v>
      </c>
      <c r="Q18" s="397">
        <f t="shared" si="1"/>
        <v>82.349540348499843</v>
      </c>
      <c r="R18" s="507">
        <v>83.759605058126041</v>
      </c>
      <c r="S18" s="397">
        <f t="shared" si="2"/>
        <v>82.836480722253995</v>
      </c>
      <c r="T18" s="401">
        <f t="shared" si="3"/>
        <v>0</v>
      </c>
      <c r="U18" s="397">
        <f t="shared" si="8"/>
        <v>0.15644034239025273</v>
      </c>
      <c r="V18" s="397">
        <f t="shared" si="9"/>
        <v>82.836480722253995</v>
      </c>
      <c r="W18" s="397">
        <f t="shared" si="10"/>
        <v>82.99292106464425</v>
      </c>
      <c r="X18" s="401">
        <f>T18*(1-固定資本!N18)</f>
        <v>0</v>
      </c>
      <c r="Y18" s="397">
        <f>U18*(1-固定資本!N18)</f>
        <v>8.4111420711299636E-2</v>
      </c>
      <c r="Z18" s="397">
        <f>V18*(1-固定資本!N18)</f>
        <v>44.53770666706933</v>
      </c>
      <c r="AA18" s="397">
        <f t="shared" si="11"/>
        <v>44.621818087780632</v>
      </c>
      <c r="AB18" s="402">
        <f>F18*係数!H18/1000</f>
        <v>0</v>
      </c>
      <c r="AC18" s="400">
        <f>(G18+R18)*係数!H18/1000</f>
        <v>1.0242683714720197E-2</v>
      </c>
      <c r="AD18" s="402">
        <f>F18*係数!I18/1000</f>
        <v>0</v>
      </c>
      <c r="AE18" s="400">
        <f>(G18+R18)*係数!I18/1000</f>
        <v>9.9106629874206962E-3</v>
      </c>
    </row>
    <row r="19" spans="1:31">
      <c r="A19" s="381"/>
      <c r="B19" s="394">
        <v>14</v>
      </c>
      <c r="C19" s="395" t="s">
        <v>35</v>
      </c>
      <c r="D19" s="397">
        <f>IF(B19=入力!$F$30,入力!$D$18,0)</f>
        <v>0</v>
      </c>
      <c r="E19" s="398">
        <f>固定資本!M19</f>
        <v>1.2388031845846939</v>
      </c>
      <c r="F19" s="397">
        <f t="shared" si="0"/>
        <v>0</v>
      </c>
      <c r="G19" s="507">
        <v>0</v>
      </c>
      <c r="H19" s="397">
        <f t="shared" si="4"/>
        <v>0</v>
      </c>
      <c r="I19" s="397">
        <f t="shared" si="5"/>
        <v>0</v>
      </c>
      <c r="J19" s="398">
        <f>係数!E19+係数!F19</f>
        <v>0.14595039020468203</v>
      </c>
      <c r="K19" s="397">
        <f t="shared" si="6"/>
        <v>0</v>
      </c>
      <c r="N19" s="398">
        <f>係数!G19</f>
        <v>6.9819974646785927E-3</v>
      </c>
      <c r="O19" s="397">
        <f t="shared" si="7"/>
        <v>14.20762973353907</v>
      </c>
      <c r="P19" s="398">
        <f>係数!D19</f>
        <v>0.10302625374160312</v>
      </c>
      <c r="Q19" s="397">
        <f t="shared" si="1"/>
        <v>1.4637588659943415</v>
      </c>
      <c r="R19" s="507">
        <v>1.4639440893084739</v>
      </c>
      <c r="S19" s="397">
        <f t="shared" si="2"/>
        <v>1.8135385998892768</v>
      </c>
      <c r="T19" s="401">
        <f t="shared" si="3"/>
        <v>0</v>
      </c>
      <c r="U19" s="397">
        <f t="shared" si="8"/>
        <v>0</v>
      </c>
      <c r="V19" s="397">
        <f t="shared" si="9"/>
        <v>1.8135385998892768</v>
      </c>
      <c r="W19" s="397">
        <f t="shared" si="10"/>
        <v>1.8135385998892768</v>
      </c>
      <c r="X19" s="401">
        <f>T19*(1-固定資本!N19)</f>
        <v>0</v>
      </c>
      <c r="Y19" s="397">
        <f>U19*(1-固定資本!N19)</f>
        <v>0</v>
      </c>
      <c r="Z19" s="397">
        <f>V19*(1-固定資本!N19)</f>
        <v>0.90742178971598619</v>
      </c>
      <c r="AA19" s="397">
        <f t="shared" si="11"/>
        <v>0.90742178971598619</v>
      </c>
      <c r="AB19" s="402">
        <f>F19*係数!H19/1000</f>
        <v>0</v>
      </c>
      <c r="AC19" s="400">
        <f>(G19+R19)*係数!H19/1000</f>
        <v>1.9638540473656676E-4</v>
      </c>
      <c r="AD19" s="402">
        <f>F19*係数!I19/1000</f>
        <v>0</v>
      </c>
      <c r="AE19" s="400">
        <f>(G19+R19)*係数!I19/1000</f>
        <v>1.8657409822255824E-4</v>
      </c>
    </row>
    <row r="20" spans="1:31">
      <c r="A20" s="381"/>
      <c r="B20" s="394">
        <v>15</v>
      </c>
      <c r="C20" s="395" t="s">
        <v>36</v>
      </c>
      <c r="D20" s="397">
        <f>IF(B20=入力!$F$30,入力!$D$18,0)</f>
        <v>0</v>
      </c>
      <c r="E20" s="398">
        <f>固定資本!M20</f>
        <v>1.003720355693317</v>
      </c>
      <c r="F20" s="397">
        <f t="shared" si="0"/>
        <v>0</v>
      </c>
      <c r="G20" s="507">
        <v>8.7298102573988689E-3</v>
      </c>
      <c r="H20" s="397">
        <f t="shared" si="4"/>
        <v>8.7298102573988689E-3</v>
      </c>
      <c r="I20" s="397">
        <f t="shared" si="5"/>
        <v>8.7622882566915604E-3</v>
      </c>
      <c r="J20" s="398">
        <f>係数!E20+係数!F20</f>
        <v>0.28007426830551196</v>
      </c>
      <c r="K20" s="397">
        <f t="shared" si="6"/>
        <v>2.4449952202869412E-3</v>
      </c>
      <c r="N20" s="398">
        <f>係数!G20</f>
        <v>5.0145811356273627E-2</v>
      </c>
      <c r="O20" s="397">
        <f t="shared" si="7"/>
        <v>102.04144645455429</v>
      </c>
      <c r="P20" s="398">
        <f>係数!D20</f>
        <v>0.67936669965790486</v>
      </c>
      <c r="Q20" s="397">
        <f t="shared" si="1"/>
        <v>69.323560706149365</v>
      </c>
      <c r="R20" s="507">
        <v>70.629054647987857</v>
      </c>
      <c r="S20" s="397">
        <f t="shared" si="2"/>
        <v>70.891819853561088</v>
      </c>
      <c r="T20" s="401">
        <f t="shared" si="3"/>
        <v>0</v>
      </c>
      <c r="U20" s="397">
        <f t="shared" si="8"/>
        <v>8.7622882566915604E-3</v>
      </c>
      <c r="V20" s="397">
        <f t="shared" si="9"/>
        <v>70.891819853561088</v>
      </c>
      <c r="W20" s="397">
        <f t="shared" si="10"/>
        <v>70.900582141817779</v>
      </c>
      <c r="X20" s="401">
        <f>T20*(1-固定資本!N20)</f>
        <v>0</v>
      </c>
      <c r="Y20" s="397">
        <f>U20*(1-固定資本!N20)</f>
        <v>3.1992074921769697E-3</v>
      </c>
      <c r="Z20" s="397">
        <f>V20*(1-固定資本!N20)</f>
        <v>25.883380524074003</v>
      </c>
      <c r="AA20" s="397">
        <f t="shared" si="11"/>
        <v>25.886579731566179</v>
      </c>
      <c r="AB20" s="402">
        <f>F20*係数!H20/1000</f>
        <v>0</v>
      </c>
      <c r="AC20" s="400">
        <f>(G20+R20)*係数!H20/1000</f>
        <v>1.5914974714312871E-2</v>
      </c>
      <c r="AD20" s="402">
        <f>F20*係数!I20/1000</f>
        <v>0</v>
      </c>
      <c r="AE20" s="400">
        <f>(G20+R20)*係数!I20/1000</f>
        <v>1.4526391916059261E-2</v>
      </c>
    </row>
    <row r="21" spans="1:31">
      <c r="A21" s="381"/>
      <c r="B21" s="394">
        <v>16</v>
      </c>
      <c r="C21" s="395" t="s">
        <v>37</v>
      </c>
      <c r="D21" s="397">
        <f>IF(B21=入力!$F$30,入力!$D$18,0)</f>
        <v>0</v>
      </c>
      <c r="E21" s="398">
        <f>固定資本!M21</f>
        <v>1.0282762846622628</v>
      </c>
      <c r="F21" s="397">
        <f t="shared" si="0"/>
        <v>0</v>
      </c>
      <c r="G21" s="507">
        <v>290.4451966872922</v>
      </c>
      <c r="H21" s="397">
        <f t="shared" si="4"/>
        <v>290.4451966872922</v>
      </c>
      <c r="I21" s="397">
        <f t="shared" si="5"/>
        <v>298.65790774760899</v>
      </c>
      <c r="J21" s="398">
        <f>係数!E21+係数!F21</f>
        <v>0.38223631055359558</v>
      </c>
      <c r="K21" s="397">
        <f t="shared" si="6"/>
        <v>111.01870039976397</v>
      </c>
      <c r="N21" s="398">
        <f>係数!G21</f>
        <v>7.5600973032154017E-2</v>
      </c>
      <c r="O21" s="397">
        <f t="shared" si="7"/>
        <v>153.84002039100741</v>
      </c>
      <c r="P21" s="398">
        <f>係数!D21</f>
        <v>0.60906182273111553</v>
      </c>
      <c r="Q21" s="397">
        <f t="shared" si="1"/>
        <v>93.698083228338959</v>
      </c>
      <c r="R21" s="507">
        <v>164.16660730132978</v>
      </c>
      <c r="S21" s="397">
        <f t="shared" si="2"/>
        <v>168.8086290214201</v>
      </c>
      <c r="T21" s="401">
        <f t="shared" si="3"/>
        <v>0</v>
      </c>
      <c r="U21" s="397">
        <f t="shared" si="8"/>
        <v>298.65790774760899</v>
      </c>
      <c r="V21" s="397">
        <f t="shared" si="9"/>
        <v>168.8086290214201</v>
      </c>
      <c r="W21" s="397">
        <f t="shared" si="10"/>
        <v>467.46653676902906</v>
      </c>
      <c r="X21" s="401">
        <f>T21*(1-固定資本!N21)</f>
        <v>0</v>
      </c>
      <c r="Y21" s="397">
        <f>U21*(1-固定資本!N21)</f>
        <v>167.3137127107145</v>
      </c>
      <c r="Z21" s="397">
        <f>V21*(1-固定資本!N21)</f>
        <v>94.569732548478228</v>
      </c>
      <c r="AA21" s="397">
        <f t="shared" si="11"/>
        <v>261.88344525919274</v>
      </c>
      <c r="AB21" s="402">
        <f>F21*係数!H21/1000</f>
        <v>0</v>
      </c>
      <c r="AC21" s="400">
        <f>(G21+R21)*係数!H21/1000</f>
        <v>4.0664792141754155E-2</v>
      </c>
      <c r="AD21" s="402">
        <f>F21*係数!I21/1000</f>
        <v>0</v>
      </c>
      <c r="AE21" s="400">
        <f>(G21+R21)*係数!I21/1000</f>
        <v>3.4290806289807331E-2</v>
      </c>
    </row>
    <row r="22" spans="1:31">
      <c r="A22" s="381"/>
      <c r="B22" s="394">
        <v>17</v>
      </c>
      <c r="C22" s="395" t="s">
        <v>460</v>
      </c>
      <c r="D22" s="397">
        <v>0</v>
      </c>
      <c r="E22" s="398">
        <f>固定資本!M22</f>
        <v>1.0028003529063936</v>
      </c>
      <c r="F22" s="397">
        <f t="shared" si="0"/>
        <v>0</v>
      </c>
      <c r="G22" s="507">
        <v>0</v>
      </c>
      <c r="H22" s="397">
        <f t="shared" si="4"/>
        <v>0</v>
      </c>
      <c r="I22" s="397">
        <f t="shared" si="5"/>
        <v>0</v>
      </c>
      <c r="J22" s="398">
        <f>係数!E22+係数!F22</f>
        <v>0.41348880007681132</v>
      </c>
      <c r="K22" s="397">
        <f t="shared" si="6"/>
        <v>0</v>
      </c>
      <c r="N22" s="398">
        <f>係数!G22</f>
        <v>0.20310389470480342</v>
      </c>
      <c r="O22" s="397">
        <f t="shared" si="7"/>
        <v>413.29504171316535</v>
      </c>
      <c r="P22" s="398">
        <f>係数!D22</f>
        <v>1</v>
      </c>
      <c r="Q22" s="397">
        <f t="shared" si="1"/>
        <v>413.29504171316535</v>
      </c>
      <c r="R22" s="507">
        <v>413.29504171316535</v>
      </c>
      <c r="S22" s="397">
        <f t="shared" si="2"/>
        <v>414.45241368442487</v>
      </c>
      <c r="T22" s="401">
        <f t="shared" si="3"/>
        <v>0</v>
      </c>
      <c r="U22" s="397">
        <f t="shared" si="8"/>
        <v>0</v>
      </c>
      <c r="V22" s="397">
        <f t="shared" si="9"/>
        <v>414.45241368442487</v>
      </c>
      <c r="W22" s="397">
        <f t="shared" si="10"/>
        <v>414.45241368442487</v>
      </c>
      <c r="X22" s="401">
        <f>T22*(1-固定資本!N22)</f>
        <v>0</v>
      </c>
      <c r="Y22" s="397">
        <f>U22*(1-固定資本!N22)</f>
        <v>0</v>
      </c>
      <c r="Z22" s="397">
        <f>V22*(1-固定資本!N22)</f>
        <v>366.21982564618429</v>
      </c>
      <c r="AA22" s="397">
        <f t="shared" si="11"/>
        <v>366.21982564618429</v>
      </c>
      <c r="AB22" s="402">
        <f>F22*係数!H22/1000</f>
        <v>0</v>
      </c>
      <c r="AC22" s="400">
        <f>(G22+R22)*係数!H22/1000</f>
        <v>0</v>
      </c>
      <c r="AD22" s="402">
        <f>F22*係数!I22/1000</f>
        <v>0</v>
      </c>
      <c r="AE22" s="400">
        <f>(G22+R22)*係数!I22/1000</f>
        <v>0</v>
      </c>
    </row>
    <row r="23" spans="1:31">
      <c r="A23" s="381"/>
      <c r="B23" s="394">
        <v>18</v>
      </c>
      <c r="C23" s="395" t="s">
        <v>38</v>
      </c>
      <c r="D23" s="397">
        <v>0</v>
      </c>
      <c r="E23" s="398">
        <f>固定資本!M23</f>
        <v>1.0882606993166555</v>
      </c>
      <c r="F23" s="397">
        <f t="shared" si="0"/>
        <v>0</v>
      </c>
      <c r="G23" s="507">
        <v>392.70074882859649</v>
      </c>
      <c r="H23" s="397">
        <f t="shared" si="4"/>
        <v>392.70074882859649</v>
      </c>
      <c r="I23" s="397">
        <f t="shared" si="5"/>
        <v>427.36079154238269</v>
      </c>
      <c r="J23" s="398">
        <f>係数!E23+係数!F23</f>
        <v>0</v>
      </c>
      <c r="K23" s="397">
        <f t="shared" si="6"/>
        <v>0</v>
      </c>
      <c r="N23" s="398">
        <f>係数!G23</f>
        <v>0</v>
      </c>
      <c r="O23" s="397">
        <f t="shared" si="7"/>
        <v>0</v>
      </c>
      <c r="P23" s="398">
        <f>係数!D23</f>
        <v>1</v>
      </c>
      <c r="Q23" s="397">
        <f t="shared" si="1"/>
        <v>0</v>
      </c>
      <c r="R23" s="507">
        <v>17.402403240570354</v>
      </c>
      <c r="S23" s="397">
        <f t="shared" si="2"/>
        <v>18.938351520373526</v>
      </c>
      <c r="T23" s="401">
        <f t="shared" si="3"/>
        <v>0</v>
      </c>
      <c r="U23" s="397">
        <f t="shared" si="8"/>
        <v>427.36079154238269</v>
      </c>
      <c r="V23" s="397">
        <f t="shared" si="9"/>
        <v>18.938351520373526</v>
      </c>
      <c r="W23" s="397">
        <f t="shared" si="10"/>
        <v>446.29914306275623</v>
      </c>
      <c r="X23" s="401">
        <f>T23*(1-固定資本!N23)</f>
        <v>0</v>
      </c>
      <c r="Y23" s="397">
        <f>U23*(1-固定資本!N23)</f>
        <v>0</v>
      </c>
      <c r="Z23" s="397">
        <f>V23*(1-固定資本!N23)</f>
        <v>0</v>
      </c>
      <c r="AA23" s="397">
        <f t="shared" si="11"/>
        <v>0</v>
      </c>
      <c r="AB23" s="402">
        <f>F23*係数!H23/1000</f>
        <v>0</v>
      </c>
      <c r="AC23" s="400">
        <f>(G23+R23)*係数!H23/1000</f>
        <v>0</v>
      </c>
      <c r="AD23" s="402">
        <f>F23*係数!I23/1000</f>
        <v>0</v>
      </c>
      <c r="AE23" s="400">
        <f>(G23+R23)*係数!I23/1000</f>
        <v>0</v>
      </c>
    </row>
    <row r="24" spans="1:31">
      <c r="A24" s="381"/>
      <c r="B24" s="394">
        <v>19</v>
      </c>
      <c r="C24" s="395" t="s">
        <v>39</v>
      </c>
      <c r="D24" s="397">
        <v>0</v>
      </c>
      <c r="E24" s="398">
        <f>固定資本!M24</f>
        <v>1.0287413518373496</v>
      </c>
      <c r="F24" s="397">
        <f t="shared" si="0"/>
        <v>0</v>
      </c>
      <c r="G24" s="507">
        <v>4.5184414286575434</v>
      </c>
      <c r="H24" s="397">
        <f t="shared" si="4"/>
        <v>4.5184414286575434</v>
      </c>
      <c r="I24" s="397">
        <f t="shared" si="5"/>
        <v>4.6483075435150463</v>
      </c>
      <c r="J24" s="398">
        <f>係数!E24+係数!F24</f>
        <v>0</v>
      </c>
      <c r="K24" s="397">
        <f t="shared" si="6"/>
        <v>0</v>
      </c>
      <c r="N24" s="398">
        <f>係数!G24</f>
        <v>0</v>
      </c>
      <c r="O24" s="397">
        <f t="shared" si="7"/>
        <v>0</v>
      </c>
      <c r="P24" s="398">
        <f>係数!D24</f>
        <v>1</v>
      </c>
      <c r="Q24" s="397">
        <f t="shared" si="1"/>
        <v>0</v>
      </c>
      <c r="R24" s="507">
        <v>2.1377441799997547</v>
      </c>
      <c r="S24" s="397">
        <f t="shared" si="2"/>
        <v>2.1991858376153743</v>
      </c>
      <c r="T24" s="401">
        <f t="shared" si="3"/>
        <v>0</v>
      </c>
      <c r="U24" s="397">
        <f t="shared" si="8"/>
        <v>4.6483075435150463</v>
      </c>
      <c r="V24" s="397">
        <f t="shared" si="9"/>
        <v>2.1991858376153743</v>
      </c>
      <c r="W24" s="397">
        <f t="shared" si="10"/>
        <v>6.8474933811304206</v>
      </c>
      <c r="X24" s="401">
        <f>T24*(1-固定資本!N24)</f>
        <v>0</v>
      </c>
      <c r="Y24" s="397">
        <f>U24*(1-固定資本!N24)</f>
        <v>0</v>
      </c>
      <c r="Z24" s="397">
        <f>V24*(1-固定資本!N24)</f>
        <v>0</v>
      </c>
      <c r="AA24" s="397">
        <f t="shared" si="11"/>
        <v>0</v>
      </c>
      <c r="AB24" s="402">
        <f>F24*係数!H24/1000</f>
        <v>0</v>
      </c>
      <c r="AC24" s="400">
        <f>(G24+R24)*係数!H24/1000</f>
        <v>0</v>
      </c>
      <c r="AD24" s="402">
        <f>F24*係数!I24/1000</f>
        <v>0</v>
      </c>
      <c r="AE24" s="400">
        <f>(G24+R24)*係数!I24/1000</f>
        <v>0</v>
      </c>
    </row>
    <row r="25" spans="1:31">
      <c r="A25" s="381"/>
      <c r="B25" s="403">
        <v>20</v>
      </c>
      <c r="C25" s="404" t="s">
        <v>40</v>
      </c>
      <c r="D25" s="406">
        <v>0</v>
      </c>
      <c r="E25" s="408">
        <f>固定資本!M25</f>
        <v>1.0462282109380405</v>
      </c>
      <c r="F25" s="406">
        <f t="shared" si="0"/>
        <v>0</v>
      </c>
      <c r="G25" s="508">
        <v>47.451425238330174</v>
      </c>
      <c r="H25" s="406">
        <f t="shared" si="4"/>
        <v>47.451425238330174</v>
      </c>
      <c r="I25" s="406">
        <f t="shared" si="5"/>
        <v>49.645019733558364</v>
      </c>
      <c r="J25" s="408">
        <f>係数!E25+係数!F25</f>
        <v>0.56668329190038969</v>
      </c>
      <c r="K25" s="406">
        <f t="shared" si="6"/>
        <v>26.889929859422175</v>
      </c>
      <c r="N25" s="407">
        <f>係数!G25</f>
        <v>8.4525283964417709E-6</v>
      </c>
      <c r="O25" s="406">
        <f t="shared" si="7"/>
        <v>1.7200005353252824E-2</v>
      </c>
      <c r="P25" s="407">
        <f>係数!D25</f>
        <v>0.86001495909806924</v>
      </c>
      <c r="Q25" s="406">
        <f t="shared" si="1"/>
        <v>1.47922619003643E-2</v>
      </c>
      <c r="R25" s="508">
        <v>5.1016882735895246</v>
      </c>
      <c r="S25" s="406">
        <f t="shared" si="2"/>
        <v>5.3375301952411487</v>
      </c>
      <c r="T25" s="430">
        <f t="shared" si="3"/>
        <v>0</v>
      </c>
      <c r="U25" s="406">
        <f t="shared" si="8"/>
        <v>49.645019733558364</v>
      </c>
      <c r="V25" s="406">
        <f t="shared" si="9"/>
        <v>5.3375301952411487</v>
      </c>
      <c r="W25" s="406">
        <f t="shared" si="10"/>
        <v>54.982549928799514</v>
      </c>
      <c r="X25" s="401">
        <f>T25*(1-固定資本!N25)</f>
        <v>0</v>
      </c>
      <c r="Y25" s="406">
        <f>U25*(1-固定資本!N25)</f>
        <v>32.344174534733369</v>
      </c>
      <c r="Z25" s="406">
        <f>V25*(1-固定資本!N25)</f>
        <v>3.4774486775476432</v>
      </c>
      <c r="AA25" s="406">
        <f t="shared" si="11"/>
        <v>35.821623212281011</v>
      </c>
      <c r="AB25" s="402">
        <f>F25*係数!H25/1000</f>
        <v>0</v>
      </c>
      <c r="AC25" s="400">
        <f>(G25+R25)*係数!H25/1000</f>
        <v>0</v>
      </c>
      <c r="AD25" s="402">
        <f>F25*係数!I25/1000</f>
        <v>0</v>
      </c>
      <c r="AE25" s="400">
        <f>(G25+R25)*係数!I25/1000</f>
        <v>0</v>
      </c>
    </row>
    <row r="26" spans="1:31">
      <c r="A26" s="381"/>
      <c r="B26" s="403">
        <v>70</v>
      </c>
      <c r="C26" s="404" t="s">
        <v>458</v>
      </c>
      <c r="D26" s="412">
        <f>SUM(D6:D25)</f>
        <v>6349.2534636753626</v>
      </c>
      <c r="E26" s="270"/>
      <c r="F26" s="412">
        <f>SUM(F6:F25)</f>
        <v>6283.3983102584471</v>
      </c>
      <c r="G26" s="412">
        <f>SUM(G6:G25)</f>
        <v>8142.5046272880118</v>
      </c>
      <c r="H26" s="412">
        <f>SUM(H6:H25)</f>
        <v>1859.1063170295638</v>
      </c>
      <c r="I26" s="412">
        <f>SUM(I6:I25)</f>
        <v>1965.2379228090381</v>
      </c>
      <c r="K26" s="412">
        <f>SUM(K6:K25)</f>
        <v>2758.0658772656229</v>
      </c>
      <c r="N26" s="414">
        <f>係数!G26</f>
        <v>1</v>
      </c>
      <c r="O26" s="412">
        <f t="shared" si="7"/>
        <v>2034.8947139288457</v>
      </c>
      <c r="P26" s="413"/>
      <c r="Q26" s="412">
        <f>SUM(Q6:Q25)</f>
        <v>1295.3380105303963</v>
      </c>
      <c r="R26" s="412">
        <f>SUM(R6:R25)</f>
        <v>1579.7144706175154</v>
      </c>
      <c r="S26" s="412">
        <f>SUM(S6:S25)</f>
        <v>1619.2121734917216</v>
      </c>
      <c r="T26" s="412">
        <f t="shared" ref="T26:AC26" si="12">SUM(T6:T25)</f>
        <v>6349.2534636753626</v>
      </c>
      <c r="U26" s="412">
        <f t="shared" si="12"/>
        <v>1965.2379228090381</v>
      </c>
      <c r="V26" s="412">
        <f t="shared" si="12"/>
        <v>1619.2121734917216</v>
      </c>
      <c r="W26" s="412">
        <f t="shared" si="12"/>
        <v>9933.7035599761202</v>
      </c>
      <c r="X26" s="412">
        <f t="shared" si="12"/>
        <v>2711.9160077373681</v>
      </c>
      <c r="Y26" s="412">
        <f t="shared" si="12"/>
        <v>839.83861374370531</v>
      </c>
      <c r="Z26" s="412">
        <f t="shared" si="12"/>
        <v>1054.568505735142</v>
      </c>
      <c r="AA26" s="412">
        <f t="shared" si="12"/>
        <v>4606.3231272162166</v>
      </c>
      <c r="AB26" s="415">
        <f t="shared" si="12"/>
        <v>1.8186909347716085</v>
      </c>
      <c r="AC26" s="415">
        <f t="shared" si="12"/>
        <v>2.0603477906471603</v>
      </c>
      <c r="AD26" s="415">
        <f>SUM(AD6:AD25)</f>
        <v>0.65934593282150822</v>
      </c>
      <c r="AE26" s="415">
        <f>SUM(AE6:AE25)</f>
        <v>0.86380328538289275</v>
      </c>
    </row>
    <row r="27" spans="1:31">
      <c r="A27" s="381"/>
      <c r="E27" s="269"/>
      <c r="F27" s="269"/>
      <c r="L27" s="277" t="s">
        <v>125</v>
      </c>
      <c r="M27" s="277" t="s">
        <v>126</v>
      </c>
      <c r="P27" s="289"/>
    </row>
    <row r="28" spans="1:31">
      <c r="A28" s="381"/>
      <c r="D28" s="259"/>
      <c r="G28" s="274"/>
      <c r="H28" s="274"/>
      <c r="J28" s="259"/>
      <c r="L28" s="421">
        <f>固定資本!H6</f>
        <v>0.9410230177254062</v>
      </c>
      <c r="M28" s="421">
        <f>固定資本!I6</f>
        <v>0.78403790917303728</v>
      </c>
      <c r="P28" s="274"/>
    </row>
    <row r="29" spans="1:31">
      <c r="A29" s="381"/>
      <c r="E29" s="270"/>
      <c r="F29" s="270"/>
      <c r="L29" s="422" t="s">
        <v>123</v>
      </c>
      <c r="M29" s="422" t="s">
        <v>123</v>
      </c>
      <c r="P29" s="274"/>
    </row>
    <row r="30" spans="1:31">
      <c r="A30" s="381"/>
      <c r="J30" s="259"/>
      <c r="L30" s="423">
        <f>K26*L28</f>
        <v>2595.4034749099665</v>
      </c>
      <c r="M30" s="423">
        <f>L30*M28</f>
        <v>2034.8947139288457</v>
      </c>
      <c r="P30" s="274"/>
    </row>
    <row r="31" spans="1:31">
      <c r="A31" s="381"/>
      <c r="K31" s="270"/>
      <c r="P31" s="274"/>
    </row>
    <row r="32" spans="1:31">
      <c r="A32" s="381"/>
      <c r="P32" s="274"/>
    </row>
    <row r="33" spans="1:16">
      <c r="A33" s="381"/>
      <c r="P33" s="274"/>
    </row>
    <row r="34" spans="1:16">
      <c r="A34" s="381"/>
      <c r="P34" s="274"/>
    </row>
    <row r="35" spans="1:16">
      <c r="A35" s="381"/>
      <c r="B35" s="381"/>
      <c r="C35" s="381"/>
    </row>
    <row r="49" s="155" customFormat="1"/>
    <row r="50" s="155" customFormat="1"/>
    <row r="51" s="155" customFormat="1"/>
    <row r="52" s="155" customFormat="1"/>
    <row r="53" s="155" customFormat="1"/>
    <row r="55" s="155" customFormat="1"/>
    <row r="56" s="155" customFormat="1"/>
    <row r="57" s="155" customFormat="1"/>
    <row r="58" s="155" customFormat="1"/>
    <row r="59" s="155" customFormat="1"/>
    <row r="61" s="155" customFormat="1"/>
    <row r="63" s="155" customFormat="1"/>
    <row r="64" s="155" customFormat="1"/>
    <row r="65" s="155" customFormat="1"/>
    <row r="67" s="155" customFormat="1"/>
    <row r="68" s="155" customFormat="1"/>
    <row r="69" s="155" customFormat="1"/>
    <row r="71" s="155" customFormat="1"/>
    <row r="72" s="155" customFormat="1"/>
    <row r="73" s="155" customFormat="1"/>
    <row r="74" s="155" customFormat="1"/>
    <row r="76" s="155" customFormat="1"/>
    <row r="77" s="155" customFormat="1"/>
    <row r="79" s="155" customFormat="1"/>
    <row r="80" s="155" customFormat="1"/>
    <row r="82" s="155" customFormat="1"/>
    <row r="83" s="155" customFormat="1"/>
    <row r="85" s="155" customFormat="1"/>
    <row r="88" s="155" customFormat="1"/>
    <row r="91" s="155" customFormat="1"/>
    <row r="92" s="155" customFormat="1"/>
    <row r="94" s="155" customFormat="1"/>
    <row r="97" s="155" customFormat="1"/>
    <row r="98" s="155" customFormat="1"/>
    <row r="99" s="155" customFormat="1"/>
    <row r="100" s="155" customFormat="1"/>
    <row r="101" s="155" customFormat="1"/>
    <row r="102" s="155" customFormat="1"/>
    <row r="103" s="155" customFormat="1"/>
    <row r="104" s="155" customFormat="1"/>
    <row r="105" s="155" customFormat="1"/>
    <row r="106" s="155" customFormat="1"/>
    <row r="107" s="155" customFormat="1"/>
    <row r="108" s="155" customFormat="1"/>
    <row r="109" s="155" customFormat="1"/>
    <row r="110" s="155" customFormat="1"/>
    <row r="111" s="155" customFormat="1"/>
    <row r="112" s="155" customFormat="1"/>
    <row r="113" s="155" customFormat="1"/>
    <row r="115" s="155" customFormat="1"/>
    <row r="116" s="155" customFormat="1"/>
    <row r="117" s="155" customFormat="1"/>
    <row r="119" s="155" customFormat="1"/>
    <row r="120" s="155" customFormat="1"/>
    <row r="121" s="155" customFormat="1"/>
    <row r="122" s="155" customFormat="1"/>
    <row r="123" s="155" customFormat="1"/>
    <row r="124" s="155" customFormat="1"/>
    <row r="125" s="155" customFormat="1"/>
    <row r="127" s="155" customFormat="1"/>
    <row r="129" s="155" customFormat="1"/>
  </sheetData>
  <sheetProtection sheet="1" objects="1" scenarios="1"/>
  <mergeCells count="33">
    <mergeCell ref="B2:C5"/>
    <mergeCell ref="P2:P4"/>
    <mergeCell ref="D2:D4"/>
    <mergeCell ref="E2:E4"/>
    <mergeCell ref="F2:F3"/>
    <mergeCell ref="G2:G4"/>
    <mergeCell ref="I2:I3"/>
    <mergeCell ref="J2:J4"/>
    <mergeCell ref="H2:H4"/>
    <mergeCell ref="K2:K4"/>
    <mergeCell ref="L2:L4"/>
    <mergeCell ref="M2:M4"/>
    <mergeCell ref="Z3:Z4"/>
    <mergeCell ref="O2:O4"/>
    <mergeCell ref="U3:U4"/>
    <mergeCell ref="V3:V4"/>
    <mergeCell ref="W3:W4"/>
    <mergeCell ref="AA3:AA4"/>
    <mergeCell ref="N2:N4"/>
    <mergeCell ref="Q2:Q4"/>
    <mergeCell ref="AD3:AD4"/>
    <mergeCell ref="AE3:AE4"/>
    <mergeCell ref="R2:R4"/>
    <mergeCell ref="S2:S3"/>
    <mergeCell ref="T2:W2"/>
    <mergeCell ref="X2:AA2"/>
    <mergeCell ref="AD2:AE2"/>
    <mergeCell ref="AB2:AC2"/>
    <mergeCell ref="T3:T4"/>
    <mergeCell ref="AB3:AB4"/>
    <mergeCell ref="AC3:AC4"/>
    <mergeCell ref="X3:X4"/>
    <mergeCell ref="Y3:Y4"/>
  </mergeCells>
  <phoneticPr fontId="27"/>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800000"/>
  </sheetPr>
  <dimension ref="A1:CA135"/>
  <sheetViews>
    <sheetView showRowColHeaders="0" zoomScale="80" zoomScaleNormal="80" workbookViewId="0">
      <pane xSplit="1" ySplit="5" topLeftCell="B6" activePane="bottomRight" state="frozen"/>
      <selection pane="topRight" activeCell="B1" sqref="B1"/>
      <selection pane="bottomLeft" activeCell="A6" sqref="A6"/>
      <selection pane="bottomRight" activeCell="B6" sqref="B6"/>
    </sheetView>
  </sheetViews>
  <sheetFormatPr defaultColWidth="9" defaultRowHeight="16.5"/>
  <cols>
    <col min="1" max="1" width="1.6328125" style="155" customWidth="1"/>
    <col min="2" max="2" width="6.08984375" style="466" customWidth="1"/>
    <col min="3" max="3" width="21.08984375" style="466" bestFit="1" customWidth="1"/>
    <col min="4" max="4" width="1.6328125" style="155" customWidth="1"/>
    <col min="5" max="5" width="8.6328125" style="155" customWidth="1"/>
    <col min="6" max="6" width="6.08984375" style="155" customWidth="1"/>
    <col min="7" max="7" width="23.453125" style="155" bestFit="1" customWidth="1"/>
    <col min="8" max="11" width="12.6328125" style="155" customWidth="1"/>
    <col min="12" max="12" width="1.6328125" style="155" customWidth="1"/>
    <col min="13" max="13" width="8.6328125" style="155" customWidth="1"/>
    <col min="14" max="14" width="6.08984375" style="155" customWidth="1"/>
    <col min="15" max="15" width="27.6328125" style="155" bestFit="1" customWidth="1"/>
    <col min="16" max="19" width="12.6328125" style="155" customWidth="1"/>
    <col min="20" max="20" width="4.6328125" style="155" customWidth="1"/>
    <col min="21" max="21" width="8.6328125" style="155" customWidth="1"/>
    <col min="22" max="22" width="6.08984375" style="155" customWidth="1"/>
    <col min="23" max="23" width="23.453125" style="155" bestFit="1" customWidth="1"/>
    <col min="24" max="27" width="12.6328125" style="155" customWidth="1"/>
    <col min="28" max="28" width="1.6328125" style="155" customWidth="1"/>
    <col min="29" max="29" width="8.6328125" style="155" customWidth="1"/>
    <col min="30" max="30" width="6.08984375" style="155" customWidth="1"/>
    <col min="31" max="31" width="27.6328125" style="155" bestFit="1" customWidth="1"/>
    <col min="32" max="63" width="12.6328125" style="155" customWidth="1"/>
    <col min="64" max="64" width="1.6328125" style="155" customWidth="1"/>
    <col min="65" max="67" width="12.6328125" style="155" customWidth="1"/>
    <col min="68" max="68" width="9" style="155"/>
    <col min="69" max="69" width="9" style="432"/>
    <col min="70" max="70" width="5.6328125" style="268" customWidth="1"/>
    <col min="71" max="71" width="9" style="155"/>
    <col min="72" max="72" width="32.6328125" style="155" customWidth="1"/>
    <col min="73" max="76" width="12.6328125" style="155" customWidth="1"/>
    <col min="77" max="77" width="1.6328125" style="155" customWidth="1"/>
    <col min="78" max="79" width="5.6328125" style="268" customWidth="1"/>
    <col min="80" max="80" width="27" style="155" customWidth="1"/>
    <col min="81" max="84" width="12.6328125" style="155" customWidth="1"/>
    <col min="85" max="16384" width="9" style="155"/>
  </cols>
  <sheetData>
    <row r="1" spans="1:79" ht="37.5" customHeight="1">
      <c r="B1" s="431"/>
      <c r="C1" s="383"/>
      <c r="U1" s="269"/>
      <c r="V1" s="269"/>
      <c r="W1" s="269"/>
    </row>
    <row r="2" spans="1:79" ht="13.5" customHeight="1">
      <c r="A2" s="259"/>
      <c r="B2" s="649" t="s">
        <v>196</v>
      </c>
      <c r="C2" s="665"/>
      <c r="D2" s="433"/>
      <c r="E2" s="671" t="s">
        <v>336</v>
      </c>
      <c r="F2" s="672"/>
      <c r="G2" s="673"/>
      <c r="H2" s="664" t="s">
        <v>133</v>
      </c>
      <c r="I2" s="664" t="s">
        <v>134</v>
      </c>
      <c r="J2" s="664" t="s">
        <v>135</v>
      </c>
      <c r="K2" s="664" t="s">
        <v>116</v>
      </c>
      <c r="L2" s="419"/>
      <c r="M2" s="644" t="s">
        <v>132</v>
      </c>
      <c r="N2" s="649" t="s">
        <v>196</v>
      </c>
      <c r="O2" s="650"/>
      <c r="P2" s="664" t="s">
        <v>133</v>
      </c>
      <c r="Q2" s="664" t="s">
        <v>134</v>
      </c>
      <c r="R2" s="664" t="s">
        <v>135</v>
      </c>
      <c r="S2" s="664" t="s">
        <v>116</v>
      </c>
      <c r="T2" s="419"/>
      <c r="U2" s="644" t="s">
        <v>337</v>
      </c>
      <c r="V2" s="644"/>
      <c r="W2" s="644"/>
      <c r="X2" s="664" t="s">
        <v>133</v>
      </c>
      <c r="Y2" s="664" t="s">
        <v>134</v>
      </c>
      <c r="Z2" s="664" t="s">
        <v>135</v>
      </c>
      <c r="AA2" s="664" t="s">
        <v>116</v>
      </c>
      <c r="AB2" s="419"/>
      <c r="AC2" s="644" t="s">
        <v>132</v>
      </c>
      <c r="AD2" s="649" t="s">
        <v>196</v>
      </c>
      <c r="AE2" s="650"/>
      <c r="AF2" s="664" t="s">
        <v>133</v>
      </c>
      <c r="AG2" s="664" t="s">
        <v>134</v>
      </c>
      <c r="AH2" s="664" t="s">
        <v>135</v>
      </c>
      <c r="AI2" s="664" t="s">
        <v>116</v>
      </c>
      <c r="AJ2" s="259"/>
      <c r="AK2" s="434" t="s">
        <v>323</v>
      </c>
      <c r="AL2" s="677" t="str">
        <f>TRIM(入力!C6)</f>
        <v>農林漁業</v>
      </c>
      <c r="AM2" s="677"/>
      <c r="AN2" s="274"/>
      <c r="BQ2" s="155"/>
      <c r="BR2" s="155"/>
      <c r="BZ2" s="155"/>
      <c r="CA2" s="155"/>
    </row>
    <row r="3" spans="1:79">
      <c r="A3" s="259"/>
      <c r="B3" s="651"/>
      <c r="C3" s="666"/>
      <c r="D3" s="433"/>
      <c r="E3" s="668" t="s">
        <v>132</v>
      </c>
      <c r="F3" s="649" t="s">
        <v>196</v>
      </c>
      <c r="G3" s="665"/>
      <c r="H3" s="664"/>
      <c r="I3" s="664" t="s">
        <v>136</v>
      </c>
      <c r="J3" s="664" t="s">
        <v>137</v>
      </c>
      <c r="K3" s="664" t="s">
        <v>138</v>
      </c>
      <c r="L3" s="419"/>
      <c r="M3" s="644"/>
      <c r="N3" s="651"/>
      <c r="O3" s="652"/>
      <c r="P3" s="664"/>
      <c r="Q3" s="664" t="s">
        <v>136</v>
      </c>
      <c r="R3" s="664" t="s">
        <v>137</v>
      </c>
      <c r="S3" s="664" t="s">
        <v>138</v>
      </c>
      <c r="T3" s="274"/>
      <c r="U3" s="668" t="s">
        <v>132</v>
      </c>
      <c r="V3" s="649" t="s">
        <v>196</v>
      </c>
      <c r="W3" s="665"/>
      <c r="X3" s="664"/>
      <c r="Y3" s="664" t="s">
        <v>136</v>
      </c>
      <c r="Z3" s="664" t="s">
        <v>137</v>
      </c>
      <c r="AA3" s="664" t="s">
        <v>138</v>
      </c>
      <c r="AB3" s="419"/>
      <c r="AC3" s="644"/>
      <c r="AD3" s="651"/>
      <c r="AE3" s="652"/>
      <c r="AF3" s="664"/>
      <c r="AG3" s="664" t="s">
        <v>136</v>
      </c>
      <c r="AH3" s="664" t="s">
        <v>137</v>
      </c>
      <c r="AI3" s="664" t="s">
        <v>138</v>
      </c>
      <c r="AJ3" s="259"/>
      <c r="AK3" s="435" t="s">
        <v>324</v>
      </c>
      <c r="AL3" s="436">
        <f>入力!N4</f>
        <v>0</v>
      </c>
      <c r="AM3" s="437">
        <f>入力!F30</f>
        <v>1</v>
      </c>
      <c r="AN3" s="269"/>
      <c r="AO3" s="269"/>
      <c r="AP3" s="269"/>
      <c r="AQ3" s="269"/>
      <c r="BQ3" s="155"/>
      <c r="BR3" s="155"/>
      <c r="BZ3" s="155"/>
      <c r="CA3" s="155"/>
    </row>
    <row r="4" spans="1:79">
      <c r="A4" s="259"/>
      <c r="B4" s="651"/>
      <c r="C4" s="666"/>
      <c r="D4" s="433"/>
      <c r="E4" s="669"/>
      <c r="F4" s="651"/>
      <c r="G4" s="666"/>
      <c r="H4" s="387">
        <f>固定資本!$F$6</f>
        <v>2025</v>
      </c>
      <c r="I4" s="387">
        <f>固定資本!$F$6</f>
        <v>2025</v>
      </c>
      <c r="J4" s="387">
        <f>固定資本!$F$6</f>
        <v>2025</v>
      </c>
      <c r="K4" s="387">
        <f>固定資本!$F$6</f>
        <v>2025</v>
      </c>
      <c r="L4" s="419"/>
      <c r="M4" s="644"/>
      <c r="N4" s="651"/>
      <c r="O4" s="652"/>
      <c r="P4" s="438">
        <f>固定資本!$F$6</f>
        <v>2025</v>
      </c>
      <c r="Q4" s="438">
        <f>固定資本!$F$6</f>
        <v>2025</v>
      </c>
      <c r="R4" s="438">
        <f>固定資本!$F$6</f>
        <v>2025</v>
      </c>
      <c r="S4" s="438">
        <f>固定資本!$F$6</f>
        <v>2025</v>
      </c>
      <c r="T4" s="274"/>
      <c r="U4" s="669"/>
      <c r="V4" s="651"/>
      <c r="W4" s="666"/>
      <c r="X4" s="387">
        <f>固定資本!$F$6</f>
        <v>2025</v>
      </c>
      <c r="Y4" s="387">
        <f>固定資本!$F$6</f>
        <v>2025</v>
      </c>
      <c r="Z4" s="387">
        <f>固定資本!$F$6</f>
        <v>2025</v>
      </c>
      <c r="AA4" s="387">
        <f>固定資本!$F$6</f>
        <v>2025</v>
      </c>
      <c r="AB4" s="419"/>
      <c r="AC4" s="644"/>
      <c r="AD4" s="651"/>
      <c r="AE4" s="652"/>
      <c r="AF4" s="387">
        <f>固定資本!$F$6</f>
        <v>2025</v>
      </c>
      <c r="AG4" s="387">
        <f>固定資本!$F$6</f>
        <v>2025</v>
      </c>
      <c r="AH4" s="387">
        <f>固定資本!$F$6</f>
        <v>2025</v>
      </c>
      <c r="AI4" s="387">
        <f>固定資本!$F$6</f>
        <v>2025</v>
      </c>
      <c r="AJ4" s="259"/>
      <c r="AK4" s="674" t="s">
        <v>19</v>
      </c>
      <c r="AL4" s="674"/>
      <c r="AM4" s="674" t="s">
        <v>20</v>
      </c>
      <c r="AN4" s="674"/>
      <c r="AO4" s="434" t="s">
        <v>21</v>
      </c>
      <c r="AP4" s="434" t="s">
        <v>22</v>
      </c>
      <c r="AQ4" s="439" t="s">
        <v>20</v>
      </c>
      <c r="AR4" s="274"/>
      <c r="BQ4" s="155"/>
      <c r="BR4" s="155"/>
      <c r="BZ4" s="155"/>
      <c r="CA4" s="155"/>
    </row>
    <row r="5" spans="1:79">
      <c r="A5" s="259"/>
      <c r="B5" s="653"/>
      <c r="C5" s="667"/>
      <c r="D5" s="433"/>
      <c r="E5" s="670"/>
      <c r="F5" s="653"/>
      <c r="G5" s="667"/>
      <c r="H5" s="440"/>
      <c r="I5" s="440"/>
      <c r="J5" s="440"/>
      <c r="K5" s="388"/>
      <c r="L5" s="419"/>
      <c r="M5" s="668"/>
      <c r="N5" s="653"/>
      <c r="O5" s="654"/>
      <c r="P5" s="440"/>
      <c r="Q5" s="440"/>
      <c r="R5" s="440"/>
      <c r="S5" s="388"/>
      <c r="T5" s="274"/>
      <c r="U5" s="670"/>
      <c r="V5" s="653"/>
      <c r="W5" s="667"/>
      <c r="X5" s="440"/>
      <c r="Y5" s="440"/>
      <c r="Z5" s="440"/>
      <c r="AA5" s="388"/>
      <c r="AB5" s="419"/>
      <c r="AC5" s="668"/>
      <c r="AD5" s="653"/>
      <c r="AE5" s="654"/>
      <c r="AF5" s="440"/>
      <c r="AG5" s="440"/>
      <c r="AH5" s="440"/>
      <c r="AI5" s="388"/>
      <c r="AJ5" s="259"/>
      <c r="AK5" s="434" t="str">
        <f>IF($AM$3=9,"90%未満","20%未満")</f>
        <v>20%未満</v>
      </c>
      <c r="AL5" s="434" t="str">
        <f>IF($AM$3=9,"90%以上","20%以上")</f>
        <v>20%以上</v>
      </c>
      <c r="AM5" s="434" t="str">
        <f>IF($AM$3=9,"90%未満","20%未満")</f>
        <v>20%未満</v>
      </c>
      <c r="AN5" s="434" t="str">
        <f>IF($AM$3=9,"90%以上","20%以上")</f>
        <v>20%以上</v>
      </c>
      <c r="AO5" s="434" t="s">
        <v>199</v>
      </c>
      <c r="AP5" s="434" t="s">
        <v>200</v>
      </c>
      <c r="AQ5" s="434" t="s">
        <v>201</v>
      </c>
      <c r="AR5" s="274"/>
      <c r="BQ5" s="155"/>
      <c r="BR5" s="155"/>
      <c r="BZ5" s="155"/>
      <c r="CA5" s="155"/>
    </row>
    <row r="6" spans="1:79">
      <c r="A6" s="259"/>
      <c r="B6" s="394">
        <v>1</v>
      </c>
      <c r="C6" s="395" t="s">
        <v>330</v>
      </c>
      <c r="D6" s="268"/>
      <c r="E6" s="441">
        <f>RANK(K6,$K$6:$K$21)</f>
        <v>1</v>
      </c>
      <c r="F6" s="394">
        <v>1</v>
      </c>
      <c r="G6" s="395" t="s">
        <v>330</v>
      </c>
      <c r="H6" s="442">
        <f>造成波及!V6+建築波及!V6+設備波及!V6</f>
        <v>0</v>
      </c>
      <c r="I6" s="442">
        <f>造成波及!W6+建築波及!W6+設備波及!W6</f>
        <v>0</v>
      </c>
      <c r="J6" s="442">
        <f>造成波及!X6+建築波及!X6+設備波及!X6</f>
        <v>0</v>
      </c>
      <c r="K6" s="443">
        <f>SUM(H6:J6)</f>
        <v>0</v>
      </c>
      <c r="L6" s="419"/>
      <c r="M6" s="441">
        <v>1</v>
      </c>
      <c r="N6" s="444">
        <f>VLOOKUP(M6,$E$6:$F$21,2,0)</f>
        <v>1</v>
      </c>
      <c r="O6" s="445" t="str">
        <f>VLOOKUP(N6,$F$6:$G$21,2)</f>
        <v>農林漁業</v>
      </c>
      <c r="P6" s="442">
        <f>VLOOKUP($N6,$F$6:H$21,3)</f>
        <v>0</v>
      </c>
      <c r="Q6" s="442">
        <f>VLOOKUP($N6,$F$6:I$21,4)</f>
        <v>0</v>
      </c>
      <c r="R6" s="442">
        <f>VLOOKUP($N6,$F$6:J$21,5)</f>
        <v>0</v>
      </c>
      <c r="S6" s="442">
        <f>VLOOKUP($N6,$F$6:K$21,6)</f>
        <v>0</v>
      </c>
      <c r="T6" s="274"/>
      <c r="U6" s="441">
        <f>RANK(AA6,$AA$6:$AA$21)</f>
        <v>1</v>
      </c>
      <c r="V6" s="394">
        <v>1</v>
      </c>
      <c r="W6" s="395" t="s">
        <v>330</v>
      </c>
      <c r="X6" s="442">
        <f>生産波及!T6</f>
        <v>6349.2534636753626</v>
      </c>
      <c r="Y6" s="442">
        <f>生産波及!U6</f>
        <v>108.29008587675511</v>
      </c>
      <c r="Z6" s="442">
        <f>生産波及!V6</f>
        <v>5.7144000660390901</v>
      </c>
      <c r="AA6" s="443">
        <f>SUM(X6:Z6)</f>
        <v>6463.257949618157</v>
      </c>
      <c r="AB6" s="419"/>
      <c r="AC6" s="441">
        <v>1</v>
      </c>
      <c r="AD6" s="444">
        <f>VLOOKUP(AC6,$U$6:$V$21,2,0)</f>
        <v>1</v>
      </c>
      <c r="AE6" s="445" t="str">
        <f>VLOOKUP(AD6,$F$6:$G$21,2)</f>
        <v>農林漁業</v>
      </c>
      <c r="AF6" s="442">
        <f>VLOOKUP($AD6,$V$6:$X$21,3)</f>
        <v>6349.2534636753626</v>
      </c>
      <c r="AG6" s="442">
        <f>VLOOKUP($AD6,$V$6:$Y$21,4)</f>
        <v>108.29008587675511</v>
      </c>
      <c r="AH6" s="442">
        <f>VLOOKUP($AD6,$V$6:$Z$21,5)</f>
        <v>5.7144000660390901</v>
      </c>
      <c r="AI6" s="442">
        <f>VLOOKUP($AD6,$V$6:$AA$21,6)</f>
        <v>6463.257949618157</v>
      </c>
      <c r="AJ6" s="259"/>
      <c r="AK6" s="412">
        <f>INDEX(固定資本!AM$6:AM$21,$AM$3,1)</f>
        <v>3923.7508191349934</v>
      </c>
      <c r="AL6" s="412">
        <f>INDEX(固定資本!AN$6:AN$21,$AM$3,1)</f>
        <v>765.22749188231819</v>
      </c>
      <c r="AM6" s="446">
        <f>INDEX(固定資本!AO$6:AO$21,$AM$3,1)</f>
        <v>6.468600440699232E-2</v>
      </c>
      <c r="AN6" s="446">
        <f>INDEX(固定資本!AP$6:AP$21,$AM$3,1)</f>
        <v>0.40383080534709559</v>
      </c>
      <c r="AO6" s="414">
        <f>INDEX(固定資本!AQ$6:AQ$21,$AM$3,1)</f>
        <v>-1.0737448035094802E-4</v>
      </c>
      <c r="AP6" s="414">
        <f>INDEX(固定資本!AR$6:AR$21,$AM$3,1)</f>
        <v>0.48599670963821884</v>
      </c>
      <c r="AQ6" s="446">
        <f>INDEX(固定資本!AS$6:AS$21,$AM$3,1)</f>
        <v>0</v>
      </c>
      <c r="AR6" s="274"/>
      <c r="BQ6" s="155"/>
      <c r="BR6" s="155"/>
      <c r="BZ6" s="155"/>
      <c r="CA6" s="155"/>
    </row>
    <row r="7" spans="1:79">
      <c r="A7" s="259"/>
      <c r="B7" s="394">
        <v>2</v>
      </c>
      <c r="C7" s="395" t="s">
        <v>23</v>
      </c>
      <c r="D7" s="268"/>
      <c r="E7" s="441">
        <f t="shared" ref="E7:E21" si="0">RANK(K7,$K$6:$K$21)</f>
        <v>1</v>
      </c>
      <c r="F7" s="394">
        <v>2</v>
      </c>
      <c r="G7" s="395" t="s">
        <v>23</v>
      </c>
      <c r="H7" s="442">
        <f>造成波及!V7+建築波及!V7+設備波及!V7</f>
        <v>0</v>
      </c>
      <c r="I7" s="442">
        <f>造成波及!W7+建築波及!W7+設備波及!W7</f>
        <v>0</v>
      </c>
      <c r="J7" s="442">
        <f>造成波及!X7+建築波及!X7+設備波及!X7</f>
        <v>0</v>
      </c>
      <c r="K7" s="443">
        <f t="shared" ref="K7:K25" si="1">SUM(H7:J7)</f>
        <v>0</v>
      </c>
      <c r="L7" s="419"/>
      <c r="M7" s="441">
        <v>2</v>
      </c>
      <c r="N7" s="444" t="e">
        <f t="shared" ref="N7:N21" si="2">VLOOKUP(M7,$E$6:$F$21,2,0)</f>
        <v>#N/A</v>
      </c>
      <c r="O7" s="445" t="e">
        <f t="shared" ref="O7:O21" si="3">VLOOKUP(N7,$F$6:$G$21,2)</f>
        <v>#N/A</v>
      </c>
      <c r="P7" s="442" t="e">
        <f>VLOOKUP($N7,$F$6:H$21,3)</f>
        <v>#N/A</v>
      </c>
      <c r="Q7" s="442" t="e">
        <f>VLOOKUP($N7,$F$6:I$21,4)</f>
        <v>#N/A</v>
      </c>
      <c r="R7" s="442" t="e">
        <f>VLOOKUP($N7,$F$6:J$21,5)</f>
        <v>#N/A</v>
      </c>
      <c r="S7" s="442" t="e">
        <f>VLOOKUP($N7,$F$6:K$21,6)</f>
        <v>#N/A</v>
      </c>
      <c r="T7" s="274"/>
      <c r="U7" s="441">
        <f t="shared" ref="U7:U21" si="4">RANK(AA7,$AA$6:$AA$21)</f>
        <v>16</v>
      </c>
      <c r="V7" s="394">
        <v>2</v>
      </c>
      <c r="W7" s="395" t="s">
        <v>23</v>
      </c>
      <c r="X7" s="442">
        <f>生産波及!T7</f>
        <v>0</v>
      </c>
      <c r="Y7" s="442">
        <f>生産波及!U7</f>
        <v>0.65130813230795193</v>
      </c>
      <c r="Z7" s="442">
        <f>生産波及!V7</f>
        <v>0.42220118602208023</v>
      </c>
      <c r="AA7" s="443">
        <f t="shared" ref="AA7:AA25" si="5">SUM(X7:Z7)</f>
        <v>1.0735093183300322</v>
      </c>
      <c r="AB7" s="419"/>
      <c r="AC7" s="441">
        <v>2</v>
      </c>
      <c r="AD7" s="444">
        <f t="shared" ref="AD7:AD21" si="6">VLOOKUP(AC7,$U$6:$V$21,2,0)</f>
        <v>6</v>
      </c>
      <c r="AE7" s="445" t="str">
        <f t="shared" ref="AE7:AE21" si="7">VLOOKUP(AD7,$F$6:$G$21,2)</f>
        <v>商業</v>
      </c>
      <c r="AF7" s="442">
        <f t="shared" ref="AF7:AF21" si="8">VLOOKUP($AD7,$V$6:$X$21,3)</f>
        <v>0</v>
      </c>
      <c r="AG7" s="442">
        <f t="shared" ref="AG7:AG21" si="9">VLOOKUP($AD7,$V$6:$Y$21,4)</f>
        <v>383.81898555991728</v>
      </c>
      <c r="AH7" s="442">
        <f t="shared" ref="AH7:AH21" si="10">VLOOKUP($AD7,$V$6:$Z$21,5)</f>
        <v>261.04928773472307</v>
      </c>
      <c r="AI7" s="442">
        <f t="shared" ref="AI7:AI21" si="11">VLOOKUP($AD7,$V$6:$AA$21,6)</f>
        <v>644.8682732946404</v>
      </c>
      <c r="AJ7" s="259"/>
      <c r="AK7" s="447"/>
      <c r="AL7" s="448"/>
      <c r="AM7" s="449"/>
      <c r="AN7" s="449"/>
      <c r="AO7" s="449"/>
      <c r="AP7" s="450"/>
      <c r="AQ7" s="446">
        <f>AL3*AO6+AP6</f>
        <v>0.48599670963821884</v>
      </c>
      <c r="AR7" s="274"/>
      <c r="BQ7" s="155"/>
      <c r="BR7" s="155"/>
      <c r="BZ7" s="155"/>
      <c r="CA7" s="155"/>
    </row>
    <row r="8" spans="1:79">
      <c r="A8" s="259"/>
      <c r="B8" s="394">
        <v>3</v>
      </c>
      <c r="C8" s="395" t="s">
        <v>24</v>
      </c>
      <c r="D8" s="268"/>
      <c r="E8" s="441">
        <f t="shared" si="0"/>
        <v>1</v>
      </c>
      <c r="F8" s="394">
        <v>3</v>
      </c>
      <c r="G8" s="395" t="s">
        <v>24</v>
      </c>
      <c r="H8" s="442">
        <f>造成波及!V8+建築波及!V8+設備波及!V8</f>
        <v>0</v>
      </c>
      <c r="I8" s="442">
        <f>造成波及!W8+建築波及!W8+設備波及!W8</f>
        <v>0</v>
      </c>
      <c r="J8" s="442">
        <f>造成波及!X8+建築波及!X8+設備波及!X8</f>
        <v>0</v>
      </c>
      <c r="K8" s="443">
        <f t="shared" si="1"/>
        <v>0</v>
      </c>
      <c r="L8" s="419"/>
      <c r="M8" s="441">
        <v>3</v>
      </c>
      <c r="N8" s="444" t="e">
        <f t="shared" si="2"/>
        <v>#N/A</v>
      </c>
      <c r="O8" s="445" t="e">
        <f t="shared" si="3"/>
        <v>#N/A</v>
      </c>
      <c r="P8" s="442" t="e">
        <f>VLOOKUP($N8,$F$6:H$21,3)</f>
        <v>#N/A</v>
      </c>
      <c r="Q8" s="442" t="e">
        <f>VLOOKUP($N8,$F$6:I$21,4)</f>
        <v>#N/A</v>
      </c>
      <c r="R8" s="442" t="e">
        <f>VLOOKUP($N8,$F$6:J$21,5)</f>
        <v>#N/A</v>
      </c>
      <c r="S8" s="442" t="e">
        <f>VLOOKUP($N8,$F$6:K$21,6)</f>
        <v>#N/A</v>
      </c>
      <c r="T8" s="274"/>
      <c r="U8" s="441">
        <f t="shared" si="4"/>
        <v>4</v>
      </c>
      <c r="V8" s="394">
        <v>3</v>
      </c>
      <c r="W8" s="395" t="s">
        <v>24</v>
      </c>
      <c r="X8" s="442">
        <f>生産波及!T8</f>
        <v>0</v>
      </c>
      <c r="Y8" s="442">
        <f>生産波及!U8</f>
        <v>335.48618147842893</v>
      </c>
      <c r="Z8" s="442">
        <f>生産波及!V8</f>
        <v>116.03907969229505</v>
      </c>
      <c r="AA8" s="443">
        <f t="shared" si="5"/>
        <v>451.52526117072398</v>
      </c>
      <c r="AB8" s="419"/>
      <c r="AC8" s="441">
        <v>3</v>
      </c>
      <c r="AD8" s="444">
        <f t="shared" si="6"/>
        <v>16</v>
      </c>
      <c r="AE8" s="445" t="str">
        <f t="shared" si="7"/>
        <v>その他のサービス業</v>
      </c>
      <c r="AF8" s="442">
        <f t="shared" si="8"/>
        <v>0</v>
      </c>
      <c r="AG8" s="442">
        <f t="shared" si="9"/>
        <v>298.65790774760899</v>
      </c>
      <c r="AH8" s="442">
        <f t="shared" si="10"/>
        <v>168.8086290214201</v>
      </c>
      <c r="AI8" s="442">
        <f t="shared" si="11"/>
        <v>467.46653676902906</v>
      </c>
      <c r="AJ8" s="259"/>
      <c r="AK8" s="278"/>
      <c r="AL8" s="278"/>
      <c r="AM8" s="270"/>
      <c r="AN8" s="270"/>
      <c r="AO8" s="270"/>
      <c r="AP8" s="270"/>
      <c r="AR8" s="274"/>
      <c r="BQ8" s="155"/>
      <c r="BR8" s="155"/>
      <c r="BZ8" s="155"/>
      <c r="CA8" s="155"/>
    </row>
    <row r="9" spans="1:79">
      <c r="A9" s="259"/>
      <c r="B9" s="394">
        <v>4</v>
      </c>
      <c r="C9" s="395" t="s">
        <v>25</v>
      </c>
      <c r="D9" s="268"/>
      <c r="E9" s="441">
        <f t="shared" si="0"/>
        <v>1</v>
      </c>
      <c r="F9" s="394">
        <v>4</v>
      </c>
      <c r="G9" s="395" t="s">
        <v>25</v>
      </c>
      <c r="H9" s="442">
        <f>造成波及!V9+建築波及!V9+設備波及!V9</f>
        <v>0</v>
      </c>
      <c r="I9" s="442">
        <f>造成波及!W9+建築波及!W9+設備波及!W9</f>
        <v>0</v>
      </c>
      <c r="J9" s="442">
        <f>造成波及!X9+建築波及!X9+設備波及!X9</f>
        <v>0</v>
      </c>
      <c r="K9" s="443">
        <f t="shared" si="1"/>
        <v>0</v>
      </c>
      <c r="L9" s="419"/>
      <c r="M9" s="441">
        <v>4</v>
      </c>
      <c r="N9" s="444" t="e">
        <f t="shared" si="2"/>
        <v>#N/A</v>
      </c>
      <c r="O9" s="445" t="e">
        <f t="shared" si="3"/>
        <v>#N/A</v>
      </c>
      <c r="P9" s="442" t="e">
        <f>VLOOKUP($N9,$F$6:H$21,3)</f>
        <v>#N/A</v>
      </c>
      <c r="Q9" s="442" t="e">
        <f>VLOOKUP($N9,$F$6:I$21,4)</f>
        <v>#N/A</v>
      </c>
      <c r="R9" s="442" t="e">
        <f>VLOOKUP($N9,$F$6:J$21,5)</f>
        <v>#N/A</v>
      </c>
      <c r="S9" s="442" t="e">
        <f>VLOOKUP($N9,$F$6:K$21,6)</f>
        <v>#N/A</v>
      </c>
      <c r="T9" s="274"/>
      <c r="U9" s="441">
        <f t="shared" si="4"/>
        <v>13</v>
      </c>
      <c r="V9" s="394">
        <v>4</v>
      </c>
      <c r="W9" s="395" t="s">
        <v>25</v>
      </c>
      <c r="X9" s="442">
        <f>生産波及!T9</f>
        <v>0</v>
      </c>
      <c r="Y9" s="442">
        <f>生産波及!U9</f>
        <v>17.542424996686851</v>
      </c>
      <c r="Z9" s="442">
        <f>生産波及!V9</f>
        <v>6.0071224315110276</v>
      </c>
      <c r="AA9" s="443">
        <f t="shared" si="5"/>
        <v>23.549547428197879</v>
      </c>
      <c r="AB9" s="419"/>
      <c r="AC9" s="441">
        <v>4</v>
      </c>
      <c r="AD9" s="444">
        <f t="shared" si="6"/>
        <v>3</v>
      </c>
      <c r="AE9" s="445" t="str">
        <f t="shared" si="7"/>
        <v>製造業</v>
      </c>
      <c r="AF9" s="442">
        <f t="shared" si="8"/>
        <v>0</v>
      </c>
      <c r="AG9" s="442">
        <f t="shared" si="9"/>
        <v>335.48618147842893</v>
      </c>
      <c r="AH9" s="442">
        <f t="shared" si="10"/>
        <v>116.03907969229505</v>
      </c>
      <c r="AI9" s="442">
        <f t="shared" si="11"/>
        <v>451.52526117072398</v>
      </c>
      <c r="AJ9" s="259"/>
      <c r="AK9" s="269"/>
      <c r="AL9" s="269"/>
      <c r="AM9" s="289"/>
      <c r="AN9" s="278"/>
      <c r="AO9" s="270"/>
      <c r="AP9" s="270"/>
      <c r="AQ9" s="270"/>
      <c r="BQ9" s="155"/>
      <c r="BR9" s="155"/>
      <c r="BZ9" s="155"/>
      <c r="CA9" s="155"/>
    </row>
    <row r="10" spans="1:79">
      <c r="A10" s="259"/>
      <c r="B10" s="394">
        <v>5</v>
      </c>
      <c r="C10" s="395" t="s">
        <v>26</v>
      </c>
      <c r="D10" s="268"/>
      <c r="E10" s="441">
        <f t="shared" si="0"/>
        <v>1</v>
      </c>
      <c r="F10" s="394">
        <v>5</v>
      </c>
      <c r="G10" s="395" t="s">
        <v>26</v>
      </c>
      <c r="H10" s="442">
        <f>造成波及!V10+建築波及!V10+設備波及!V10</f>
        <v>0</v>
      </c>
      <c r="I10" s="442">
        <f>造成波及!W10+建築波及!W10+設備波及!W10</f>
        <v>0</v>
      </c>
      <c r="J10" s="442">
        <f>造成波及!X10+建築波及!X10+設備波及!X10</f>
        <v>0</v>
      </c>
      <c r="K10" s="443">
        <f t="shared" si="1"/>
        <v>0</v>
      </c>
      <c r="L10" s="419"/>
      <c r="M10" s="441">
        <v>5</v>
      </c>
      <c r="N10" s="444" t="e">
        <f t="shared" si="2"/>
        <v>#N/A</v>
      </c>
      <c r="O10" s="445" t="e">
        <f t="shared" si="3"/>
        <v>#N/A</v>
      </c>
      <c r="P10" s="442" t="e">
        <f>VLOOKUP($N10,$F$6:H$21,3)</f>
        <v>#N/A</v>
      </c>
      <c r="Q10" s="442" t="e">
        <f>VLOOKUP($N10,$F$6:I$21,4)</f>
        <v>#N/A</v>
      </c>
      <c r="R10" s="442" t="e">
        <f>VLOOKUP($N10,$F$6:J$21,5)</f>
        <v>#N/A</v>
      </c>
      <c r="S10" s="442" t="e">
        <f>VLOOKUP($N10,$F$6:K$21,6)</f>
        <v>#N/A</v>
      </c>
      <c r="T10" s="274"/>
      <c r="U10" s="441">
        <f t="shared" si="4"/>
        <v>8</v>
      </c>
      <c r="V10" s="394">
        <v>5</v>
      </c>
      <c r="W10" s="395" t="s">
        <v>26</v>
      </c>
      <c r="X10" s="442">
        <f>生産波及!T10</f>
        <v>0</v>
      </c>
      <c r="Y10" s="442">
        <f>生産波及!U10</f>
        <v>91.851609870718647</v>
      </c>
      <c r="Z10" s="442">
        <f>生産波及!V10</f>
        <v>63.658476674936445</v>
      </c>
      <c r="AA10" s="443">
        <f t="shared" si="5"/>
        <v>155.5100865456551</v>
      </c>
      <c r="AB10" s="419"/>
      <c r="AC10" s="441">
        <v>5</v>
      </c>
      <c r="AD10" s="444">
        <f t="shared" si="6"/>
        <v>9</v>
      </c>
      <c r="AE10" s="445" t="str">
        <f t="shared" si="7"/>
        <v>運輸・郵便</v>
      </c>
      <c r="AF10" s="442">
        <f t="shared" si="8"/>
        <v>0</v>
      </c>
      <c r="AG10" s="442">
        <f t="shared" si="9"/>
        <v>124.11051113992677</v>
      </c>
      <c r="AH10" s="442">
        <f t="shared" si="10"/>
        <v>63.216497848051134</v>
      </c>
      <c r="AI10" s="442">
        <f t="shared" si="11"/>
        <v>187.32700898797791</v>
      </c>
      <c r="AJ10" s="259"/>
      <c r="AK10" s="674" t="s">
        <v>327</v>
      </c>
      <c r="AL10" s="674"/>
      <c r="AM10" s="419"/>
      <c r="AN10" s="675" t="s">
        <v>328</v>
      </c>
      <c r="AO10" s="274"/>
      <c r="BQ10" s="155"/>
      <c r="BR10" s="155"/>
      <c r="BZ10" s="155"/>
      <c r="CA10" s="155"/>
    </row>
    <row r="11" spans="1:79">
      <c r="A11" s="259"/>
      <c r="B11" s="394">
        <v>6</v>
      </c>
      <c r="C11" s="395" t="s">
        <v>27</v>
      </c>
      <c r="D11" s="268"/>
      <c r="E11" s="441">
        <f t="shared" si="0"/>
        <v>1</v>
      </c>
      <c r="F11" s="394">
        <v>6</v>
      </c>
      <c r="G11" s="395" t="s">
        <v>27</v>
      </c>
      <c r="H11" s="442">
        <f>造成波及!V11+建築波及!V11+設備波及!V11</f>
        <v>0</v>
      </c>
      <c r="I11" s="442">
        <f>造成波及!W11+建築波及!W11+設備波及!W11</f>
        <v>0</v>
      </c>
      <c r="J11" s="442">
        <f>造成波及!X11+建築波及!X11+設備波及!X11</f>
        <v>0</v>
      </c>
      <c r="K11" s="443">
        <f t="shared" si="1"/>
        <v>0</v>
      </c>
      <c r="L11" s="419"/>
      <c r="M11" s="441">
        <v>6</v>
      </c>
      <c r="N11" s="444" t="e">
        <f t="shared" si="2"/>
        <v>#N/A</v>
      </c>
      <c r="O11" s="445" t="e">
        <f t="shared" si="3"/>
        <v>#N/A</v>
      </c>
      <c r="P11" s="442" t="e">
        <f>VLOOKUP($N11,$F$6:H$21,3)</f>
        <v>#N/A</v>
      </c>
      <c r="Q11" s="442" t="e">
        <f>VLOOKUP($N11,$F$6:I$21,4)</f>
        <v>#N/A</v>
      </c>
      <c r="R11" s="442" t="e">
        <f>VLOOKUP($N11,$F$6:J$21,5)</f>
        <v>#N/A</v>
      </c>
      <c r="S11" s="442" t="e">
        <f>VLOOKUP($N11,$F$6:K$21,6)</f>
        <v>#N/A</v>
      </c>
      <c r="T11" s="274"/>
      <c r="U11" s="441">
        <f t="shared" si="4"/>
        <v>2</v>
      </c>
      <c r="V11" s="394">
        <v>6</v>
      </c>
      <c r="W11" s="395" t="s">
        <v>27</v>
      </c>
      <c r="X11" s="442">
        <f>生産波及!T11</f>
        <v>0</v>
      </c>
      <c r="Y11" s="442">
        <f>生産波及!U11</f>
        <v>383.81898555991728</v>
      </c>
      <c r="Z11" s="442">
        <f>生産波及!V11</f>
        <v>261.04928773472307</v>
      </c>
      <c r="AA11" s="443">
        <f t="shared" si="5"/>
        <v>644.8682732946404</v>
      </c>
      <c r="AB11" s="419"/>
      <c r="AC11" s="441">
        <v>6</v>
      </c>
      <c r="AD11" s="444">
        <f t="shared" si="6"/>
        <v>7</v>
      </c>
      <c r="AE11" s="445" t="str">
        <f t="shared" si="7"/>
        <v>金融・保険</v>
      </c>
      <c r="AF11" s="442">
        <f t="shared" si="8"/>
        <v>0</v>
      </c>
      <c r="AG11" s="442">
        <f t="shared" si="9"/>
        <v>58.423663490384243</v>
      </c>
      <c r="AH11" s="442">
        <f t="shared" si="10"/>
        <v>115.58849959963413</v>
      </c>
      <c r="AI11" s="442">
        <f t="shared" si="11"/>
        <v>174.01216309001836</v>
      </c>
      <c r="AK11" s="434" t="s">
        <v>326</v>
      </c>
      <c r="AL11" s="434" t="s">
        <v>325</v>
      </c>
      <c r="AM11" s="259"/>
      <c r="AN11" s="676"/>
      <c r="AO11" s="274"/>
      <c r="AQ11" s="269"/>
      <c r="BQ11" s="155"/>
      <c r="BR11" s="155"/>
      <c r="BZ11" s="155"/>
      <c r="CA11" s="155"/>
    </row>
    <row r="12" spans="1:79">
      <c r="A12" s="259"/>
      <c r="B12" s="394">
        <v>7</v>
      </c>
      <c r="C12" s="395" t="s">
        <v>28</v>
      </c>
      <c r="D12" s="268"/>
      <c r="E12" s="441">
        <f t="shared" si="0"/>
        <v>1</v>
      </c>
      <c r="F12" s="394">
        <v>7</v>
      </c>
      <c r="G12" s="395" t="s">
        <v>28</v>
      </c>
      <c r="H12" s="442">
        <f>造成波及!V12+建築波及!V12+設備波及!V12</f>
        <v>0</v>
      </c>
      <c r="I12" s="442">
        <f>造成波及!W12+建築波及!W12+設備波及!W12</f>
        <v>0</v>
      </c>
      <c r="J12" s="442">
        <f>造成波及!X12+建築波及!X12+設備波及!X12</f>
        <v>0</v>
      </c>
      <c r="K12" s="443">
        <f t="shared" si="1"/>
        <v>0</v>
      </c>
      <c r="L12" s="419"/>
      <c r="M12" s="441">
        <v>7</v>
      </c>
      <c r="N12" s="444" t="e">
        <f t="shared" si="2"/>
        <v>#N/A</v>
      </c>
      <c r="O12" s="445" t="e">
        <f t="shared" si="3"/>
        <v>#N/A</v>
      </c>
      <c r="P12" s="442" t="e">
        <f>VLOOKUP($N12,$F$6:H$21,3)</f>
        <v>#N/A</v>
      </c>
      <c r="Q12" s="442" t="e">
        <f>VLOOKUP($N12,$F$6:I$21,4)</f>
        <v>#N/A</v>
      </c>
      <c r="R12" s="442" t="e">
        <f>VLOOKUP($N12,$F$6:J$21,5)</f>
        <v>#N/A</v>
      </c>
      <c r="S12" s="442" t="e">
        <f>VLOOKUP($N12,$F$6:K$21,6)</f>
        <v>#N/A</v>
      </c>
      <c r="T12" s="274"/>
      <c r="U12" s="441">
        <f t="shared" si="4"/>
        <v>6</v>
      </c>
      <c r="V12" s="394">
        <v>7</v>
      </c>
      <c r="W12" s="395" t="s">
        <v>28</v>
      </c>
      <c r="X12" s="442">
        <f>生産波及!T12</f>
        <v>0</v>
      </c>
      <c r="Y12" s="442">
        <f>生産波及!U12</f>
        <v>58.423663490384243</v>
      </c>
      <c r="Z12" s="442">
        <f>生産波及!V12</f>
        <v>115.58849959963413</v>
      </c>
      <c r="AA12" s="443">
        <f t="shared" si="5"/>
        <v>174.01216309001836</v>
      </c>
      <c r="AB12" s="419"/>
      <c r="AC12" s="441">
        <v>7</v>
      </c>
      <c r="AD12" s="444">
        <f t="shared" si="6"/>
        <v>8</v>
      </c>
      <c r="AE12" s="445" t="str">
        <f t="shared" si="7"/>
        <v>不動産</v>
      </c>
      <c r="AF12" s="442">
        <f t="shared" si="8"/>
        <v>0</v>
      </c>
      <c r="AG12" s="442">
        <f t="shared" si="9"/>
        <v>36.19253677585354</v>
      </c>
      <c r="AH12" s="442">
        <f t="shared" si="10"/>
        <v>121.01540902883001</v>
      </c>
      <c r="AI12" s="442">
        <f t="shared" si="11"/>
        <v>157.20794580468356</v>
      </c>
      <c r="AK12" s="437" t="str">
        <f>IF(AL3&gt;=AK6,"大",IF(AL3&lt;=AL6,"小","中"))</f>
        <v>小</v>
      </c>
      <c r="AL12" s="437" t="str">
        <f>IF(AL3&lt;=AK6,"小",IF(AL3&gt;=AL6,"大","中"))</f>
        <v>小</v>
      </c>
      <c r="AM12" s="259"/>
      <c r="AN12" s="437" t="str">
        <f>IF(OR(AM3=6,AM3=7,AM3=8,AM3=10),"",IF(AM3=9,AL12,AK12))</f>
        <v>小</v>
      </c>
      <c r="AO12" s="274"/>
      <c r="AP12" s="259"/>
      <c r="AQ12" s="446">
        <f>IF(AN12="",AQ6,IF(AN12="中",AQ7,IF(AM3=9,IF(AN12="小",AM6,AN6),IF(AN12="小",AN6,AM6))))</f>
        <v>0.40383080534709559</v>
      </c>
      <c r="AR12" s="274"/>
      <c r="BQ12" s="155"/>
      <c r="BR12" s="155"/>
      <c r="BZ12" s="155"/>
      <c r="CA12" s="155"/>
    </row>
    <row r="13" spans="1:79">
      <c r="A13" s="259"/>
      <c r="B13" s="394">
        <v>8</v>
      </c>
      <c r="C13" s="395" t="s">
        <v>29</v>
      </c>
      <c r="D13" s="268"/>
      <c r="E13" s="441">
        <f t="shared" si="0"/>
        <v>1</v>
      </c>
      <c r="F13" s="394">
        <v>8</v>
      </c>
      <c r="G13" s="395" t="s">
        <v>29</v>
      </c>
      <c r="H13" s="442">
        <f>造成波及!V13+建築波及!V13+設備波及!V13</f>
        <v>0</v>
      </c>
      <c r="I13" s="442">
        <f>造成波及!W13+建築波及!W13+設備波及!W13</f>
        <v>0</v>
      </c>
      <c r="J13" s="442">
        <f>造成波及!X13+建築波及!X13+設備波及!X13</f>
        <v>0</v>
      </c>
      <c r="K13" s="443">
        <f t="shared" si="1"/>
        <v>0</v>
      </c>
      <c r="L13" s="419"/>
      <c r="M13" s="441">
        <v>8</v>
      </c>
      <c r="N13" s="444" t="e">
        <f t="shared" si="2"/>
        <v>#N/A</v>
      </c>
      <c r="O13" s="445" t="e">
        <f t="shared" si="3"/>
        <v>#N/A</v>
      </c>
      <c r="P13" s="442" t="e">
        <f>VLOOKUP($N13,$F$6:H$21,3)</f>
        <v>#N/A</v>
      </c>
      <c r="Q13" s="442" t="e">
        <f>VLOOKUP($N13,$F$6:I$21,4)</f>
        <v>#N/A</v>
      </c>
      <c r="R13" s="442" t="e">
        <f>VLOOKUP($N13,$F$6:J$21,5)</f>
        <v>#N/A</v>
      </c>
      <c r="S13" s="442" t="e">
        <f>VLOOKUP($N13,$F$6:K$21,6)</f>
        <v>#N/A</v>
      </c>
      <c r="T13" s="274"/>
      <c r="U13" s="441">
        <f t="shared" si="4"/>
        <v>7</v>
      </c>
      <c r="V13" s="394">
        <v>8</v>
      </c>
      <c r="W13" s="395" t="s">
        <v>29</v>
      </c>
      <c r="X13" s="442">
        <f>生産波及!T13</f>
        <v>0</v>
      </c>
      <c r="Y13" s="442">
        <f>生産波及!U13</f>
        <v>36.19253677585354</v>
      </c>
      <c r="Z13" s="442">
        <f>生産波及!V13</f>
        <v>121.01540902883001</v>
      </c>
      <c r="AA13" s="443">
        <f t="shared" si="5"/>
        <v>157.20794580468356</v>
      </c>
      <c r="AB13" s="419"/>
      <c r="AC13" s="441">
        <v>8</v>
      </c>
      <c r="AD13" s="444">
        <f t="shared" si="6"/>
        <v>5</v>
      </c>
      <c r="AE13" s="445" t="str">
        <f t="shared" si="7"/>
        <v>電気・ガス・水道</v>
      </c>
      <c r="AF13" s="442">
        <f t="shared" si="8"/>
        <v>0</v>
      </c>
      <c r="AG13" s="442">
        <f t="shared" si="9"/>
        <v>91.851609870718647</v>
      </c>
      <c r="AH13" s="442">
        <f t="shared" si="10"/>
        <v>63.658476674936445</v>
      </c>
      <c r="AI13" s="442">
        <f t="shared" si="11"/>
        <v>155.5100865456551</v>
      </c>
      <c r="AN13" s="270"/>
      <c r="AQ13" s="270"/>
      <c r="BQ13" s="155"/>
      <c r="BR13" s="155"/>
      <c r="BZ13" s="155"/>
      <c r="CA13" s="155"/>
    </row>
    <row r="14" spans="1:79">
      <c r="A14" s="259"/>
      <c r="B14" s="394">
        <v>9</v>
      </c>
      <c r="C14" s="395" t="s">
        <v>30</v>
      </c>
      <c r="D14" s="268"/>
      <c r="E14" s="441">
        <f t="shared" si="0"/>
        <v>1</v>
      </c>
      <c r="F14" s="394">
        <v>9</v>
      </c>
      <c r="G14" s="395" t="s">
        <v>30</v>
      </c>
      <c r="H14" s="442">
        <f>造成波及!V14+建築波及!V14+設備波及!V14</f>
        <v>0</v>
      </c>
      <c r="I14" s="442">
        <f>造成波及!W14+建築波及!W14+設備波及!W14</f>
        <v>0</v>
      </c>
      <c r="J14" s="442">
        <f>造成波及!X14+建築波及!X14+設備波及!X14</f>
        <v>0</v>
      </c>
      <c r="K14" s="443">
        <f t="shared" si="1"/>
        <v>0</v>
      </c>
      <c r="L14" s="419"/>
      <c r="M14" s="441">
        <v>9</v>
      </c>
      <c r="N14" s="444" t="e">
        <f t="shared" si="2"/>
        <v>#N/A</v>
      </c>
      <c r="O14" s="445" t="e">
        <f t="shared" si="3"/>
        <v>#N/A</v>
      </c>
      <c r="P14" s="442" t="e">
        <f>VLOOKUP($N14,$F$6:H$21,3)</f>
        <v>#N/A</v>
      </c>
      <c r="Q14" s="442" t="e">
        <f>VLOOKUP($N14,$F$6:I$21,4)</f>
        <v>#N/A</v>
      </c>
      <c r="R14" s="442" t="e">
        <f>VLOOKUP($N14,$F$6:J$21,5)</f>
        <v>#N/A</v>
      </c>
      <c r="S14" s="442" t="e">
        <f>VLOOKUP($N14,$F$6:K$21,6)</f>
        <v>#N/A</v>
      </c>
      <c r="T14" s="274"/>
      <c r="U14" s="441">
        <f t="shared" si="4"/>
        <v>5</v>
      </c>
      <c r="V14" s="394">
        <v>9</v>
      </c>
      <c r="W14" s="395" t="s">
        <v>30</v>
      </c>
      <c r="X14" s="442">
        <f>生産波及!T14</f>
        <v>0</v>
      </c>
      <c r="Y14" s="442">
        <f>生産波及!U14</f>
        <v>124.11051113992677</v>
      </c>
      <c r="Z14" s="442">
        <f>生産波及!V14</f>
        <v>63.216497848051134</v>
      </c>
      <c r="AA14" s="443">
        <f t="shared" si="5"/>
        <v>187.32700898797791</v>
      </c>
      <c r="AB14" s="419"/>
      <c r="AC14" s="441">
        <v>9</v>
      </c>
      <c r="AD14" s="444">
        <f t="shared" si="6"/>
        <v>13</v>
      </c>
      <c r="AE14" s="445" t="str">
        <f t="shared" si="7"/>
        <v>医療・福祉業</v>
      </c>
      <c r="AF14" s="442">
        <f t="shared" si="8"/>
        <v>0</v>
      </c>
      <c r="AG14" s="442">
        <f t="shared" si="9"/>
        <v>0.15644034239025273</v>
      </c>
      <c r="AH14" s="442">
        <f t="shared" si="10"/>
        <v>82.836480722253995</v>
      </c>
      <c r="AI14" s="442">
        <f t="shared" si="11"/>
        <v>82.99292106464425</v>
      </c>
      <c r="BQ14" s="155"/>
      <c r="BR14" s="155"/>
      <c r="BZ14" s="155"/>
      <c r="CA14" s="155"/>
    </row>
    <row r="15" spans="1:79">
      <c r="A15" s="259"/>
      <c r="B15" s="394">
        <v>10</v>
      </c>
      <c r="C15" s="395" t="s">
        <v>31</v>
      </c>
      <c r="D15" s="268"/>
      <c r="E15" s="441">
        <f t="shared" si="0"/>
        <v>1</v>
      </c>
      <c r="F15" s="394">
        <v>10</v>
      </c>
      <c r="G15" s="395" t="s">
        <v>31</v>
      </c>
      <c r="H15" s="442">
        <f>造成波及!V15+建築波及!V15+設備波及!V15</f>
        <v>0</v>
      </c>
      <c r="I15" s="442">
        <f>造成波及!W15+建築波及!W15+設備波及!W15</f>
        <v>0</v>
      </c>
      <c r="J15" s="442">
        <f>造成波及!X15+建築波及!X15+設備波及!X15</f>
        <v>0</v>
      </c>
      <c r="K15" s="443">
        <f t="shared" si="1"/>
        <v>0</v>
      </c>
      <c r="L15" s="419"/>
      <c r="M15" s="441">
        <v>10</v>
      </c>
      <c r="N15" s="444" t="e">
        <f t="shared" si="2"/>
        <v>#N/A</v>
      </c>
      <c r="O15" s="445" t="e">
        <f t="shared" si="3"/>
        <v>#N/A</v>
      </c>
      <c r="P15" s="442" t="e">
        <f>VLOOKUP($N15,$F$6:H$21,3)</f>
        <v>#N/A</v>
      </c>
      <c r="Q15" s="442" t="e">
        <f>VLOOKUP($N15,$F$6:I$21,4)</f>
        <v>#N/A</v>
      </c>
      <c r="R15" s="442" t="e">
        <f>VLOOKUP($N15,$F$6:J$21,5)</f>
        <v>#N/A</v>
      </c>
      <c r="S15" s="442" t="e">
        <f>VLOOKUP($N15,$F$6:K$21,6)</f>
        <v>#N/A</v>
      </c>
      <c r="T15" s="274"/>
      <c r="U15" s="441">
        <f t="shared" si="4"/>
        <v>10</v>
      </c>
      <c r="V15" s="394">
        <v>10</v>
      </c>
      <c r="W15" s="395" t="s">
        <v>31</v>
      </c>
      <c r="X15" s="442">
        <f>生産波及!T15</f>
        <v>0</v>
      </c>
      <c r="Y15" s="442">
        <f>生産波及!U15</f>
        <v>24.960797742181271</v>
      </c>
      <c r="Z15" s="442">
        <f>生産波及!V15</f>
        <v>54.157039674457494</v>
      </c>
      <c r="AA15" s="443">
        <f t="shared" si="5"/>
        <v>79.117837416638764</v>
      </c>
      <c r="AB15" s="419"/>
      <c r="AC15" s="441">
        <v>10</v>
      </c>
      <c r="AD15" s="444">
        <f t="shared" si="6"/>
        <v>10</v>
      </c>
      <c r="AE15" s="445" t="str">
        <f t="shared" si="7"/>
        <v>情報通信</v>
      </c>
      <c r="AF15" s="442">
        <f t="shared" si="8"/>
        <v>0</v>
      </c>
      <c r="AG15" s="442">
        <f t="shared" si="9"/>
        <v>24.960797742181271</v>
      </c>
      <c r="AH15" s="442">
        <f t="shared" si="10"/>
        <v>54.157039674457494</v>
      </c>
      <c r="AI15" s="442">
        <f t="shared" si="11"/>
        <v>79.117837416638764</v>
      </c>
      <c r="BQ15" s="155"/>
      <c r="BR15" s="155"/>
      <c r="BZ15" s="155"/>
      <c r="CA15" s="155"/>
    </row>
    <row r="16" spans="1:79">
      <c r="A16" s="259"/>
      <c r="B16" s="394">
        <v>11</v>
      </c>
      <c r="C16" s="395" t="s">
        <v>32</v>
      </c>
      <c r="D16" s="268"/>
      <c r="E16" s="441">
        <f t="shared" si="0"/>
        <v>1</v>
      </c>
      <c r="F16" s="394">
        <v>11</v>
      </c>
      <c r="G16" s="395" t="s">
        <v>32</v>
      </c>
      <c r="H16" s="442">
        <f>造成波及!V16+建築波及!V16+設備波及!V16</f>
        <v>0</v>
      </c>
      <c r="I16" s="442">
        <f>造成波及!W16+建築波及!W16+設備波及!W16</f>
        <v>0</v>
      </c>
      <c r="J16" s="442">
        <f>造成波及!X16+建築波及!X16+設備波及!X16</f>
        <v>0</v>
      </c>
      <c r="K16" s="443">
        <f t="shared" si="1"/>
        <v>0</v>
      </c>
      <c r="L16" s="419"/>
      <c r="M16" s="441">
        <v>11</v>
      </c>
      <c r="N16" s="444" t="e">
        <f t="shared" si="2"/>
        <v>#N/A</v>
      </c>
      <c r="O16" s="445" t="e">
        <f t="shared" si="3"/>
        <v>#N/A</v>
      </c>
      <c r="P16" s="442" t="e">
        <f>VLOOKUP($N16,$F$6:H$21,3)</f>
        <v>#N/A</v>
      </c>
      <c r="Q16" s="442" t="e">
        <f>VLOOKUP($N16,$F$6:I$21,4)</f>
        <v>#N/A</v>
      </c>
      <c r="R16" s="442" t="e">
        <f>VLOOKUP($N16,$F$6:J$21,5)</f>
        <v>#N/A</v>
      </c>
      <c r="S16" s="442" t="e">
        <f>VLOOKUP($N16,$F$6:K$21,6)</f>
        <v>#N/A</v>
      </c>
      <c r="T16" s="274"/>
      <c r="U16" s="441">
        <f t="shared" si="4"/>
        <v>14</v>
      </c>
      <c r="V16" s="394">
        <v>11</v>
      </c>
      <c r="W16" s="395" t="s">
        <v>32</v>
      </c>
      <c r="X16" s="442">
        <f>生産波及!T16</f>
        <v>0</v>
      </c>
      <c r="Y16" s="442">
        <f>生産波及!U16</f>
        <v>2.5663653702411047</v>
      </c>
      <c r="Z16" s="442">
        <f>生産波及!V16</f>
        <v>5.9442947874597758</v>
      </c>
      <c r="AA16" s="443">
        <f t="shared" si="5"/>
        <v>8.5106601577008796</v>
      </c>
      <c r="AB16" s="419"/>
      <c r="AC16" s="441">
        <v>11</v>
      </c>
      <c r="AD16" s="444">
        <f t="shared" si="6"/>
        <v>15</v>
      </c>
      <c r="AE16" s="445" t="str">
        <f t="shared" si="7"/>
        <v>飲食サービス業</v>
      </c>
      <c r="AF16" s="442">
        <f t="shared" si="8"/>
        <v>0</v>
      </c>
      <c r="AG16" s="442">
        <f t="shared" si="9"/>
        <v>8.7622882566915604E-3</v>
      </c>
      <c r="AH16" s="442">
        <f t="shared" si="10"/>
        <v>70.891819853561088</v>
      </c>
      <c r="AI16" s="442">
        <f t="shared" si="11"/>
        <v>70.900582141817779</v>
      </c>
      <c r="BQ16" s="155"/>
      <c r="BR16" s="155"/>
      <c r="BZ16" s="155"/>
      <c r="CA16" s="155"/>
    </row>
    <row r="17" spans="1:35" s="155" customFormat="1">
      <c r="A17" s="259"/>
      <c r="B17" s="394">
        <v>12</v>
      </c>
      <c r="C17" s="395" t="s">
        <v>33</v>
      </c>
      <c r="D17" s="268"/>
      <c r="E17" s="441">
        <f t="shared" si="0"/>
        <v>1</v>
      </c>
      <c r="F17" s="394">
        <v>12</v>
      </c>
      <c r="G17" s="395" t="s">
        <v>33</v>
      </c>
      <c r="H17" s="442">
        <f>造成波及!V17+建築波及!V17+設備波及!V17</f>
        <v>0</v>
      </c>
      <c r="I17" s="442">
        <f>造成波及!W17+建築波及!W17+設備波及!W17</f>
        <v>0</v>
      </c>
      <c r="J17" s="442">
        <f>造成波及!X17+建築波及!X17+設備波及!X17</f>
        <v>0</v>
      </c>
      <c r="K17" s="443">
        <f t="shared" si="1"/>
        <v>0</v>
      </c>
      <c r="L17" s="419"/>
      <c r="M17" s="441">
        <v>12</v>
      </c>
      <c r="N17" s="444" t="e">
        <f t="shared" si="2"/>
        <v>#N/A</v>
      </c>
      <c r="O17" s="445" t="e">
        <f t="shared" si="3"/>
        <v>#N/A</v>
      </c>
      <c r="P17" s="442" t="e">
        <f>VLOOKUP($N17,$F$6:H$21,3)</f>
        <v>#N/A</v>
      </c>
      <c r="Q17" s="442" t="e">
        <f>VLOOKUP($N17,$F$6:I$21,4)</f>
        <v>#N/A</v>
      </c>
      <c r="R17" s="442" t="e">
        <f>VLOOKUP($N17,$F$6:J$21,5)</f>
        <v>#N/A</v>
      </c>
      <c r="S17" s="442" t="e">
        <f>VLOOKUP($N17,$F$6:K$21,6)</f>
        <v>#N/A</v>
      </c>
      <c r="T17" s="274"/>
      <c r="U17" s="441">
        <f t="shared" si="4"/>
        <v>12</v>
      </c>
      <c r="V17" s="394">
        <v>12</v>
      </c>
      <c r="W17" s="395" t="s">
        <v>33</v>
      </c>
      <c r="X17" s="442">
        <f>生産波及!T17</f>
        <v>0</v>
      </c>
      <c r="Y17" s="442">
        <f>生産波及!U17</f>
        <v>0.86622317792424475</v>
      </c>
      <c r="Z17" s="442">
        <f>生産波及!V17</f>
        <v>41.121915332982617</v>
      </c>
      <c r="AA17" s="443">
        <f t="shared" si="5"/>
        <v>41.988138510906865</v>
      </c>
      <c r="AB17" s="419"/>
      <c r="AC17" s="441">
        <v>12</v>
      </c>
      <c r="AD17" s="444">
        <f t="shared" si="6"/>
        <v>12</v>
      </c>
      <c r="AE17" s="445" t="str">
        <f t="shared" si="7"/>
        <v>教育・学習支援業</v>
      </c>
      <c r="AF17" s="442">
        <f t="shared" si="8"/>
        <v>0</v>
      </c>
      <c r="AG17" s="442">
        <f t="shared" si="9"/>
        <v>0.86622317792424475</v>
      </c>
      <c r="AH17" s="442">
        <f t="shared" si="10"/>
        <v>41.121915332982617</v>
      </c>
      <c r="AI17" s="442">
        <f t="shared" si="11"/>
        <v>41.988138510906865</v>
      </c>
    </row>
    <row r="18" spans="1:35" s="155" customFormat="1">
      <c r="A18" s="259"/>
      <c r="B18" s="394">
        <v>13</v>
      </c>
      <c r="C18" s="395" t="s">
        <v>34</v>
      </c>
      <c r="D18" s="268"/>
      <c r="E18" s="441">
        <f t="shared" si="0"/>
        <v>1</v>
      </c>
      <c r="F18" s="394">
        <v>13</v>
      </c>
      <c r="G18" s="395" t="s">
        <v>34</v>
      </c>
      <c r="H18" s="442">
        <f>造成波及!V18+建築波及!V18+設備波及!V18</f>
        <v>0</v>
      </c>
      <c r="I18" s="442">
        <f>造成波及!W18+建築波及!W18+設備波及!W18</f>
        <v>0</v>
      </c>
      <c r="J18" s="442">
        <f>造成波及!X18+建築波及!X18+設備波及!X18</f>
        <v>0</v>
      </c>
      <c r="K18" s="443">
        <f t="shared" si="1"/>
        <v>0</v>
      </c>
      <c r="L18" s="419"/>
      <c r="M18" s="441">
        <v>13</v>
      </c>
      <c r="N18" s="444" t="e">
        <f t="shared" si="2"/>
        <v>#N/A</v>
      </c>
      <c r="O18" s="445" t="e">
        <f t="shared" si="3"/>
        <v>#N/A</v>
      </c>
      <c r="P18" s="442" t="e">
        <f>VLOOKUP($N18,$F$6:H$21,3)</f>
        <v>#N/A</v>
      </c>
      <c r="Q18" s="442" t="e">
        <f>VLOOKUP($N18,$F$6:I$21,4)</f>
        <v>#N/A</v>
      </c>
      <c r="R18" s="442" t="e">
        <f>VLOOKUP($N18,$F$6:J$21,5)</f>
        <v>#N/A</v>
      </c>
      <c r="S18" s="442" t="e">
        <f>VLOOKUP($N18,$F$6:K$21,6)</f>
        <v>#N/A</v>
      </c>
      <c r="T18" s="274"/>
      <c r="U18" s="441">
        <f t="shared" si="4"/>
        <v>9</v>
      </c>
      <c r="V18" s="394">
        <v>13</v>
      </c>
      <c r="W18" s="395" t="s">
        <v>34</v>
      </c>
      <c r="X18" s="442">
        <f>生産波及!T18</f>
        <v>0</v>
      </c>
      <c r="Y18" s="442">
        <f>生産波及!U18</f>
        <v>0.15644034239025273</v>
      </c>
      <c r="Z18" s="442">
        <f>生産波及!V18</f>
        <v>82.836480722253995</v>
      </c>
      <c r="AA18" s="443">
        <f t="shared" si="5"/>
        <v>82.99292106464425</v>
      </c>
      <c r="AB18" s="419"/>
      <c r="AC18" s="441">
        <v>13</v>
      </c>
      <c r="AD18" s="444">
        <f t="shared" si="6"/>
        <v>4</v>
      </c>
      <c r="AE18" s="445" t="str">
        <f t="shared" si="7"/>
        <v>建設</v>
      </c>
      <c r="AF18" s="442">
        <f t="shared" si="8"/>
        <v>0</v>
      </c>
      <c r="AG18" s="442">
        <f t="shared" si="9"/>
        <v>17.542424996686851</v>
      </c>
      <c r="AH18" s="442">
        <f t="shared" si="10"/>
        <v>6.0071224315110276</v>
      </c>
      <c r="AI18" s="442">
        <f t="shared" si="11"/>
        <v>23.549547428197879</v>
      </c>
    </row>
    <row r="19" spans="1:35" s="155" customFormat="1">
      <c r="A19" s="259"/>
      <c r="B19" s="394">
        <v>14</v>
      </c>
      <c r="C19" s="395" t="s">
        <v>35</v>
      </c>
      <c r="D19" s="268"/>
      <c r="E19" s="441">
        <f t="shared" si="0"/>
        <v>1</v>
      </c>
      <c r="F19" s="394">
        <v>14</v>
      </c>
      <c r="G19" s="395" t="s">
        <v>35</v>
      </c>
      <c r="H19" s="442">
        <f>造成波及!V19+建築波及!V19+設備波及!V19</f>
        <v>0</v>
      </c>
      <c r="I19" s="442">
        <f>造成波及!W19+建築波及!W19+設備波及!W19</f>
        <v>0</v>
      </c>
      <c r="J19" s="442">
        <f>造成波及!X19+建築波及!X19+設備波及!X19</f>
        <v>0</v>
      </c>
      <c r="K19" s="443">
        <f t="shared" si="1"/>
        <v>0</v>
      </c>
      <c r="L19" s="419"/>
      <c r="M19" s="441">
        <v>14</v>
      </c>
      <c r="N19" s="444" t="e">
        <f t="shared" si="2"/>
        <v>#N/A</v>
      </c>
      <c r="O19" s="445" t="e">
        <f t="shared" si="3"/>
        <v>#N/A</v>
      </c>
      <c r="P19" s="442" t="e">
        <f>VLOOKUP($N19,$F$6:H$21,3)</f>
        <v>#N/A</v>
      </c>
      <c r="Q19" s="442" t="e">
        <f>VLOOKUP($N19,$F$6:I$21,4)</f>
        <v>#N/A</v>
      </c>
      <c r="R19" s="442" t="e">
        <f>VLOOKUP($N19,$F$6:J$21,5)</f>
        <v>#N/A</v>
      </c>
      <c r="S19" s="442" t="e">
        <f>VLOOKUP($N19,$F$6:K$21,6)</f>
        <v>#N/A</v>
      </c>
      <c r="T19" s="274"/>
      <c r="U19" s="441">
        <f t="shared" si="4"/>
        <v>15</v>
      </c>
      <c r="V19" s="394">
        <v>14</v>
      </c>
      <c r="W19" s="395" t="s">
        <v>35</v>
      </c>
      <c r="X19" s="442">
        <f>生産波及!T19</f>
        <v>0</v>
      </c>
      <c r="Y19" s="442">
        <f>生産波及!U19</f>
        <v>0</v>
      </c>
      <c r="Z19" s="442">
        <f>生産波及!V19</f>
        <v>1.8135385998892768</v>
      </c>
      <c r="AA19" s="443">
        <f t="shared" si="5"/>
        <v>1.8135385998892768</v>
      </c>
      <c r="AB19" s="419"/>
      <c r="AC19" s="441">
        <v>14</v>
      </c>
      <c r="AD19" s="444">
        <f t="shared" si="6"/>
        <v>11</v>
      </c>
      <c r="AE19" s="445" t="str">
        <f t="shared" si="7"/>
        <v>公務</v>
      </c>
      <c r="AF19" s="442">
        <f t="shared" si="8"/>
        <v>0</v>
      </c>
      <c r="AG19" s="442">
        <f t="shared" si="9"/>
        <v>2.5663653702411047</v>
      </c>
      <c r="AH19" s="442">
        <f t="shared" si="10"/>
        <v>5.9442947874597758</v>
      </c>
      <c r="AI19" s="442">
        <f t="shared" si="11"/>
        <v>8.5106601577008796</v>
      </c>
    </row>
    <row r="20" spans="1:35" s="155" customFormat="1">
      <c r="A20" s="259"/>
      <c r="B20" s="394">
        <v>15</v>
      </c>
      <c r="C20" s="395" t="s">
        <v>36</v>
      </c>
      <c r="D20" s="268"/>
      <c r="E20" s="441">
        <f t="shared" si="0"/>
        <v>1</v>
      </c>
      <c r="F20" s="394">
        <v>15</v>
      </c>
      <c r="G20" s="395" t="s">
        <v>36</v>
      </c>
      <c r="H20" s="442">
        <f>造成波及!V20+建築波及!V20+設備波及!V20</f>
        <v>0</v>
      </c>
      <c r="I20" s="442">
        <f>造成波及!W20+建築波及!W20+設備波及!W20</f>
        <v>0</v>
      </c>
      <c r="J20" s="442">
        <f>造成波及!X20+建築波及!X20+設備波及!X20</f>
        <v>0</v>
      </c>
      <c r="K20" s="443">
        <f t="shared" si="1"/>
        <v>0</v>
      </c>
      <c r="L20" s="419"/>
      <c r="M20" s="441">
        <v>15</v>
      </c>
      <c r="N20" s="444" t="e">
        <f t="shared" si="2"/>
        <v>#N/A</v>
      </c>
      <c r="O20" s="445" t="e">
        <f t="shared" si="3"/>
        <v>#N/A</v>
      </c>
      <c r="P20" s="442" t="e">
        <f>VLOOKUP($N20,$F$6:H$21,3)</f>
        <v>#N/A</v>
      </c>
      <c r="Q20" s="442" t="e">
        <f>VLOOKUP($N20,$F$6:I$21,4)</f>
        <v>#N/A</v>
      </c>
      <c r="R20" s="442" t="e">
        <f>VLOOKUP($N20,$F$6:J$21,5)</f>
        <v>#N/A</v>
      </c>
      <c r="S20" s="442" t="e">
        <f>VLOOKUP($N20,$F$6:K$21,6)</f>
        <v>#N/A</v>
      </c>
      <c r="T20" s="274"/>
      <c r="U20" s="441">
        <f t="shared" si="4"/>
        <v>11</v>
      </c>
      <c r="V20" s="394">
        <v>15</v>
      </c>
      <c r="W20" s="395" t="s">
        <v>36</v>
      </c>
      <c r="X20" s="442">
        <f>生産波及!T20</f>
        <v>0</v>
      </c>
      <c r="Y20" s="442">
        <f>生産波及!U20</f>
        <v>8.7622882566915604E-3</v>
      </c>
      <c r="Z20" s="442">
        <f>生産波及!V20</f>
        <v>70.891819853561088</v>
      </c>
      <c r="AA20" s="443">
        <f t="shared" si="5"/>
        <v>70.900582141817779</v>
      </c>
      <c r="AB20" s="419"/>
      <c r="AC20" s="441">
        <v>15</v>
      </c>
      <c r="AD20" s="444">
        <f t="shared" si="6"/>
        <v>14</v>
      </c>
      <c r="AE20" s="445" t="str">
        <f t="shared" si="7"/>
        <v>宿泊業</v>
      </c>
      <c r="AF20" s="442">
        <f t="shared" si="8"/>
        <v>0</v>
      </c>
      <c r="AG20" s="442">
        <f t="shared" si="9"/>
        <v>0</v>
      </c>
      <c r="AH20" s="442">
        <f t="shared" si="10"/>
        <v>1.8135385998892768</v>
      </c>
      <c r="AI20" s="442">
        <f t="shared" si="11"/>
        <v>1.8135385998892768</v>
      </c>
    </row>
    <row r="21" spans="1:35" s="155" customFormat="1">
      <c r="A21" s="259"/>
      <c r="B21" s="394">
        <v>16</v>
      </c>
      <c r="C21" s="395" t="s">
        <v>37</v>
      </c>
      <c r="D21" s="268"/>
      <c r="E21" s="441">
        <f t="shared" si="0"/>
        <v>1</v>
      </c>
      <c r="F21" s="394">
        <v>16</v>
      </c>
      <c r="G21" s="395" t="s">
        <v>37</v>
      </c>
      <c r="H21" s="442">
        <f>造成波及!V21+建築波及!V21+設備波及!V21</f>
        <v>0</v>
      </c>
      <c r="I21" s="442">
        <f>造成波及!W21+建築波及!W21+設備波及!W21</f>
        <v>0</v>
      </c>
      <c r="J21" s="442">
        <f>造成波及!X21+建築波及!X21+設備波及!X21</f>
        <v>0</v>
      </c>
      <c r="K21" s="443">
        <f t="shared" si="1"/>
        <v>0</v>
      </c>
      <c r="L21" s="419"/>
      <c r="M21" s="441">
        <v>16</v>
      </c>
      <c r="N21" s="444" t="e">
        <f t="shared" si="2"/>
        <v>#N/A</v>
      </c>
      <c r="O21" s="445" t="e">
        <f t="shared" si="3"/>
        <v>#N/A</v>
      </c>
      <c r="P21" s="442" t="e">
        <f>VLOOKUP($N21,$F$6:H$21,3)</f>
        <v>#N/A</v>
      </c>
      <c r="Q21" s="442" t="e">
        <f>VLOOKUP($N21,$F$6:I$21,4)</f>
        <v>#N/A</v>
      </c>
      <c r="R21" s="442" t="e">
        <f>VLOOKUP($N21,$F$6:J$21,5)</f>
        <v>#N/A</v>
      </c>
      <c r="S21" s="442" t="e">
        <f>VLOOKUP($N21,$F$6:K$21,6)</f>
        <v>#N/A</v>
      </c>
      <c r="T21" s="274"/>
      <c r="U21" s="441">
        <f t="shared" si="4"/>
        <v>3</v>
      </c>
      <c r="V21" s="394">
        <v>16</v>
      </c>
      <c r="W21" s="395" t="s">
        <v>37</v>
      </c>
      <c r="X21" s="442">
        <f>生産波及!T21</f>
        <v>0</v>
      </c>
      <c r="Y21" s="442">
        <f>生産波及!U21</f>
        <v>298.65790774760899</v>
      </c>
      <c r="Z21" s="442">
        <f>生産波及!V21</f>
        <v>168.8086290214201</v>
      </c>
      <c r="AA21" s="443">
        <f t="shared" si="5"/>
        <v>467.46653676902906</v>
      </c>
      <c r="AB21" s="419"/>
      <c r="AC21" s="441">
        <v>16</v>
      </c>
      <c r="AD21" s="444">
        <f t="shared" si="6"/>
        <v>2</v>
      </c>
      <c r="AE21" s="445" t="str">
        <f t="shared" si="7"/>
        <v>鉱業</v>
      </c>
      <c r="AF21" s="442">
        <f t="shared" si="8"/>
        <v>0</v>
      </c>
      <c r="AG21" s="442">
        <f t="shared" si="9"/>
        <v>0.65130813230795193</v>
      </c>
      <c r="AH21" s="442">
        <f t="shared" si="10"/>
        <v>0.42220118602208023</v>
      </c>
      <c r="AI21" s="442">
        <f t="shared" si="11"/>
        <v>1.0735093183300322</v>
      </c>
    </row>
    <row r="22" spans="1:35" s="155" customFormat="1">
      <c r="A22" s="259"/>
      <c r="B22" s="394">
        <v>17</v>
      </c>
      <c r="C22" s="395" t="s">
        <v>460</v>
      </c>
      <c r="D22" s="268"/>
      <c r="E22" s="451"/>
      <c r="F22" s="394">
        <v>17</v>
      </c>
      <c r="G22" s="395" t="s">
        <v>460</v>
      </c>
      <c r="H22" s="442">
        <f>造成波及!V22+建築波及!V22+設備波及!V22</f>
        <v>0</v>
      </c>
      <c r="I22" s="442">
        <f>造成波及!W22+建築波及!W22+設備波及!W22</f>
        <v>0</v>
      </c>
      <c r="J22" s="442">
        <f>造成波及!X22+建築波及!X22+設備波及!X22</f>
        <v>0</v>
      </c>
      <c r="K22" s="443">
        <f t="shared" si="1"/>
        <v>0</v>
      </c>
      <c r="L22" s="419"/>
      <c r="M22" s="452">
        <v>17</v>
      </c>
      <c r="N22" s="453">
        <v>17</v>
      </c>
      <c r="O22" s="454" t="s">
        <v>139</v>
      </c>
      <c r="P22" s="455">
        <f>SUM(H22:H25)</f>
        <v>0</v>
      </c>
      <c r="Q22" s="455">
        <f t="shared" ref="Q22:S22" si="12">SUM(I22:I25)</f>
        <v>0</v>
      </c>
      <c r="R22" s="455">
        <f t="shared" si="12"/>
        <v>0</v>
      </c>
      <c r="S22" s="455">
        <f t="shared" si="12"/>
        <v>0</v>
      </c>
      <c r="T22" s="274"/>
      <c r="U22" s="451"/>
      <c r="V22" s="394">
        <v>17</v>
      </c>
      <c r="W22" s="395" t="s">
        <v>460</v>
      </c>
      <c r="X22" s="442">
        <f>生産波及!T22</f>
        <v>0</v>
      </c>
      <c r="Y22" s="442">
        <f>生産波及!U22</f>
        <v>0</v>
      </c>
      <c r="Z22" s="442">
        <f>生産波及!V22</f>
        <v>414.45241368442487</v>
      </c>
      <c r="AA22" s="443">
        <f t="shared" si="5"/>
        <v>414.45241368442487</v>
      </c>
      <c r="AB22" s="419"/>
      <c r="AC22" s="452">
        <v>17</v>
      </c>
      <c r="AD22" s="453">
        <v>17</v>
      </c>
      <c r="AE22" s="454" t="s">
        <v>139</v>
      </c>
      <c r="AF22" s="455">
        <f>SUM(X22:X25)</f>
        <v>0</v>
      </c>
      <c r="AG22" s="455">
        <f t="shared" ref="AG22" si="13">SUM(Y22:Y25)</f>
        <v>481.65411881945607</v>
      </c>
      <c r="AH22" s="455">
        <f t="shared" ref="AH22" si="14">SUM(Z22:Z25)</f>
        <v>440.92748123765489</v>
      </c>
      <c r="AI22" s="455">
        <f t="shared" ref="AI22" si="15">SUM(AA22:AA25)</f>
        <v>922.58160005711102</v>
      </c>
    </row>
    <row r="23" spans="1:35" s="155" customFormat="1">
      <c r="A23" s="259"/>
      <c r="B23" s="394">
        <v>18</v>
      </c>
      <c r="C23" s="395" t="s">
        <v>38</v>
      </c>
      <c r="D23" s="268"/>
      <c r="E23" s="451"/>
      <c r="F23" s="394">
        <v>18</v>
      </c>
      <c r="G23" s="395" t="s">
        <v>38</v>
      </c>
      <c r="H23" s="442">
        <f>造成波及!V23+建築波及!V23+設備波及!V23</f>
        <v>0</v>
      </c>
      <c r="I23" s="442">
        <f>造成波及!W23+建築波及!W23+設備波及!W23</f>
        <v>0</v>
      </c>
      <c r="J23" s="442">
        <f>造成波及!X23+建築波及!X23+設備波及!X23</f>
        <v>0</v>
      </c>
      <c r="K23" s="443">
        <f t="shared" si="1"/>
        <v>0</v>
      </c>
      <c r="L23" s="419"/>
      <c r="M23" s="278"/>
      <c r="N23" s="278"/>
      <c r="O23" s="278"/>
      <c r="P23" s="278"/>
      <c r="Q23" s="278"/>
      <c r="R23" s="278"/>
      <c r="S23" s="278"/>
      <c r="T23" s="274"/>
      <c r="U23" s="451"/>
      <c r="V23" s="394">
        <v>18</v>
      </c>
      <c r="W23" s="395" t="s">
        <v>38</v>
      </c>
      <c r="X23" s="442">
        <f>生産波及!T23</f>
        <v>0</v>
      </c>
      <c r="Y23" s="442">
        <f>生産波及!U23</f>
        <v>427.36079154238269</v>
      </c>
      <c r="Z23" s="442">
        <f>生産波及!V23</f>
        <v>18.938351520373526</v>
      </c>
      <c r="AA23" s="443">
        <f t="shared" si="5"/>
        <v>446.29914306275623</v>
      </c>
      <c r="AB23" s="419"/>
      <c r="AC23" s="270"/>
      <c r="AD23" s="270"/>
      <c r="AE23" s="270"/>
      <c r="AF23" s="270"/>
      <c r="AG23" s="270"/>
      <c r="AH23" s="270"/>
      <c r="AI23" s="270"/>
    </row>
    <row r="24" spans="1:35" s="155" customFormat="1">
      <c r="A24" s="259"/>
      <c r="B24" s="394">
        <v>19</v>
      </c>
      <c r="C24" s="395" t="s">
        <v>39</v>
      </c>
      <c r="D24" s="268"/>
      <c r="E24" s="451"/>
      <c r="F24" s="394">
        <v>19</v>
      </c>
      <c r="G24" s="395" t="s">
        <v>39</v>
      </c>
      <c r="H24" s="442">
        <f>造成波及!V24+建築波及!V24+設備波及!V24</f>
        <v>0</v>
      </c>
      <c r="I24" s="442">
        <f>造成波及!W24+建築波及!W24+設備波及!W24</f>
        <v>0</v>
      </c>
      <c r="J24" s="442">
        <f>造成波及!X24+建築波及!X24+設備波及!X24</f>
        <v>0</v>
      </c>
      <c r="K24" s="443">
        <f t="shared" si="1"/>
        <v>0</v>
      </c>
      <c r="L24" s="419"/>
      <c r="T24" s="274"/>
      <c r="U24" s="451"/>
      <c r="V24" s="394">
        <v>19</v>
      </c>
      <c r="W24" s="395" t="s">
        <v>39</v>
      </c>
      <c r="X24" s="442">
        <f>生産波及!T24</f>
        <v>0</v>
      </c>
      <c r="Y24" s="442">
        <f>生産波及!U24</f>
        <v>4.6483075435150463</v>
      </c>
      <c r="Z24" s="442">
        <f>生産波及!V24</f>
        <v>2.1991858376153743</v>
      </c>
      <c r="AA24" s="443">
        <f t="shared" si="5"/>
        <v>6.8474933811304206</v>
      </c>
      <c r="AB24" s="419"/>
    </row>
    <row r="25" spans="1:35" s="155" customFormat="1">
      <c r="A25" s="259"/>
      <c r="B25" s="425">
        <v>20</v>
      </c>
      <c r="C25" s="426" t="s">
        <v>40</v>
      </c>
      <c r="D25" s="268"/>
      <c r="E25" s="456"/>
      <c r="F25" s="425">
        <v>20</v>
      </c>
      <c r="G25" s="426" t="s">
        <v>40</v>
      </c>
      <c r="H25" s="442">
        <f>造成波及!V25+建築波及!V25+設備波及!V25</f>
        <v>0</v>
      </c>
      <c r="I25" s="442">
        <f>造成波及!W25+建築波及!W25+設備波及!W25</f>
        <v>0</v>
      </c>
      <c r="J25" s="442">
        <f>造成波及!X25+建築波及!X25+設備波及!X25</f>
        <v>0</v>
      </c>
      <c r="K25" s="443">
        <f t="shared" si="1"/>
        <v>0</v>
      </c>
      <c r="L25" s="419"/>
      <c r="M25" s="270"/>
      <c r="N25" s="270"/>
      <c r="O25" s="278"/>
      <c r="P25" s="278"/>
      <c r="Q25" s="278"/>
      <c r="R25" s="278"/>
      <c r="S25" s="278"/>
      <c r="T25" s="274"/>
      <c r="U25" s="456"/>
      <c r="V25" s="425">
        <v>20</v>
      </c>
      <c r="W25" s="426" t="s">
        <v>40</v>
      </c>
      <c r="X25" s="442">
        <f>生産波及!T25</f>
        <v>0</v>
      </c>
      <c r="Y25" s="442">
        <f>生産波及!U25</f>
        <v>49.645019733558364</v>
      </c>
      <c r="Z25" s="442">
        <f>生産波及!V25</f>
        <v>5.3375301952411487</v>
      </c>
      <c r="AA25" s="443">
        <f t="shared" si="5"/>
        <v>54.982549928799514</v>
      </c>
      <c r="AB25" s="419"/>
    </row>
    <row r="26" spans="1:35" s="155" customFormat="1">
      <c r="A26" s="259"/>
      <c r="B26" s="457"/>
      <c r="C26" s="458"/>
      <c r="D26" s="268"/>
      <c r="E26" s="459"/>
      <c r="F26" s="460">
        <v>70</v>
      </c>
      <c r="G26" s="461" t="s">
        <v>338</v>
      </c>
      <c r="H26" s="224">
        <f>SUM(H6:H25)</f>
        <v>0</v>
      </c>
      <c r="I26" s="224">
        <f>SUM(I6:I25)</f>
        <v>0</v>
      </c>
      <c r="J26" s="224">
        <f>SUM(J6:J25)</f>
        <v>0</v>
      </c>
      <c r="K26" s="224">
        <f>SUM(K6:K25)</f>
        <v>0</v>
      </c>
      <c r="N26" s="259"/>
      <c r="O26" s="462" t="s">
        <v>339</v>
      </c>
      <c r="P26" s="420" t="e">
        <f>SUM(P6:P22)</f>
        <v>#N/A</v>
      </c>
      <c r="Q26" s="420" t="e">
        <f t="shared" ref="Q26:S26" si="16">SUM(Q6:Q22)</f>
        <v>#N/A</v>
      </c>
      <c r="R26" s="420" t="e">
        <f t="shared" si="16"/>
        <v>#N/A</v>
      </c>
      <c r="S26" s="420" t="e">
        <f t="shared" si="16"/>
        <v>#N/A</v>
      </c>
      <c r="T26" s="274"/>
      <c r="U26" s="459"/>
      <c r="V26" s="460">
        <v>70</v>
      </c>
      <c r="W26" s="461" t="s">
        <v>458</v>
      </c>
      <c r="X26" s="224">
        <f>SUM(X6:X25)</f>
        <v>6349.2534636753626</v>
      </c>
      <c r="Y26" s="224">
        <f>SUM(Y6:Y25)</f>
        <v>1965.2379228090381</v>
      </c>
      <c r="Z26" s="224">
        <f>SUM(Z6:Z25)</f>
        <v>1619.2121734917216</v>
      </c>
      <c r="AA26" s="224">
        <f>SUM(AA6:AA25)</f>
        <v>9933.7035599761202</v>
      </c>
      <c r="AE26" s="462" t="s">
        <v>339</v>
      </c>
      <c r="AF26" s="420">
        <f>SUM(AF6:AF22)</f>
        <v>6349.2534636753626</v>
      </c>
      <c r="AG26" s="420">
        <f t="shared" ref="AG26:AI26" si="17">SUM(AG6:AG22)</f>
        <v>1965.2379228090381</v>
      </c>
      <c r="AH26" s="420">
        <f t="shared" si="17"/>
        <v>1619.2121734917214</v>
      </c>
      <c r="AI26" s="420">
        <f t="shared" si="17"/>
        <v>9933.7035599761184</v>
      </c>
    </row>
    <row r="27" spans="1:35" s="155" customFormat="1">
      <c r="A27" s="259"/>
      <c r="B27" s="463"/>
      <c r="C27" s="464"/>
      <c r="D27" s="268"/>
      <c r="E27" s="433"/>
      <c r="M27" s="268"/>
      <c r="N27" s="277"/>
      <c r="O27" s="278"/>
      <c r="P27" s="278"/>
      <c r="Q27" s="278"/>
      <c r="R27" s="278"/>
      <c r="S27" s="278"/>
      <c r="U27" s="433"/>
      <c r="AC27" s="268"/>
      <c r="AD27" s="277"/>
      <c r="AE27" s="269"/>
      <c r="AF27" s="278"/>
      <c r="AG27" s="278"/>
      <c r="AH27" s="278"/>
      <c r="AI27" s="278"/>
    </row>
    <row r="28" spans="1:35" s="155" customFormat="1">
      <c r="A28" s="259"/>
      <c r="B28" s="463"/>
      <c r="C28" s="464"/>
      <c r="D28" s="268"/>
      <c r="E28" s="433"/>
      <c r="M28" s="465"/>
      <c r="U28" s="433"/>
      <c r="AC28" s="465"/>
    </row>
    <row r="29" spans="1:35" s="155" customFormat="1">
      <c r="A29" s="259"/>
      <c r="B29" s="463"/>
      <c r="C29" s="464"/>
      <c r="D29" s="268"/>
      <c r="E29" s="433"/>
      <c r="M29" s="268"/>
      <c r="N29" s="268"/>
      <c r="U29" s="433"/>
      <c r="AC29" s="268"/>
      <c r="AD29" s="268"/>
    </row>
    <row r="30" spans="1:35" s="155" customFormat="1">
      <c r="A30" s="259"/>
      <c r="B30" s="463"/>
      <c r="C30" s="464"/>
      <c r="D30" s="268"/>
      <c r="E30" s="433"/>
      <c r="M30" s="268"/>
      <c r="N30" s="268"/>
      <c r="U30" s="433"/>
      <c r="AC30" s="268"/>
      <c r="AD30" s="268"/>
    </row>
    <row r="31" spans="1:35" s="155" customFormat="1">
      <c r="A31" s="259"/>
      <c r="B31" s="463"/>
      <c r="C31" s="464"/>
      <c r="D31" s="268"/>
      <c r="E31" s="433"/>
      <c r="M31" s="268"/>
      <c r="N31" s="268"/>
      <c r="U31" s="433"/>
      <c r="AC31" s="268"/>
      <c r="AD31" s="268"/>
    </row>
    <row r="32" spans="1:35" s="155" customFormat="1">
      <c r="A32" s="259"/>
      <c r="B32" s="463"/>
      <c r="C32" s="464"/>
      <c r="D32" s="268"/>
      <c r="E32" s="433"/>
      <c r="M32" s="268"/>
      <c r="N32" s="268"/>
      <c r="U32" s="433"/>
      <c r="AC32" s="268"/>
      <c r="AD32" s="268"/>
    </row>
    <row r="33" spans="1:30" s="155" customFormat="1">
      <c r="A33" s="259"/>
      <c r="B33" s="463"/>
      <c r="C33" s="464"/>
      <c r="D33" s="268"/>
      <c r="E33" s="433"/>
      <c r="M33" s="268"/>
      <c r="N33" s="268"/>
      <c r="U33" s="433"/>
      <c r="AC33" s="268"/>
      <c r="AD33" s="268"/>
    </row>
    <row r="34" spans="1:30" s="155" customFormat="1">
      <c r="A34" s="259"/>
      <c r="B34" s="463"/>
      <c r="C34" s="464"/>
      <c r="D34" s="268"/>
      <c r="E34" s="433"/>
      <c r="M34" s="268"/>
      <c r="N34" s="268"/>
      <c r="U34" s="433"/>
      <c r="AC34" s="268"/>
      <c r="AD34" s="268"/>
    </row>
    <row r="35" spans="1:30" s="155" customFormat="1">
      <c r="A35" s="259"/>
      <c r="B35" s="463"/>
      <c r="C35" s="464"/>
      <c r="D35" s="268"/>
      <c r="E35" s="433"/>
      <c r="M35" s="268"/>
      <c r="N35" s="268"/>
      <c r="U35" s="433"/>
      <c r="AC35" s="268"/>
      <c r="AD35" s="268"/>
    </row>
    <row r="36" spans="1:30" s="155" customFormat="1">
      <c r="A36" s="259"/>
      <c r="B36" s="463"/>
      <c r="C36" s="464"/>
      <c r="D36" s="268"/>
      <c r="E36" s="433"/>
      <c r="M36" s="268"/>
      <c r="N36" s="268"/>
      <c r="U36" s="433"/>
      <c r="AC36" s="268"/>
      <c r="AD36" s="268"/>
    </row>
    <row r="37" spans="1:30" s="155" customFormat="1">
      <c r="A37" s="259"/>
      <c r="B37" s="463"/>
      <c r="C37" s="464"/>
      <c r="D37" s="268"/>
      <c r="E37" s="433"/>
      <c r="M37" s="268"/>
      <c r="N37" s="268"/>
      <c r="U37" s="433"/>
      <c r="AC37" s="268"/>
      <c r="AD37" s="268"/>
    </row>
    <row r="38" spans="1:30" s="155" customFormat="1">
      <c r="A38" s="259"/>
      <c r="B38" s="463"/>
      <c r="C38" s="464"/>
      <c r="D38" s="268"/>
      <c r="E38" s="433"/>
      <c r="M38" s="268"/>
      <c r="N38" s="268"/>
      <c r="U38" s="433"/>
      <c r="AC38" s="268"/>
      <c r="AD38" s="268"/>
    </row>
    <row r="39" spans="1:30" s="155" customFormat="1">
      <c r="A39" s="259"/>
      <c r="B39" s="463"/>
      <c r="C39" s="464"/>
      <c r="D39" s="268"/>
      <c r="E39" s="433"/>
      <c r="M39" s="268"/>
      <c r="N39" s="268"/>
      <c r="U39" s="433"/>
      <c r="AC39" s="268"/>
      <c r="AD39" s="268"/>
    </row>
    <row r="40" spans="1:30" s="155" customFormat="1">
      <c r="A40" s="259"/>
      <c r="B40" s="463"/>
      <c r="C40" s="464"/>
      <c r="D40" s="268"/>
      <c r="E40" s="433"/>
      <c r="M40" s="268"/>
      <c r="N40" s="268"/>
      <c r="U40" s="433"/>
      <c r="AC40" s="268"/>
      <c r="AD40" s="268"/>
    </row>
    <row r="41" spans="1:30" s="155" customFormat="1">
      <c r="A41" s="259"/>
      <c r="B41" s="463"/>
      <c r="C41" s="464"/>
      <c r="D41" s="268"/>
      <c r="E41" s="433"/>
      <c r="M41" s="268"/>
      <c r="N41" s="268"/>
      <c r="U41" s="433"/>
      <c r="AC41" s="268"/>
      <c r="AD41" s="268"/>
    </row>
    <row r="42" spans="1:30" s="155" customFormat="1">
      <c r="A42" s="259"/>
      <c r="B42" s="463"/>
      <c r="C42" s="464"/>
      <c r="D42" s="268"/>
      <c r="E42" s="433"/>
      <c r="M42" s="268"/>
      <c r="N42" s="268"/>
      <c r="U42" s="433"/>
      <c r="AC42" s="268"/>
      <c r="AD42" s="268"/>
    </row>
    <row r="43" spans="1:30" s="155" customFormat="1">
      <c r="A43" s="259"/>
      <c r="B43" s="463"/>
      <c r="C43" s="464"/>
      <c r="D43" s="268"/>
      <c r="E43" s="433"/>
      <c r="M43" s="268"/>
      <c r="N43" s="268"/>
      <c r="U43" s="433"/>
      <c r="AC43" s="268"/>
      <c r="AD43" s="268"/>
    </row>
    <row r="44" spans="1:30" s="155" customFormat="1">
      <c r="A44" s="259"/>
      <c r="B44" s="463"/>
      <c r="C44" s="464"/>
      <c r="D44" s="268"/>
      <c r="E44" s="433"/>
      <c r="M44" s="268"/>
      <c r="N44" s="268"/>
      <c r="U44" s="433"/>
      <c r="AC44" s="268"/>
      <c r="AD44" s="268"/>
    </row>
    <row r="45" spans="1:30" s="155" customFormat="1">
      <c r="A45" s="259"/>
      <c r="B45" s="463"/>
      <c r="C45" s="464"/>
      <c r="D45" s="268"/>
      <c r="E45" s="433"/>
      <c r="M45" s="268"/>
      <c r="N45" s="268"/>
      <c r="U45" s="433"/>
      <c r="AC45" s="268"/>
      <c r="AD45" s="268"/>
    </row>
    <row r="46" spans="1:30" s="155" customFormat="1">
      <c r="A46" s="259"/>
      <c r="B46" s="463"/>
      <c r="C46" s="464"/>
      <c r="D46" s="268"/>
      <c r="E46" s="433"/>
      <c r="M46" s="268"/>
      <c r="N46" s="268"/>
      <c r="U46" s="433"/>
      <c r="AC46" s="268"/>
      <c r="AD46" s="268"/>
    </row>
    <row r="47" spans="1:30" s="155" customFormat="1">
      <c r="A47" s="259"/>
      <c r="B47" s="463"/>
      <c r="C47" s="464"/>
      <c r="D47" s="268"/>
      <c r="E47" s="433"/>
      <c r="M47" s="268"/>
      <c r="N47" s="268"/>
      <c r="U47" s="433"/>
      <c r="AC47" s="268"/>
      <c r="AD47" s="268"/>
    </row>
    <row r="48" spans="1:30" s="155" customFormat="1">
      <c r="A48" s="259"/>
      <c r="B48" s="463"/>
      <c r="C48" s="464"/>
      <c r="D48" s="268"/>
      <c r="E48" s="433"/>
      <c r="M48" s="268"/>
      <c r="N48" s="268"/>
      <c r="U48" s="433"/>
      <c r="AC48" s="268"/>
      <c r="AD48" s="268"/>
    </row>
    <row r="49" spans="1:30" s="155" customFormat="1">
      <c r="A49" s="259"/>
      <c r="B49" s="463"/>
      <c r="C49" s="464"/>
      <c r="D49" s="268"/>
      <c r="E49" s="433"/>
      <c r="M49" s="268"/>
      <c r="N49" s="268"/>
      <c r="U49" s="433"/>
      <c r="AC49" s="268"/>
      <c r="AD49" s="268"/>
    </row>
    <row r="50" spans="1:30" s="155" customFormat="1">
      <c r="A50" s="259"/>
      <c r="B50" s="463"/>
      <c r="C50" s="464"/>
      <c r="D50" s="268"/>
      <c r="E50" s="433"/>
      <c r="M50" s="268"/>
      <c r="N50" s="268"/>
      <c r="U50" s="433"/>
      <c r="AC50" s="268"/>
      <c r="AD50" s="268"/>
    </row>
    <row r="51" spans="1:30" s="155" customFormat="1">
      <c r="A51" s="259"/>
      <c r="B51" s="463"/>
      <c r="C51" s="464"/>
      <c r="D51" s="268"/>
      <c r="E51" s="433"/>
      <c r="M51" s="268"/>
      <c r="N51" s="268"/>
      <c r="U51" s="433"/>
      <c r="AC51" s="268"/>
      <c r="AD51" s="268"/>
    </row>
    <row r="52" spans="1:30" s="155" customFormat="1">
      <c r="A52" s="259"/>
      <c r="B52" s="463"/>
      <c r="C52" s="464"/>
      <c r="D52" s="268"/>
      <c r="E52" s="433"/>
      <c r="M52" s="268"/>
      <c r="N52" s="268"/>
      <c r="U52" s="433"/>
      <c r="AC52" s="268"/>
      <c r="AD52" s="268"/>
    </row>
    <row r="53" spans="1:30" s="155" customFormat="1">
      <c r="A53" s="259"/>
      <c r="B53" s="463"/>
      <c r="C53" s="464"/>
      <c r="D53" s="268"/>
      <c r="E53" s="433"/>
      <c r="M53" s="268"/>
      <c r="N53" s="268"/>
      <c r="U53" s="433"/>
      <c r="AC53" s="268"/>
      <c r="AD53" s="268"/>
    </row>
    <row r="54" spans="1:30" s="155" customFormat="1">
      <c r="A54" s="259"/>
      <c r="B54" s="463"/>
      <c r="C54" s="464"/>
      <c r="D54" s="268"/>
      <c r="E54" s="433"/>
      <c r="M54" s="268"/>
      <c r="N54" s="268"/>
      <c r="U54" s="433"/>
      <c r="AC54" s="268"/>
      <c r="AD54" s="268"/>
    </row>
    <row r="55" spans="1:30" s="155" customFormat="1">
      <c r="A55" s="259"/>
      <c r="B55" s="463"/>
      <c r="C55" s="464"/>
      <c r="D55" s="268"/>
      <c r="E55" s="433"/>
      <c r="M55" s="268"/>
      <c r="N55" s="268"/>
      <c r="U55" s="433"/>
      <c r="AC55" s="268"/>
      <c r="AD55" s="268"/>
    </row>
    <row r="56" spans="1:30" s="155" customFormat="1">
      <c r="A56" s="259"/>
      <c r="B56" s="463"/>
      <c r="C56" s="464"/>
      <c r="D56" s="268"/>
      <c r="E56" s="433"/>
      <c r="M56" s="268"/>
      <c r="N56" s="268"/>
      <c r="U56" s="433"/>
      <c r="AC56" s="268"/>
      <c r="AD56" s="268"/>
    </row>
    <row r="57" spans="1:30" s="155" customFormat="1">
      <c r="A57" s="259"/>
      <c r="B57" s="463"/>
      <c r="C57" s="464"/>
      <c r="D57" s="268"/>
      <c r="E57" s="433"/>
      <c r="M57" s="268"/>
      <c r="N57" s="268"/>
      <c r="U57" s="433"/>
      <c r="AC57" s="268"/>
      <c r="AD57" s="268"/>
    </row>
    <row r="58" spans="1:30" s="155" customFormat="1">
      <c r="A58" s="259"/>
      <c r="B58" s="463"/>
      <c r="C58" s="464"/>
      <c r="D58" s="268"/>
      <c r="E58" s="433"/>
      <c r="M58" s="268"/>
      <c r="N58" s="268"/>
      <c r="U58" s="433"/>
      <c r="AC58" s="268"/>
      <c r="AD58" s="268"/>
    </row>
    <row r="59" spans="1:30" s="155" customFormat="1">
      <c r="A59" s="259"/>
      <c r="B59" s="463"/>
      <c r="C59" s="464"/>
      <c r="D59" s="268"/>
      <c r="E59" s="433"/>
      <c r="M59" s="268"/>
      <c r="N59" s="268"/>
      <c r="U59" s="433"/>
      <c r="AC59" s="268"/>
      <c r="AD59" s="268"/>
    </row>
    <row r="60" spans="1:30" s="155" customFormat="1">
      <c r="A60" s="259"/>
      <c r="B60" s="463"/>
      <c r="C60" s="464"/>
      <c r="D60" s="268"/>
      <c r="E60" s="433"/>
      <c r="M60" s="268"/>
      <c r="N60" s="268"/>
      <c r="U60" s="433"/>
      <c r="AC60" s="268"/>
      <c r="AD60" s="268"/>
    </row>
    <row r="61" spans="1:30" s="155" customFormat="1">
      <c r="A61" s="259"/>
      <c r="B61" s="463"/>
      <c r="C61" s="464"/>
      <c r="D61" s="268"/>
      <c r="E61" s="433"/>
      <c r="M61" s="268"/>
      <c r="N61" s="268"/>
      <c r="U61" s="433"/>
      <c r="AC61" s="268"/>
      <c r="AD61" s="268"/>
    </row>
    <row r="62" spans="1:30" s="155" customFormat="1">
      <c r="A62" s="259"/>
      <c r="B62" s="463"/>
      <c r="C62" s="464"/>
      <c r="D62" s="268"/>
      <c r="E62" s="433"/>
      <c r="M62" s="268"/>
      <c r="N62" s="268"/>
      <c r="U62" s="433"/>
      <c r="AC62" s="268"/>
      <c r="AD62" s="268"/>
    </row>
    <row r="63" spans="1:30" s="155" customFormat="1">
      <c r="A63" s="259"/>
      <c r="B63" s="463"/>
      <c r="C63" s="464"/>
      <c r="D63" s="268"/>
      <c r="E63" s="433"/>
      <c r="M63" s="268"/>
      <c r="N63" s="268"/>
      <c r="U63" s="433"/>
      <c r="AC63" s="268"/>
      <c r="AD63" s="268"/>
    </row>
    <row r="64" spans="1:30" s="155" customFormat="1">
      <c r="A64" s="259"/>
      <c r="B64" s="463"/>
      <c r="C64" s="464"/>
      <c r="D64" s="268"/>
      <c r="E64" s="433"/>
      <c r="M64" s="268"/>
      <c r="N64" s="268"/>
      <c r="U64" s="433"/>
      <c r="AC64" s="268"/>
      <c r="AD64" s="268"/>
    </row>
    <row r="65" spans="1:30" s="155" customFormat="1">
      <c r="A65" s="259"/>
      <c r="B65" s="466"/>
      <c r="C65" s="466"/>
      <c r="D65" s="268"/>
      <c r="E65" s="433"/>
      <c r="M65" s="268"/>
      <c r="N65" s="268"/>
      <c r="U65" s="433"/>
      <c r="AC65" s="268"/>
      <c r="AD65" s="268"/>
    </row>
    <row r="66" spans="1:30" s="155" customFormat="1">
      <c r="A66" s="259"/>
      <c r="B66" s="466"/>
      <c r="C66" s="466"/>
      <c r="D66" s="268"/>
      <c r="E66" s="433"/>
      <c r="M66" s="268"/>
      <c r="N66" s="268"/>
      <c r="U66" s="433"/>
      <c r="AC66" s="268"/>
      <c r="AD66" s="268"/>
    </row>
    <row r="67" spans="1:30" s="155" customFormat="1">
      <c r="A67" s="259"/>
      <c r="B67" s="466"/>
      <c r="C67" s="466"/>
      <c r="D67" s="268"/>
      <c r="E67" s="433"/>
      <c r="M67" s="268"/>
      <c r="N67" s="268"/>
      <c r="U67" s="433"/>
      <c r="AC67" s="268"/>
      <c r="AD67" s="268"/>
    </row>
    <row r="68" spans="1:30" s="155" customFormat="1">
      <c r="A68" s="259"/>
      <c r="B68" s="466"/>
      <c r="C68" s="466"/>
      <c r="D68" s="268"/>
      <c r="E68" s="433"/>
      <c r="M68" s="268"/>
      <c r="N68" s="268"/>
      <c r="U68" s="433"/>
      <c r="AC68" s="268"/>
      <c r="AD68" s="268"/>
    </row>
    <row r="69" spans="1:30" s="155" customFormat="1">
      <c r="A69" s="259"/>
      <c r="B69" s="466"/>
      <c r="C69" s="466"/>
      <c r="D69" s="268"/>
      <c r="E69" s="433"/>
      <c r="M69" s="268"/>
      <c r="N69" s="268"/>
      <c r="U69" s="433"/>
      <c r="AC69" s="268"/>
      <c r="AD69" s="268"/>
    </row>
    <row r="70" spans="1:30" s="155" customFormat="1">
      <c r="A70" s="259"/>
      <c r="B70" s="466"/>
      <c r="C70" s="466"/>
      <c r="D70" s="268"/>
      <c r="E70" s="433"/>
      <c r="M70" s="268"/>
      <c r="N70" s="268"/>
      <c r="U70" s="433"/>
      <c r="AC70" s="268"/>
      <c r="AD70" s="268"/>
    </row>
    <row r="71" spans="1:30" s="155" customFormat="1">
      <c r="A71" s="259"/>
      <c r="B71" s="466"/>
      <c r="C71" s="466"/>
      <c r="D71" s="268"/>
      <c r="E71" s="433"/>
      <c r="M71" s="268"/>
      <c r="N71" s="268"/>
      <c r="U71" s="433"/>
      <c r="AC71" s="268"/>
      <c r="AD71" s="268"/>
    </row>
    <row r="72" spans="1:30" s="155" customFormat="1">
      <c r="A72" s="259"/>
      <c r="B72" s="466"/>
      <c r="C72" s="466"/>
      <c r="D72" s="268"/>
      <c r="E72" s="433"/>
      <c r="M72" s="268"/>
      <c r="N72" s="268"/>
      <c r="U72" s="433"/>
      <c r="AC72" s="268"/>
      <c r="AD72" s="268"/>
    </row>
    <row r="73" spans="1:30" s="155" customFormat="1">
      <c r="A73" s="259"/>
      <c r="B73" s="466"/>
      <c r="C73" s="466"/>
      <c r="D73" s="268"/>
      <c r="E73" s="433"/>
      <c r="M73" s="268"/>
      <c r="N73" s="268"/>
      <c r="U73" s="433"/>
      <c r="AC73" s="268"/>
      <c r="AD73" s="268"/>
    </row>
    <row r="74" spans="1:30" s="155" customFormat="1">
      <c r="A74" s="259"/>
      <c r="B74" s="466"/>
      <c r="C74" s="466"/>
      <c r="D74" s="268"/>
      <c r="E74" s="433"/>
      <c r="M74" s="268"/>
      <c r="N74" s="268"/>
      <c r="U74" s="433"/>
      <c r="AC74" s="268"/>
      <c r="AD74" s="268"/>
    </row>
    <row r="75" spans="1:30" s="155" customFormat="1">
      <c r="A75" s="259"/>
      <c r="B75" s="466"/>
      <c r="C75" s="466"/>
      <c r="D75" s="268"/>
      <c r="E75" s="433"/>
      <c r="M75" s="268"/>
      <c r="N75" s="268"/>
      <c r="U75" s="433"/>
      <c r="AC75" s="268"/>
      <c r="AD75" s="268"/>
    </row>
    <row r="76" spans="1:30" s="155" customFormat="1">
      <c r="A76" s="259"/>
      <c r="B76" s="466"/>
      <c r="C76" s="466"/>
      <c r="D76" s="268"/>
      <c r="E76" s="433"/>
      <c r="M76" s="268"/>
      <c r="N76" s="268"/>
      <c r="U76" s="433"/>
      <c r="AC76" s="268"/>
      <c r="AD76" s="268"/>
    </row>
    <row r="77" spans="1:30" s="155" customFormat="1">
      <c r="A77" s="259"/>
      <c r="B77" s="466"/>
      <c r="C77" s="466"/>
      <c r="D77" s="268"/>
      <c r="E77" s="433"/>
      <c r="M77" s="268"/>
      <c r="N77" s="268"/>
      <c r="U77" s="433"/>
      <c r="AC77" s="268"/>
      <c r="AD77" s="268"/>
    </row>
    <row r="78" spans="1:30" s="155" customFormat="1">
      <c r="A78" s="259"/>
      <c r="B78" s="466"/>
      <c r="C78" s="466"/>
      <c r="D78" s="268"/>
      <c r="E78" s="433"/>
      <c r="M78" s="268"/>
      <c r="N78" s="268"/>
      <c r="U78" s="433"/>
      <c r="AC78" s="268"/>
      <c r="AD78" s="268"/>
    </row>
    <row r="79" spans="1:30" s="155" customFormat="1">
      <c r="A79" s="259"/>
      <c r="B79" s="466"/>
      <c r="C79" s="466"/>
      <c r="D79" s="268"/>
      <c r="E79" s="433"/>
      <c r="M79" s="268"/>
      <c r="N79" s="268"/>
      <c r="U79" s="433"/>
      <c r="AC79" s="268"/>
      <c r="AD79" s="268"/>
    </row>
    <row r="80" spans="1:30" s="155" customFormat="1">
      <c r="A80" s="259"/>
      <c r="B80" s="466"/>
      <c r="C80" s="466"/>
      <c r="D80" s="268"/>
      <c r="E80" s="433"/>
      <c r="M80" s="268"/>
      <c r="N80" s="268"/>
      <c r="U80" s="433"/>
      <c r="AC80" s="268"/>
      <c r="AD80" s="268"/>
    </row>
    <row r="81" spans="1:30" s="155" customFormat="1">
      <c r="A81" s="259"/>
      <c r="B81" s="466"/>
      <c r="C81" s="466"/>
      <c r="D81" s="268"/>
      <c r="E81" s="433"/>
      <c r="M81" s="268"/>
      <c r="N81" s="268"/>
      <c r="U81" s="433"/>
      <c r="AC81" s="268"/>
      <c r="AD81" s="268"/>
    </row>
    <row r="82" spans="1:30" s="155" customFormat="1">
      <c r="A82" s="259"/>
      <c r="B82" s="466"/>
      <c r="C82" s="466"/>
      <c r="D82" s="268"/>
      <c r="E82" s="433"/>
      <c r="M82" s="268"/>
      <c r="N82" s="268"/>
      <c r="U82" s="433"/>
      <c r="AC82" s="268"/>
      <c r="AD82" s="268"/>
    </row>
    <row r="83" spans="1:30" s="155" customFormat="1">
      <c r="A83" s="259"/>
      <c r="B83" s="466"/>
      <c r="C83" s="466"/>
      <c r="D83" s="268"/>
      <c r="E83" s="433"/>
      <c r="M83" s="268"/>
      <c r="N83" s="268"/>
      <c r="U83" s="433"/>
      <c r="AC83" s="268"/>
      <c r="AD83" s="268"/>
    </row>
    <row r="84" spans="1:30" s="155" customFormat="1">
      <c r="A84" s="259"/>
      <c r="B84" s="466"/>
      <c r="C84" s="466"/>
      <c r="D84" s="268"/>
      <c r="E84" s="433"/>
      <c r="M84" s="268"/>
      <c r="N84" s="268"/>
      <c r="U84" s="433"/>
      <c r="AC84" s="268"/>
      <c r="AD84" s="268"/>
    </row>
    <row r="85" spans="1:30" s="155" customFormat="1">
      <c r="A85" s="259"/>
      <c r="B85" s="466"/>
      <c r="C85" s="466"/>
      <c r="D85" s="268"/>
      <c r="E85" s="433"/>
      <c r="M85" s="268"/>
      <c r="N85" s="268"/>
      <c r="U85" s="433"/>
      <c r="AC85" s="268"/>
      <c r="AD85" s="268"/>
    </row>
    <row r="86" spans="1:30" s="155" customFormat="1">
      <c r="A86" s="259"/>
      <c r="B86" s="466"/>
      <c r="C86" s="466"/>
      <c r="D86" s="268"/>
      <c r="E86" s="433"/>
      <c r="M86" s="268"/>
      <c r="N86" s="268"/>
      <c r="U86" s="433"/>
      <c r="AC86" s="268"/>
      <c r="AD86" s="268"/>
    </row>
    <row r="87" spans="1:30" s="155" customFormat="1">
      <c r="A87" s="259"/>
      <c r="B87" s="466"/>
      <c r="C87" s="466"/>
      <c r="D87" s="268"/>
      <c r="E87" s="433"/>
      <c r="M87" s="268"/>
      <c r="N87" s="268"/>
      <c r="U87" s="433"/>
      <c r="AC87" s="268"/>
      <c r="AD87" s="268"/>
    </row>
    <row r="88" spans="1:30" s="155" customFormat="1">
      <c r="A88" s="259"/>
      <c r="B88" s="466"/>
      <c r="C88" s="466"/>
      <c r="D88" s="268"/>
      <c r="E88" s="433"/>
      <c r="M88" s="268"/>
      <c r="N88" s="268"/>
      <c r="U88" s="433"/>
      <c r="AC88" s="268"/>
      <c r="AD88" s="268"/>
    </row>
    <row r="89" spans="1:30" s="155" customFormat="1">
      <c r="A89" s="259"/>
      <c r="B89" s="466"/>
      <c r="C89" s="466"/>
      <c r="D89" s="268"/>
      <c r="E89" s="433"/>
      <c r="M89" s="268"/>
      <c r="N89" s="268"/>
      <c r="U89" s="433"/>
      <c r="AC89" s="268"/>
      <c r="AD89" s="268"/>
    </row>
    <row r="90" spans="1:30" s="155" customFormat="1">
      <c r="A90" s="259"/>
      <c r="B90" s="466"/>
      <c r="C90" s="466"/>
      <c r="D90" s="268"/>
      <c r="E90" s="433"/>
      <c r="M90" s="268"/>
      <c r="N90" s="268"/>
      <c r="U90" s="433"/>
      <c r="AC90" s="268"/>
      <c r="AD90" s="268"/>
    </row>
    <row r="91" spans="1:30" s="155" customFormat="1">
      <c r="A91" s="259"/>
      <c r="B91" s="466"/>
      <c r="C91" s="466"/>
      <c r="D91" s="268"/>
      <c r="E91" s="433"/>
      <c r="M91" s="268"/>
      <c r="N91" s="268"/>
      <c r="U91" s="433"/>
      <c r="AC91" s="268"/>
      <c r="AD91" s="268"/>
    </row>
    <row r="92" spans="1:30" s="155" customFormat="1">
      <c r="A92" s="259"/>
      <c r="B92" s="466"/>
      <c r="C92" s="466"/>
      <c r="D92" s="268"/>
      <c r="E92" s="433"/>
      <c r="M92" s="268"/>
      <c r="N92" s="268"/>
      <c r="U92" s="433"/>
      <c r="AC92" s="268"/>
      <c r="AD92" s="268"/>
    </row>
    <row r="93" spans="1:30" s="155" customFormat="1">
      <c r="A93" s="259"/>
      <c r="B93" s="466"/>
      <c r="C93" s="466"/>
      <c r="D93" s="268"/>
      <c r="E93" s="433"/>
      <c r="M93" s="268"/>
      <c r="N93" s="268"/>
      <c r="U93" s="433"/>
      <c r="AC93" s="268"/>
      <c r="AD93" s="268"/>
    </row>
    <row r="94" spans="1:30" s="155" customFormat="1">
      <c r="A94" s="259"/>
      <c r="B94" s="466"/>
      <c r="C94" s="466"/>
      <c r="D94" s="268"/>
      <c r="E94" s="433"/>
      <c r="M94" s="268"/>
      <c r="N94" s="268"/>
      <c r="U94" s="433"/>
      <c r="AC94" s="268"/>
      <c r="AD94" s="268"/>
    </row>
    <row r="95" spans="1:30" s="155" customFormat="1">
      <c r="A95" s="259"/>
      <c r="B95" s="466"/>
      <c r="C95" s="466"/>
      <c r="D95" s="268"/>
      <c r="E95" s="433"/>
      <c r="M95" s="268"/>
      <c r="N95" s="268"/>
      <c r="U95" s="433"/>
      <c r="AC95" s="268"/>
      <c r="AD95" s="268"/>
    </row>
    <row r="96" spans="1:30" s="155" customFormat="1">
      <c r="A96" s="259"/>
      <c r="B96" s="466"/>
      <c r="C96" s="466"/>
      <c r="D96" s="268"/>
      <c r="E96" s="433"/>
      <c r="M96" s="268"/>
      <c r="N96" s="268"/>
      <c r="U96" s="433"/>
      <c r="AC96" s="268"/>
      <c r="AD96" s="268"/>
    </row>
    <row r="97" spans="69:79">
      <c r="BQ97" s="467"/>
    </row>
    <row r="98" spans="69:79">
      <c r="BQ98" s="467"/>
    </row>
    <row r="99" spans="69:79">
      <c r="BQ99" s="467"/>
    </row>
    <row r="100" spans="69:79">
      <c r="BQ100" s="467"/>
    </row>
    <row r="101" spans="69:79">
      <c r="BQ101" s="467"/>
    </row>
    <row r="102" spans="69:79">
      <c r="BQ102" s="467"/>
    </row>
    <row r="103" spans="69:79">
      <c r="BQ103" s="467"/>
    </row>
    <row r="104" spans="69:79">
      <c r="BQ104" s="467"/>
    </row>
    <row r="105" spans="69:79">
      <c r="BQ105" s="467"/>
    </row>
    <row r="106" spans="69:79">
      <c r="BQ106" s="467"/>
    </row>
    <row r="107" spans="69:79">
      <c r="BQ107" s="467"/>
    </row>
    <row r="108" spans="69:79">
      <c r="BQ108" s="467"/>
    </row>
    <row r="109" spans="69:79">
      <c r="BQ109" s="467"/>
    </row>
    <row r="110" spans="69:79">
      <c r="BQ110" s="467"/>
      <c r="BR110" s="155"/>
      <c r="BZ110" s="155"/>
      <c r="CA110" s="155"/>
    </row>
    <row r="111" spans="69:79">
      <c r="BQ111" s="467"/>
      <c r="BR111" s="155"/>
      <c r="BZ111" s="155"/>
      <c r="CA111" s="155"/>
    </row>
    <row r="112" spans="69:79">
      <c r="BQ112" s="467"/>
      <c r="BR112" s="155"/>
      <c r="BZ112" s="155"/>
      <c r="CA112" s="155"/>
    </row>
    <row r="113" spans="2:69" s="155" customFormat="1">
      <c r="B113" s="466"/>
      <c r="C113" s="466"/>
      <c r="BQ113" s="467"/>
    </row>
    <row r="114" spans="2:69" s="155" customFormat="1">
      <c r="B114" s="466"/>
      <c r="C114" s="466"/>
      <c r="BQ114" s="467"/>
    </row>
    <row r="115" spans="2:69" s="155" customFormat="1">
      <c r="B115" s="466"/>
      <c r="C115" s="466"/>
      <c r="BQ115" s="467"/>
    </row>
    <row r="116" spans="2:69" s="155" customFormat="1">
      <c r="B116" s="466"/>
      <c r="C116" s="466"/>
      <c r="BQ116" s="467"/>
    </row>
    <row r="117" spans="2:69" s="155" customFormat="1">
      <c r="B117" s="466"/>
      <c r="C117" s="466"/>
      <c r="BQ117" s="467"/>
    </row>
    <row r="118" spans="2:69" s="155" customFormat="1">
      <c r="B118" s="466"/>
      <c r="C118" s="466"/>
      <c r="BQ118" s="467"/>
    </row>
    <row r="119" spans="2:69" s="155" customFormat="1">
      <c r="B119" s="466"/>
      <c r="C119" s="466"/>
      <c r="BQ119" s="467"/>
    </row>
    <row r="120" spans="2:69" s="155" customFormat="1">
      <c r="B120" s="466"/>
      <c r="C120" s="466"/>
      <c r="BQ120" s="467"/>
    </row>
    <row r="121" spans="2:69" s="155" customFormat="1">
      <c r="B121" s="466"/>
      <c r="C121" s="466"/>
      <c r="BQ121" s="467"/>
    </row>
    <row r="122" spans="2:69" s="155" customFormat="1">
      <c r="B122" s="466"/>
      <c r="C122" s="466"/>
      <c r="BQ122" s="467"/>
    </row>
    <row r="123" spans="2:69" s="155" customFormat="1">
      <c r="B123" s="466"/>
      <c r="C123" s="466"/>
      <c r="BQ123" s="467"/>
    </row>
    <row r="124" spans="2:69" s="155" customFormat="1">
      <c r="B124" s="466"/>
      <c r="C124" s="466"/>
      <c r="BQ124" s="467"/>
    </row>
    <row r="125" spans="2:69" s="155" customFormat="1">
      <c r="B125" s="466"/>
      <c r="C125" s="466"/>
      <c r="BQ125" s="467"/>
    </row>
    <row r="126" spans="2:69" s="155" customFormat="1">
      <c r="B126" s="466"/>
      <c r="C126" s="466"/>
      <c r="BQ126" s="467"/>
    </row>
    <row r="127" spans="2:69" s="155" customFormat="1">
      <c r="B127" s="466"/>
      <c r="C127" s="466"/>
      <c r="BQ127" s="467"/>
    </row>
    <row r="128" spans="2:69" s="155" customFormat="1">
      <c r="B128" s="466"/>
      <c r="C128" s="466"/>
      <c r="BQ128" s="467"/>
    </row>
    <row r="129" spans="2:69" s="155" customFormat="1">
      <c r="B129" s="466"/>
      <c r="C129" s="466"/>
      <c r="BQ129" s="467"/>
    </row>
    <row r="130" spans="2:69" s="155" customFormat="1">
      <c r="B130" s="466"/>
      <c r="C130" s="466"/>
      <c r="BQ130" s="467"/>
    </row>
    <row r="131" spans="2:69" s="155" customFormat="1">
      <c r="B131" s="466"/>
      <c r="C131" s="466"/>
      <c r="BQ131" s="467"/>
    </row>
    <row r="132" spans="2:69" s="155" customFormat="1">
      <c r="B132" s="466"/>
      <c r="C132" s="466"/>
      <c r="BQ132" s="467"/>
    </row>
    <row r="133" spans="2:69" s="155" customFormat="1">
      <c r="B133" s="466"/>
      <c r="C133" s="466"/>
      <c r="BQ133" s="467"/>
    </row>
    <row r="134" spans="2:69" s="155" customFormat="1">
      <c r="B134" s="466"/>
      <c r="C134" s="466"/>
      <c r="BQ134" s="467"/>
    </row>
    <row r="135" spans="2:69" s="155" customFormat="1">
      <c r="B135" s="466"/>
      <c r="C135" s="466"/>
      <c r="BQ135" s="467"/>
    </row>
  </sheetData>
  <sheetProtection sheet="1" objects="1" scenarios="1"/>
  <mergeCells count="32">
    <mergeCell ref="AK4:AL4"/>
    <mergeCell ref="AM4:AN4"/>
    <mergeCell ref="AK10:AL10"/>
    <mergeCell ref="AN10:AN11"/>
    <mergeCell ref="AL2:AM2"/>
    <mergeCell ref="H2:H3"/>
    <mergeCell ref="I2:I3"/>
    <mergeCell ref="X2:X3"/>
    <mergeCell ref="E3:E5"/>
    <mergeCell ref="F3:G5"/>
    <mergeCell ref="E2:G2"/>
    <mergeCell ref="P2:P3"/>
    <mergeCell ref="Q2:Q3"/>
    <mergeCell ref="U2:W2"/>
    <mergeCell ref="U3:U5"/>
    <mergeCell ref="V3:W5"/>
    <mergeCell ref="AH2:AH3"/>
    <mergeCell ref="AI2:AI3"/>
    <mergeCell ref="B2:C5"/>
    <mergeCell ref="Z2:Z3"/>
    <mergeCell ref="AA2:AA3"/>
    <mergeCell ref="AC2:AC5"/>
    <mergeCell ref="AD2:AE5"/>
    <mergeCell ref="AF2:AF3"/>
    <mergeCell ref="AG2:AG3"/>
    <mergeCell ref="R2:R3"/>
    <mergeCell ref="S2:S3"/>
    <mergeCell ref="Y2:Y3"/>
    <mergeCell ref="J2:J3"/>
    <mergeCell ref="K2:K3"/>
    <mergeCell ref="M2:M5"/>
    <mergeCell ref="N2:O5"/>
  </mergeCells>
  <phoneticPr fontId="27"/>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vt:i4>
      </vt:variant>
    </vt:vector>
  </HeadingPairs>
  <TitlesOfParts>
    <vt:vector size="12" baseType="lpstr">
      <vt:lpstr>操作説明</vt:lpstr>
      <vt:lpstr>入力</vt:lpstr>
      <vt:lpstr>報告書</vt:lpstr>
      <vt:lpstr>flow</vt:lpstr>
      <vt:lpstr>造成波及</vt:lpstr>
      <vt:lpstr>建築波及</vt:lpstr>
      <vt:lpstr>設備波及</vt:lpstr>
      <vt:lpstr>生産波及</vt:lpstr>
      <vt:lpstr>DATA</vt:lpstr>
      <vt:lpstr>係数</vt:lpstr>
      <vt:lpstr>固定資本</vt:lpstr>
      <vt:lpstr>報告書!Print_Area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數藤 正也（統計課）</cp:lastModifiedBy>
  <cp:lastPrinted>2026-03-19T05:02:47Z</cp:lastPrinted>
  <dcterms:created xsi:type="dcterms:W3CDTF">2017-11-16T04:00:46Z</dcterms:created>
  <dcterms:modified xsi:type="dcterms:W3CDTF">2026-03-30T00:52:57Z</dcterms:modified>
</cp:coreProperties>
</file>