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updateLinks="never" codeName="ThisWorkbook" defaultThemeVersion="166925"/>
  <mc:AlternateContent xmlns:mc="http://schemas.openxmlformats.org/markup-compatibility/2006">
    <mc:Choice Requires="x15">
      <x15ac:absPath xmlns:x15ac="http://schemas.microsoft.com/office/spreadsheetml/2010/11/ac" url="C:\Users\111207\Box\【02_課所共有】05_02_温暖化対策課\R05年度\中小担当\22_事業者支援\22_05_CO2排出削減設備導入補助\22_05_040_設備補助　補助金\設備導入事業（緊急対策枠・12月補正分）\募集要領・様式\様式\"/>
    </mc:Choice>
  </mc:AlternateContent>
  <xr:revisionPtr revIDLastSave="0" documentId="13_ncr:1_{4D8DFB4E-5E64-4EB2-9B4F-DB4551CC6ECD}" xr6:coauthVersionLast="36" xr6:coauthVersionMax="36" xr10:uidLastSave="{00000000-0000-0000-0000-000000000000}"/>
  <workbookProtection workbookAlgorithmName="SHA-512" workbookHashValue="UxYNg955yWqGKpFXP2DdrzT1C0mBVpAVSTEloGVHWWDDstyHSe3TfnjW32mbNyvGCFpxBJDKxOMaJc8KYzp/iw==" workbookSaltValue="DdE6+aZgAD5xWAXVZZztow==" workbookSpinCount="100000" lockStructure="1"/>
  <bookViews>
    <workbookView xWindow="0" yWindow="0" windowWidth="20490" windowHeight="7710" firstSheet="1" activeTab="1" xr2:uid="{B326789E-FDD7-475D-B933-2E9A4364F557}"/>
  </bookViews>
  <sheets>
    <sheet name="Sheet1" sheetId="36" state="hidden" r:id="rId1"/>
    <sheet name="CO２削減量算定シート" sheetId="34" r:id="rId2"/>
    <sheet name="記入方法" sheetId="32" r:id="rId3"/>
    <sheet name="空調EHP" sheetId="23" r:id="rId4"/>
    <sheet name="空調GHP" sheetId="25" r:id="rId5"/>
    <sheet name="コンプレッサー" sheetId="18" r:id="rId6"/>
    <sheet name="ボイラ" sheetId="27" r:id="rId7"/>
    <sheet name="変圧器" sheetId="2" r:id="rId8"/>
    <sheet name="冷熱源機器" sheetId="28" state="hidden" r:id="rId9"/>
    <sheet name="モーター設備" sheetId="11" r:id="rId10"/>
    <sheet name="太陽光・蓄電" sheetId="33" r:id="rId11"/>
    <sheet name="その他設備" sheetId="31" r:id="rId12"/>
    <sheet name="修正覚え" sheetId="35" state="hidden" r:id="rId13"/>
    <sheet name="CO₂係数 " sheetId="8" r:id="rId14"/>
    <sheet name="モーター効率" sheetId="9" state="hidden" r:id="rId15"/>
    <sheet name="空調kcal換算" sheetId="10" state="hidden" r:id="rId16"/>
    <sheet name="補足資料" sheetId="16" state="hidden" r:id="rId17"/>
  </sheets>
  <externalReferences>
    <externalReference r:id="rId18"/>
  </externalReferences>
  <definedNames>
    <definedName name="cmp_mode">コンプレッサー!$G$55:$P$61</definedName>
    <definedName name="COP補正" localSheetId="11">その他設備!$BN$48:$BY$72</definedName>
    <definedName name="COP補正" localSheetId="6">ボイラ!$BG$48:$BR$71</definedName>
    <definedName name="COP補正" localSheetId="4">空調GHP!$BE$51:$BP$75</definedName>
    <definedName name="COP補正" localSheetId="10">太陽光・蓄電!$W$39:$Z$63</definedName>
    <definedName name="COP補正" localSheetId="8">冷熱源機器!$BK$46:$BV$70</definedName>
    <definedName name="COP補正">空調EHP!$AY$43:$BJ$67</definedName>
    <definedName name="haishutukeisuu" localSheetId="14" hidden="1">{"'第２表'!$W$27:$AA$68"}</definedName>
    <definedName name="haishutukeisuu" localSheetId="15" hidden="1">{"'第２表'!$W$27:$AA$68"}</definedName>
    <definedName name="haishutukeisuu" hidden="1">{"'第２表'!$W$27:$AA$68"}</definedName>
    <definedName name="HTML_CodePage" hidden="1">932</definedName>
    <definedName name="HTML_Control" localSheetId="14" hidden="1">{"'第２表'!$W$27:$AA$68"}</definedName>
    <definedName name="HTML_Control" localSheetId="15" hidden="1">{"'第２表'!$W$27:$AA$68"}</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IE1_">モーター効率!$A$2:$F$32</definedName>
    <definedName name="IE1_出力">モーター効率!$B$2:$B$32</definedName>
    <definedName name="IE2_">モーター効率!$A$33:$F$63</definedName>
    <definedName name="IE2_出力">モーター効率!$B$33:$B$63</definedName>
    <definedName name="IE3_">モーター効率!$A$64:$F$94</definedName>
    <definedName name="IE3_出力">モーター効率!$B$64:$B$94</definedName>
    <definedName name="IE4_">モーター効率!$A$95:$F$122</definedName>
    <definedName name="IE4_出力">モーター効率!$B$95:$B$122</definedName>
    <definedName name="inv補正COP" localSheetId="1">#REF!</definedName>
    <definedName name="inv補正COP">#REF!</definedName>
    <definedName name="lpu" localSheetId="14" hidden="1">{"'第２表'!$W$27:$AA$68"}</definedName>
    <definedName name="lpu" localSheetId="15" hidden="1">{"'第２表'!$W$27:$AA$68"}</definedName>
    <definedName name="lpu" hidden="1">{"'第２表'!$W$27:$AA$68"}</definedName>
    <definedName name="pps推移" localSheetId="14" hidden="1">{"'第２表'!$W$27:$AA$68"}</definedName>
    <definedName name="pps推移" localSheetId="15" hidden="1">{"'第２表'!$W$27:$AA$68"}</definedName>
    <definedName name="pps推移" hidden="1">{"'第２表'!$W$27:$AA$68"}</definedName>
    <definedName name="_xlnm.Print_Area" localSheetId="1">CO２削減量算定シート!$A$1:$AH$39</definedName>
    <definedName name="_xlnm.Print_Area" localSheetId="5">コンプレッサー!$A$3:$W$41</definedName>
    <definedName name="_xlnm.Print_Area" localSheetId="11">その他設備!$A$3:$AM$38</definedName>
    <definedName name="_xlnm.Print_Area" localSheetId="6">ボイラ!$A$3:$AH$38</definedName>
    <definedName name="_xlnm.Print_Area" localSheetId="9">モーター設備!$A$3:$AD$44</definedName>
    <definedName name="_xlnm.Print_Area" localSheetId="2">記入方法!$A$1:$U$192</definedName>
    <definedName name="_xlnm.Print_Area" localSheetId="3">空調EHP!$A$3:$AB$41</definedName>
    <definedName name="_xlnm.Print_Area" localSheetId="4">空調GHP!$A$3:$AH$39</definedName>
    <definedName name="_xlnm.Print_Area" localSheetId="10">太陽光・蓄電!$A$3:$T$38</definedName>
    <definedName name="_xlnm.Print_Area" localSheetId="7">変圧器!$A$3:$Z$40</definedName>
    <definedName name="_xlnm.Print_Area" localSheetId="8">冷熱源機器!$A$1:$AL$37</definedName>
    <definedName name="rangeIE1">モーター効率!$B$2:$B$32</definedName>
    <definedName name="rangeIE2">モーター効率!$B$33:$B$63</definedName>
    <definedName name="rangeIE3">モーター効率!$B$64:$B$94</definedName>
    <definedName name="rangeIE4">モーター効率!$B$95:$B$118</definedName>
    <definedName name="ガス" localSheetId="11">その他設備!$BH$4:$BH$8</definedName>
    <definedName name="ガス" localSheetId="10">太陽光・蓄電!#REF!</definedName>
    <definedName name="ガス" localSheetId="8">冷熱源機器!$BF$2:$BF$6</definedName>
    <definedName name="ガス">ボイラ!$BB$4:$BB$8</definedName>
    <definedName name="サービス業" localSheetId="1">CO２削減量算定シート!$R$56:$R$60</definedName>
    <definedName name="医療・福祉" localSheetId="1">CO２削減量算定シート!$P$56:$P$58</definedName>
    <definedName name="運輸業・郵便業" localSheetId="1">CO２削減量算定シート!$H$56:$H$63</definedName>
    <definedName name="卸売業・小売業" localSheetId="1">CO２削減量算定シート!$I$56:$I$67</definedName>
    <definedName name="学術研究・専門・技術サービス業" localSheetId="1">CO２削減量算定シート!$L$56:$L$59</definedName>
    <definedName name="漁業" localSheetId="1">CO２削減量算定シート!$B$56:$B$57</definedName>
    <definedName name="教育・学習支援業" localSheetId="1">CO２削減量算定シート!$O$56:$O$57</definedName>
    <definedName name="金融業・保険業" localSheetId="1">CO２削減量算定シート!$J$56:$J$61</definedName>
    <definedName name="建設業" localSheetId="1">CO２削減量算定シート!$D$56:$D$58</definedName>
    <definedName name="鉱業・採石業・砂利採取業" localSheetId="1">CO２削減量算定シート!$C$56</definedName>
    <definedName name="宿泊業・飲食サービス業" localSheetId="1">CO２削減量算定シート!$M$56:$M$58</definedName>
    <definedName name="情報通信業" localSheetId="1">CO２削減量算定シート!$G$56:$G$60</definedName>
    <definedName name="生活関連サービス業・娯楽業" localSheetId="1">CO２削減量算定シート!$N$56:$N$57</definedName>
    <definedName name="製造業" localSheetId="1">CO２削減量算定シート!$E$56:$E$79</definedName>
    <definedName name="石炭等" localSheetId="11">その他設備!$BH$17:$BH$19</definedName>
    <definedName name="石炭等" localSheetId="10">太陽光・蓄電!#REF!</definedName>
    <definedName name="石炭等" localSheetId="8">冷熱源機器!$BF$15:$BF$17</definedName>
    <definedName name="石炭等">ボイラ!$BB$17:$BB$19</definedName>
    <definedName name="大分類" localSheetId="1">CO２削減量算定シート!$A$55:$R$55</definedName>
    <definedName name="大分類">[1]事業実施者・事業内容!$A$66:$R$66</definedName>
    <definedName name="暖房日数" localSheetId="11">その他設備!$CB$29:$CB$33</definedName>
    <definedName name="暖房日数" localSheetId="6">ボイラ!$BT$29:$BT$33</definedName>
    <definedName name="暖房日数" localSheetId="4">空調GHP!$BS$30:$BS$35</definedName>
    <definedName name="暖房日数" localSheetId="10">太陽光・蓄電!#REF!</definedName>
    <definedName name="暖房日数" localSheetId="8">冷熱源機器!$BX$27:$BX$31</definedName>
    <definedName name="暖房日数">空調EHP!$BM$22:$BM$27</definedName>
    <definedName name="電気" localSheetId="11">その他設備!$BH$15:$BH$16</definedName>
    <definedName name="電気" localSheetId="10">太陽光・蓄電!#REF!</definedName>
    <definedName name="電気" localSheetId="8">冷熱源機器!$BF$13:$BF$14</definedName>
    <definedName name="電気">ボイラ!$BB$15:$BB$16</definedName>
    <definedName name="電気・ガス・熱供給・水道業" localSheetId="1">CO２削減量算定シート!$F$56:$F$59</definedName>
    <definedName name="燃料" localSheetId="1">CO２削減量算定シート!$AA$66:$AA$71</definedName>
    <definedName name="農業_林業" localSheetId="1">CO２削減量算定シート!$A$56:$A$57</definedName>
    <definedName name="農業・林業" localSheetId="1">CO２削減量算定シート!$A$56:$A$57</definedName>
    <definedName name="不動産業・物品賃貸業" localSheetId="1">CO２削減量算定シート!$K$56:$K$58</definedName>
    <definedName name="負荷率取得" localSheetId="11">その他設備!$CC$29:$CC$40</definedName>
    <definedName name="負荷率取得" localSheetId="6">ボイラ!$BV$29:$BV$40</definedName>
    <definedName name="負荷率取得" localSheetId="4">空調GHP!$BU$31:$BU$43</definedName>
    <definedName name="負荷率取得" localSheetId="10">太陽光・蓄電!$AD$25:$AD$31</definedName>
    <definedName name="負荷率取得" localSheetId="8">冷熱源機器!$BZ$27:$BZ$38</definedName>
    <definedName name="負荷率取得">空調EHP!$BO$22:$BO$35</definedName>
    <definedName name="複合サービス事業" localSheetId="1">CO２削減量算定シート!$Q$56:$Q$57</definedName>
    <definedName name="油" localSheetId="11">その他設備!$BH$9:$BH$14</definedName>
    <definedName name="油" localSheetId="10">太陽光・蓄電!#REF!</definedName>
    <definedName name="油" localSheetId="8">冷熱源機器!$BF$7:$BF$12</definedName>
    <definedName name="油">ボイラ!$BB$9:$BB$14</definedName>
    <definedName name="冷房日数" localSheetId="11">その他設備!$CA$34:$CA$40</definedName>
    <definedName name="冷房日数" localSheetId="6">ボイラ!$BT$34:$BT$40</definedName>
    <definedName name="冷房日数" localSheetId="4">空調GHP!$BS$36:$BS$43</definedName>
    <definedName name="冷房日数" localSheetId="10">太陽光・蓄電!$AB$30:$AB$31</definedName>
    <definedName name="冷房日数" localSheetId="8">冷熱源機器!$BX$32:$BX$38</definedName>
    <definedName name="冷房日数">空調EHP!$BM$28:$BM$35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8" i="31" l="1"/>
  <c r="BG37" i="31"/>
  <c r="BG36" i="31"/>
  <c r="BG35" i="31"/>
  <c r="BG34" i="31"/>
  <c r="BG33" i="31"/>
  <c r="BG32" i="31"/>
  <c r="BG31" i="31"/>
  <c r="BG30" i="31"/>
  <c r="BG29" i="31"/>
  <c r="L7" i="25"/>
  <c r="BG40" i="31"/>
  <c r="AG28" i="31" s="1"/>
  <c r="BG39" i="31"/>
  <c r="Q28" i="31" s="1"/>
  <c r="BB40" i="27"/>
  <c r="J20" i="25"/>
  <c r="R20" i="25"/>
  <c r="AR19" i="25"/>
  <c r="AP19" i="25"/>
  <c r="AM13" i="25"/>
  <c r="BG28" i="31" l="1"/>
  <c r="M6" i="31" s="1"/>
  <c r="Z21" i="25"/>
  <c r="T21" i="25"/>
  <c r="X22" i="25"/>
  <c r="AM20" i="25"/>
  <c r="U22" i="25" l="1"/>
  <c r="AE22" i="25"/>
  <c r="V21" i="25"/>
  <c r="Z22" i="25"/>
  <c r="Y22" i="25"/>
  <c r="AC21" i="25"/>
  <c r="BB39" i="27" l="1"/>
  <c r="AA30" i="27"/>
  <c r="BB32" i="27"/>
  <c r="BB33" i="27"/>
  <c r="BB34" i="27"/>
  <c r="BB35" i="27"/>
  <c r="BB36" i="27"/>
  <c r="BB37" i="27"/>
  <c r="BB38" i="27"/>
  <c r="X41" i="23"/>
  <c r="X40" i="23"/>
  <c r="X39" i="23"/>
  <c r="X38" i="23"/>
  <c r="X37" i="23"/>
  <c r="X36" i="23"/>
  <c r="X35" i="23"/>
  <c r="X34" i="23"/>
  <c r="X33" i="23"/>
  <c r="X32" i="23"/>
  <c r="X31" i="23"/>
  <c r="X30" i="23"/>
  <c r="X29" i="23"/>
  <c r="X28" i="23"/>
  <c r="X27" i="23"/>
  <c r="X26" i="23"/>
  <c r="X25" i="23"/>
  <c r="X24" i="23"/>
  <c r="X23" i="23"/>
  <c r="U41" i="23"/>
  <c r="U40" i="23"/>
  <c r="U39" i="23"/>
  <c r="U38" i="23"/>
  <c r="U37" i="23"/>
  <c r="U36" i="23"/>
  <c r="U35" i="23"/>
  <c r="U34" i="23"/>
  <c r="U33" i="23"/>
  <c r="U32" i="23"/>
  <c r="U31" i="23"/>
  <c r="U30" i="23"/>
  <c r="U29" i="23"/>
  <c r="U28" i="23"/>
  <c r="U27" i="23"/>
  <c r="U26" i="23"/>
  <c r="U25" i="23"/>
  <c r="U24" i="23"/>
  <c r="U23" i="23"/>
  <c r="X22" i="23"/>
  <c r="U22" i="23"/>
  <c r="X20" i="23"/>
  <c r="U20" i="23"/>
  <c r="O39" i="25"/>
  <c r="O38" i="25"/>
  <c r="O37" i="25"/>
  <c r="O36" i="25"/>
  <c r="O35" i="25"/>
  <c r="O34" i="25"/>
  <c r="O33" i="25"/>
  <c r="AC39" i="25"/>
  <c r="AC38" i="25"/>
  <c r="AC37" i="25"/>
  <c r="AC36" i="25"/>
  <c r="AC35" i="25"/>
  <c r="AC34" i="25"/>
  <c r="AC33" i="25"/>
  <c r="Y41" i="23"/>
  <c r="Y40" i="23"/>
  <c r="Y39" i="23"/>
  <c r="Y38" i="23"/>
  <c r="Y37" i="23"/>
  <c r="Y36" i="23"/>
  <c r="Y35" i="23"/>
  <c r="Y34" i="23"/>
  <c r="Y33" i="23"/>
  <c r="Y32" i="23"/>
  <c r="Y31" i="23"/>
  <c r="Y30" i="23"/>
  <c r="Y29" i="23"/>
  <c r="Y28" i="23"/>
  <c r="Y27" i="23"/>
  <c r="Y26" i="23"/>
  <c r="Y25" i="23"/>
  <c r="Y24" i="23"/>
  <c r="N41" i="23"/>
  <c r="N40" i="23"/>
  <c r="N39" i="23"/>
  <c r="N38" i="23"/>
  <c r="N37" i="23"/>
  <c r="N36" i="23"/>
  <c r="N35" i="23"/>
  <c r="N34" i="23"/>
  <c r="N33" i="23"/>
  <c r="N32" i="23"/>
  <c r="N31" i="23"/>
  <c r="N30" i="23"/>
  <c r="N29" i="23"/>
  <c r="N28" i="23"/>
  <c r="N27" i="23"/>
  <c r="N26" i="23"/>
  <c r="N25" i="23"/>
  <c r="N24" i="23"/>
  <c r="BA30" i="27" l="1"/>
  <c r="BA31" i="27"/>
  <c r="BA32" i="27"/>
  <c r="BA33" i="27"/>
  <c r="BA34" i="27"/>
  <c r="BA35" i="27"/>
  <c r="BA36" i="27"/>
  <c r="BA37" i="27"/>
  <c r="BA38" i="27"/>
  <c r="BA29" i="27"/>
  <c r="P38" i="27" l="1"/>
  <c r="P37" i="27"/>
  <c r="P36" i="27"/>
  <c r="P35" i="27"/>
  <c r="P34" i="27"/>
  <c r="P33" i="27"/>
  <c r="P32" i="27"/>
  <c r="P27" i="27"/>
  <c r="U2" i="31" l="1"/>
  <c r="U2" i="33"/>
  <c r="V2" i="11"/>
  <c r="V2" i="2"/>
  <c r="U2" i="27"/>
  <c r="V2" i="18"/>
  <c r="X2" i="25"/>
  <c r="X2" i="23"/>
  <c r="AM34" i="34" l="1"/>
  <c r="AM35" i="34"/>
  <c r="AM36" i="34"/>
  <c r="AM33" i="34"/>
  <c r="AM30" i="34"/>
  <c r="AM31" i="34"/>
  <c r="AM32" i="34"/>
  <c r="AM29" i="34"/>
  <c r="Y29" i="18" l="1"/>
  <c r="Y28" i="18"/>
  <c r="Y27" i="18"/>
  <c r="Y26" i="18"/>
  <c r="Y25" i="18"/>
  <c r="Y24" i="18"/>
  <c r="Y23" i="18"/>
  <c r="Y22" i="18"/>
  <c r="Y21" i="18"/>
  <c r="Y20" i="18"/>
  <c r="Y18" i="18"/>
  <c r="W29" i="11" l="1"/>
  <c r="T29" i="11"/>
  <c r="H29" i="11"/>
  <c r="E29" i="11"/>
  <c r="P31" i="11" l="1"/>
  <c r="P32" i="11"/>
  <c r="P33" i="11"/>
  <c r="P34" i="11"/>
  <c r="P35" i="11"/>
  <c r="P36" i="11"/>
  <c r="P37" i="11"/>
  <c r="P38" i="11"/>
  <c r="P39" i="11"/>
  <c r="P40" i="11"/>
  <c r="P41" i="11"/>
  <c r="P42" i="11"/>
  <c r="P43" i="11"/>
  <c r="P44" i="11"/>
  <c r="AI30" i="27" l="1"/>
  <c r="AI31" i="27"/>
  <c r="AI32" i="27"/>
  <c r="AI33" i="27"/>
  <c r="AI34" i="27"/>
  <c r="AI35" i="27"/>
  <c r="AI36" i="27"/>
  <c r="AI37" i="27"/>
  <c r="AI38" i="27"/>
  <c r="AI29" i="27"/>
  <c r="M29" i="27" l="1"/>
  <c r="P29" i="27" s="1"/>
  <c r="M30" i="27"/>
  <c r="P30" i="27" s="1"/>
  <c r="P28" i="27" s="1"/>
  <c r="E6" i="27" s="1"/>
  <c r="M31" i="27"/>
  <c r="P31" i="27" s="1"/>
  <c r="AS30" i="31" l="1"/>
  <c r="AS31" i="31"/>
  <c r="AS32" i="31"/>
  <c r="AS33" i="31"/>
  <c r="AS34" i="31"/>
  <c r="AS35" i="31"/>
  <c r="AS36" i="31"/>
  <c r="AS37" i="31"/>
  <c r="AS38" i="31"/>
  <c r="AS29" i="31"/>
  <c r="AQ26" i="27"/>
  <c r="S21" i="27" s="1"/>
  <c r="N3" i="33" l="1"/>
  <c r="AF3" i="31"/>
  <c r="X3" i="11"/>
  <c r="T3" i="2"/>
  <c r="Z3" i="27"/>
  <c r="Q3" i="18"/>
  <c r="Z3" i="25"/>
  <c r="T3" i="23"/>
  <c r="R23" i="33" l="1"/>
  <c r="Q23" i="33"/>
  <c r="K23" i="33"/>
  <c r="J23" i="33"/>
  <c r="D28" i="31"/>
  <c r="X28" i="31"/>
  <c r="AR10" i="25" l="1"/>
  <c r="AM11" i="25"/>
  <c r="AQ28" i="25"/>
  <c r="AQ29" i="25"/>
  <c r="AQ30" i="25"/>
  <c r="BU30" i="25"/>
  <c r="AQ31" i="25"/>
  <c r="BU31" i="25"/>
  <c r="AQ32" i="25"/>
  <c r="BH32" i="25"/>
  <c r="BM32" i="25"/>
  <c r="BS32" i="25"/>
  <c r="AN34" i="25" s="1"/>
  <c r="BU32" i="25"/>
  <c r="AO33" i="25"/>
  <c r="AP33" i="25" s="1"/>
  <c r="AQ33" i="25"/>
  <c r="BH33" i="25"/>
  <c r="BL33" i="25"/>
  <c r="BL34" i="25" s="1"/>
  <c r="BM33" i="25"/>
  <c r="BN33" i="25" s="1"/>
  <c r="BU33" i="25"/>
  <c r="AQ34" i="25"/>
  <c r="BH34" i="25"/>
  <c r="BM34" i="25"/>
  <c r="BU34" i="25"/>
  <c r="AQ35" i="25"/>
  <c r="BH35" i="25"/>
  <c r="BL35" i="25"/>
  <c r="BL36" i="25" s="1"/>
  <c r="BL37" i="25" s="1"/>
  <c r="BL38" i="25" s="1"/>
  <c r="BL39" i="25" s="1"/>
  <c r="BM35" i="25"/>
  <c r="BN35" i="25"/>
  <c r="BU35" i="25"/>
  <c r="AQ36" i="25"/>
  <c r="BH36" i="25"/>
  <c r="BM36" i="25"/>
  <c r="BU36" i="25"/>
  <c r="AN37" i="25"/>
  <c r="AQ37" i="25"/>
  <c r="BH37" i="25"/>
  <c r="BM37" i="25"/>
  <c r="BU37" i="25"/>
  <c r="AQ38" i="25"/>
  <c r="BH38" i="25"/>
  <c r="BM38" i="25"/>
  <c r="BS38" i="25"/>
  <c r="BS39" i="25" s="1"/>
  <c r="BU38" i="25"/>
  <c r="AK39" i="25"/>
  <c r="AQ39" i="25"/>
  <c r="BH39" i="25"/>
  <c r="BM39" i="25"/>
  <c r="BU39" i="25"/>
  <c r="BH40" i="25"/>
  <c r="BM40" i="25"/>
  <c r="BU40" i="25"/>
  <c r="BH41" i="25"/>
  <c r="BM41" i="25"/>
  <c r="BU41" i="25"/>
  <c r="BH42" i="25"/>
  <c r="BM42" i="25"/>
  <c r="BU42" i="25"/>
  <c r="BH43" i="25"/>
  <c r="BM43" i="25"/>
  <c r="BU43" i="25"/>
  <c r="BE44" i="25"/>
  <c r="BF44" i="25"/>
  <c r="BG44" i="25"/>
  <c r="BO44" i="25"/>
  <c r="BT44" i="25"/>
  <c r="BV44" i="25"/>
  <c r="BK51" i="25"/>
  <c r="BP51" i="25"/>
  <c r="BK52" i="25"/>
  <c r="BL52" i="25"/>
  <c r="BM52" i="25"/>
  <c r="BP52" i="25"/>
  <c r="BK53" i="25"/>
  <c r="BL53" i="25"/>
  <c r="BM53" i="25"/>
  <c r="BP53" i="25"/>
  <c r="BK54" i="25"/>
  <c r="BL54" i="25"/>
  <c r="BM54" i="25"/>
  <c r="BP54" i="25"/>
  <c r="BK55" i="25"/>
  <c r="BL55" i="25"/>
  <c r="BM55" i="25"/>
  <c r="BP55" i="25"/>
  <c r="BK56" i="25"/>
  <c r="BL56" i="25"/>
  <c r="BM56" i="25"/>
  <c r="BP56" i="25"/>
  <c r="BK57" i="25"/>
  <c r="BL57" i="25"/>
  <c r="BM57" i="25"/>
  <c r="BP57" i="25"/>
  <c r="BK58" i="25"/>
  <c r="BL58" i="25"/>
  <c r="BM58" i="25"/>
  <c r="BP58" i="25"/>
  <c r="BK59" i="25"/>
  <c r="BL59" i="25"/>
  <c r="BM59" i="25"/>
  <c r="BP59" i="25"/>
  <c r="BK60" i="25"/>
  <c r="BL60" i="25"/>
  <c r="BM60" i="25"/>
  <c r="BP60" i="25"/>
  <c r="BK61" i="25"/>
  <c r="BP61" i="25"/>
  <c r="BK62" i="25"/>
  <c r="BL62" i="25"/>
  <c r="BM62" i="25"/>
  <c r="BP62" i="25"/>
  <c r="BK63" i="25"/>
  <c r="BL63" i="25"/>
  <c r="BM63" i="25"/>
  <c r="BP63" i="25"/>
  <c r="BK64" i="25"/>
  <c r="BL64" i="25"/>
  <c r="BM64" i="25"/>
  <c r="BP64" i="25"/>
  <c r="BK65" i="25"/>
  <c r="BL65" i="25"/>
  <c r="BM65" i="25"/>
  <c r="BP65" i="25"/>
  <c r="BK66" i="25"/>
  <c r="BP66" i="25"/>
  <c r="BK67" i="25"/>
  <c r="BL67" i="25"/>
  <c r="BL68" i="25" s="1"/>
  <c r="BL69" i="25" s="1"/>
  <c r="BL70" i="25" s="1"/>
  <c r="BM67" i="25"/>
  <c r="BP67" i="25"/>
  <c r="BK68" i="25"/>
  <c r="BM68" i="25"/>
  <c r="BM69" i="25" s="1"/>
  <c r="BM70" i="25" s="1"/>
  <c r="BP68" i="25"/>
  <c r="BK69" i="25"/>
  <c r="BP69" i="25"/>
  <c r="BK70" i="25"/>
  <c r="BP70" i="25"/>
  <c r="BK71" i="25"/>
  <c r="BP71" i="25"/>
  <c r="BK72" i="25"/>
  <c r="BP72" i="25"/>
  <c r="BK73" i="25"/>
  <c r="BP73" i="25"/>
  <c r="BK74" i="25"/>
  <c r="BP74" i="25"/>
  <c r="BK75" i="25"/>
  <c r="BP75" i="25"/>
  <c r="O29" i="31"/>
  <c r="O30" i="31"/>
  <c r="AJ30" i="11"/>
  <c r="AG30" i="11"/>
  <c r="AI30" i="31" l="1"/>
  <c r="S30" i="31"/>
  <c r="BN40" i="25"/>
  <c r="P22" i="25"/>
  <c r="G22" i="25"/>
  <c r="J22" i="25"/>
  <c r="K22" i="25"/>
  <c r="AI29" i="31"/>
  <c r="S29" i="31"/>
  <c r="BN39" i="25"/>
  <c r="BN42" i="25"/>
  <c r="AO39" i="25"/>
  <c r="AP39" i="25" s="1"/>
  <c r="BL40" i="25"/>
  <c r="BL41" i="25" s="1"/>
  <c r="BL42" i="25" s="1"/>
  <c r="BL43" i="25" s="1"/>
  <c r="AK29" i="25"/>
  <c r="AL33" i="25"/>
  <c r="AK34" i="25"/>
  <c r="AL35" i="25"/>
  <c r="AK36" i="25"/>
  <c r="AK37" i="25"/>
  <c r="AK38" i="25"/>
  <c r="AL39" i="25"/>
  <c r="BS40" i="25"/>
  <c r="BS41" i="25" s="1"/>
  <c r="BS42" i="25" s="1"/>
  <c r="BS43" i="25" s="1"/>
  <c r="AL38" i="25"/>
  <c r="AL36" i="25"/>
  <c r="AK33" i="25"/>
  <c r="AO29" i="25"/>
  <c r="AP29" i="25" s="1"/>
  <c r="AN33" i="25"/>
  <c r="BS33" i="25"/>
  <c r="AO34" i="25"/>
  <c r="AP34" i="25" s="1"/>
  <c r="AN35" i="25"/>
  <c r="AO36" i="25"/>
  <c r="AP36" i="25" s="1"/>
  <c r="AO37" i="25"/>
  <c r="AP37" i="25" s="1"/>
  <c r="AO38" i="25"/>
  <c r="AP38" i="25" s="1"/>
  <c r="AN39" i="25"/>
  <c r="AS29" i="25"/>
  <c r="AT29" i="25" s="1"/>
  <c r="AL29" i="25"/>
  <c r="AM29" i="25" s="1"/>
  <c r="BN43" i="25"/>
  <c r="BN41" i="25"/>
  <c r="AN38" i="25"/>
  <c r="AL37" i="25"/>
  <c r="AN36" i="25"/>
  <c r="AO35" i="25"/>
  <c r="AP35" i="25" s="1"/>
  <c r="AK35" i="25"/>
  <c r="AL34" i="25"/>
  <c r="BN32" i="25"/>
  <c r="BN34" i="25"/>
  <c r="BN36" i="25"/>
  <c r="BN37" i="25"/>
  <c r="BN38" i="25"/>
  <c r="BM44" i="25"/>
  <c r="AV29" i="25"/>
  <c r="AW29" i="25" s="1"/>
  <c r="AN29" i="25"/>
  <c r="AE28" i="11"/>
  <c r="X20" i="18"/>
  <c r="AG28" i="11"/>
  <c r="AJ28" i="11"/>
  <c r="AM34" i="25" l="1"/>
  <c r="AM37" i="25"/>
  <c r="AM36" i="25"/>
  <c r="AM38" i="25"/>
  <c r="AM39" i="25"/>
  <c r="AM35" i="25"/>
  <c r="AM33" i="25"/>
  <c r="AF38" i="25"/>
  <c r="AF36" i="25"/>
  <c r="AF34" i="25"/>
  <c r="AL32" i="25"/>
  <c r="AL30" i="25"/>
  <c r="AK31" i="25"/>
  <c r="AK30" i="25"/>
  <c r="AK32" i="25"/>
  <c r="AL31" i="25"/>
  <c r="AA39" i="23"/>
  <c r="AA37" i="23"/>
  <c r="AA35" i="23"/>
  <c r="AA33" i="23"/>
  <c r="AA31" i="23"/>
  <c r="AA29" i="23"/>
  <c r="AA27" i="23"/>
  <c r="AA25" i="23"/>
  <c r="AA38" i="23"/>
  <c r="AA36" i="23"/>
  <c r="AA34" i="23"/>
  <c r="AA32" i="23"/>
  <c r="AA30" i="23"/>
  <c r="AA28" i="23"/>
  <c r="AA26" i="23"/>
  <c r="AA24" i="23"/>
  <c r="AF39" i="25"/>
  <c r="AF37" i="25"/>
  <c r="AF35" i="25"/>
  <c r="AF33" i="25"/>
  <c r="AK28" i="25"/>
  <c r="AL28" i="25"/>
  <c r="BS34" i="25"/>
  <c r="BL44" i="25"/>
  <c r="X32" i="11"/>
  <c r="X33" i="11"/>
  <c r="X34" i="11"/>
  <c r="X35" i="11"/>
  <c r="X36" i="11"/>
  <c r="X37" i="11"/>
  <c r="X38" i="11"/>
  <c r="X39" i="11"/>
  <c r="X40" i="11"/>
  <c r="X41" i="11"/>
  <c r="X42" i="11"/>
  <c r="X43" i="11"/>
  <c r="X44" i="11"/>
  <c r="I31" i="11"/>
  <c r="I32" i="11"/>
  <c r="I33" i="11"/>
  <c r="I34" i="11"/>
  <c r="I35" i="11"/>
  <c r="I36" i="11"/>
  <c r="I37" i="11"/>
  <c r="I38" i="11"/>
  <c r="I39" i="11"/>
  <c r="I40" i="11"/>
  <c r="I41" i="11"/>
  <c r="I42" i="11"/>
  <c r="I43" i="11"/>
  <c r="I44" i="11"/>
  <c r="AE44" i="11"/>
  <c r="AE43" i="11"/>
  <c r="AE42" i="11"/>
  <c r="AE41" i="11"/>
  <c r="AE40" i="11"/>
  <c r="AE39" i="11"/>
  <c r="AE38" i="11"/>
  <c r="AE37" i="11"/>
  <c r="AE36" i="11"/>
  <c r="AE35" i="11"/>
  <c r="AE34" i="11"/>
  <c r="AE33" i="11"/>
  <c r="AE32" i="11"/>
  <c r="AE31" i="11"/>
  <c r="AE30" i="11"/>
  <c r="X31" i="11"/>
  <c r="X30" i="11"/>
  <c r="I30" i="11"/>
  <c r="AG33" i="11"/>
  <c r="AG44" i="11"/>
  <c r="AG39" i="11"/>
  <c r="AJ43" i="11"/>
  <c r="AG42" i="11"/>
  <c r="AJ42" i="11"/>
  <c r="AJ36" i="11"/>
  <c r="AG36" i="11"/>
  <c r="AJ44" i="11"/>
  <c r="AG32" i="11"/>
  <c r="AJ33" i="11"/>
  <c r="AJ41" i="11"/>
  <c r="AG35" i="11"/>
  <c r="AJ34" i="11"/>
  <c r="AJ31" i="11"/>
  <c r="AJ37" i="11"/>
  <c r="AJ38" i="11"/>
  <c r="AJ32" i="11"/>
  <c r="AG41" i="11"/>
  <c r="AG38" i="11"/>
  <c r="AG31" i="11"/>
  <c r="AG34" i="11"/>
  <c r="AG37" i="11"/>
  <c r="AJ35" i="11"/>
  <c r="AG40" i="11"/>
  <c r="AG43" i="11"/>
  <c r="AJ39" i="11"/>
  <c r="AJ40" i="11"/>
  <c r="AM28" i="25" l="1"/>
  <c r="AM31" i="25"/>
  <c r="AM30" i="25"/>
  <c r="AN32" i="25"/>
  <c r="AO32" i="25"/>
  <c r="AP32" i="25" s="1"/>
  <c r="AO31" i="25"/>
  <c r="AM32" i="25"/>
  <c r="BS35" i="25"/>
  <c r="AN30" i="25" s="1"/>
  <c r="AN28" i="25"/>
  <c r="BS44" i="25"/>
  <c r="AH30" i="11"/>
  <c r="AK30" i="11"/>
  <c r="AK44" i="11"/>
  <c r="AK42" i="11"/>
  <c r="AK40" i="11"/>
  <c r="AK38" i="11"/>
  <c r="AK36" i="11"/>
  <c r="AK34" i="11"/>
  <c r="AK32" i="11"/>
  <c r="AK43" i="11"/>
  <c r="AK41" i="11"/>
  <c r="AK39" i="11"/>
  <c r="AK37" i="11"/>
  <c r="AK35" i="11"/>
  <c r="AK33" i="11"/>
  <c r="AK31" i="11"/>
  <c r="AH44" i="11"/>
  <c r="AH42" i="11"/>
  <c r="AH40" i="11"/>
  <c r="AH38" i="11"/>
  <c r="AH36" i="11"/>
  <c r="AH34" i="11"/>
  <c r="AH32" i="11"/>
  <c r="AH43" i="11"/>
  <c r="AH41" i="11"/>
  <c r="AH39" i="11"/>
  <c r="AH37" i="11"/>
  <c r="AH35" i="11"/>
  <c r="AH33" i="11"/>
  <c r="AH31" i="11"/>
  <c r="V20" i="31"/>
  <c r="X21" i="18"/>
  <c r="X22" i="18"/>
  <c r="O32" i="25" l="1"/>
  <c r="AP31" i="25"/>
  <c r="AO30" i="25"/>
  <c r="AN31" i="25"/>
  <c r="AO28" i="25"/>
  <c r="AA31" i="11"/>
  <c r="AA32" i="11"/>
  <c r="AA33" i="11"/>
  <c r="AA34" i="11"/>
  <c r="AA35" i="11"/>
  <c r="AA36" i="11"/>
  <c r="AA37" i="11"/>
  <c r="AA38" i="11"/>
  <c r="AA39" i="11"/>
  <c r="AA40" i="11"/>
  <c r="AA41" i="11"/>
  <c r="AA42" i="11"/>
  <c r="AA43" i="11"/>
  <c r="AA44" i="11"/>
  <c r="AP28" i="25" l="1"/>
  <c r="O31" i="25"/>
  <c r="AP30" i="25"/>
  <c r="O30" i="25" s="1"/>
  <c r="U23" i="33"/>
  <c r="O28" i="25" l="1"/>
  <c r="E19" i="18"/>
  <c r="Z20" i="18" l="1"/>
  <c r="AA20" i="18"/>
  <c r="Z21" i="18"/>
  <c r="AA21" i="18"/>
  <c r="Z22" i="18"/>
  <c r="AA22" i="18"/>
  <c r="Z23" i="18"/>
  <c r="AA23" i="18"/>
  <c r="Z24" i="18"/>
  <c r="AA24" i="18"/>
  <c r="Z25" i="18"/>
  <c r="AA25" i="18"/>
  <c r="Z26" i="18"/>
  <c r="AA26" i="18"/>
  <c r="Z27" i="18"/>
  <c r="AA27" i="18"/>
  <c r="Z28" i="18"/>
  <c r="AA28" i="18"/>
  <c r="Z29" i="18"/>
  <c r="AA29" i="18"/>
  <c r="AA18" i="18"/>
  <c r="Z18" i="18"/>
  <c r="X31" i="25" l="1"/>
  <c r="X32" i="25"/>
  <c r="X33" i="25"/>
  <c r="AS33" i="25" s="1"/>
  <c r="X34" i="25"/>
  <c r="AS34" i="25" s="1"/>
  <c r="X35" i="25"/>
  <c r="AS35" i="25" s="1"/>
  <c r="X36" i="25"/>
  <c r="AS36" i="25" s="1"/>
  <c r="X37" i="25"/>
  <c r="AS37" i="25" s="1"/>
  <c r="X38" i="25"/>
  <c r="AS38" i="25" s="1"/>
  <c r="X39" i="25"/>
  <c r="AS39" i="25" s="1"/>
  <c r="AB32" i="25"/>
  <c r="AV32" i="25" s="1"/>
  <c r="AW32" i="25" s="1"/>
  <c r="AB33" i="25"/>
  <c r="AV33" i="25" s="1"/>
  <c r="AW33" i="25" s="1"/>
  <c r="AB34" i="25"/>
  <c r="AV34" i="25" s="1"/>
  <c r="AW34" i="25" s="1"/>
  <c r="AB35" i="25"/>
  <c r="AV35" i="25" s="1"/>
  <c r="AW35" i="25" s="1"/>
  <c r="AB36" i="25"/>
  <c r="AV36" i="25" s="1"/>
  <c r="AW36" i="25" s="1"/>
  <c r="AB37" i="25"/>
  <c r="AV37" i="25" s="1"/>
  <c r="AW37" i="25" s="1"/>
  <c r="AB38" i="25"/>
  <c r="AV38" i="25" s="1"/>
  <c r="AW38" i="25" s="1"/>
  <c r="AB39" i="25"/>
  <c r="AV39" i="25" s="1"/>
  <c r="AW39" i="25" s="1"/>
  <c r="AB30" i="25"/>
  <c r="AV30" i="25" s="1"/>
  <c r="AW30" i="25" s="1"/>
  <c r="AB31" i="25"/>
  <c r="AV31" i="25" s="1"/>
  <c r="AW31" i="25" s="1"/>
  <c r="X30" i="25"/>
  <c r="BN36" i="23"/>
  <c r="BO28" i="23"/>
  <c r="BO22" i="23"/>
  <c r="X23" i="18"/>
  <c r="X24" i="18"/>
  <c r="X25" i="18"/>
  <c r="X26" i="18"/>
  <c r="X27" i="18"/>
  <c r="X28" i="18"/>
  <c r="X29" i="18"/>
  <c r="AS32" i="25" l="1"/>
  <c r="AT38" i="25"/>
  <c r="AT36" i="25"/>
  <c r="AT34" i="25"/>
  <c r="AT39" i="25"/>
  <c r="AT37" i="25"/>
  <c r="AT35" i="25"/>
  <c r="AT33" i="25"/>
  <c r="AT32" i="25"/>
  <c r="AC32" i="25" s="1"/>
  <c r="AS30" i="25"/>
  <c r="AS31" i="25"/>
  <c r="H28" i="2"/>
  <c r="V28" i="2"/>
  <c r="V39" i="2"/>
  <c r="V38" i="2"/>
  <c r="V37" i="2"/>
  <c r="V36" i="2"/>
  <c r="V35" i="2"/>
  <c r="V34" i="2"/>
  <c r="V33" i="2"/>
  <c r="V32" i="2"/>
  <c r="V31" i="2"/>
  <c r="V30" i="2"/>
  <c r="H31" i="2"/>
  <c r="H32" i="2"/>
  <c r="H33" i="2"/>
  <c r="H34" i="2"/>
  <c r="H35" i="2"/>
  <c r="H36" i="2"/>
  <c r="H37" i="2"/>
  <c r="H38" i="2"/>
  <c r="H39" i="2"/>
  <c r="H30" i="2"/>
  <c r="AT30" i="25" l="1"/>
  <c r="AC30" i="25" s="1"/>
  <c r="AT31" i="25"/>
  <c r="AC31" i="25" s="1"/>
  <c r="AF32" i="25"/>
  <c r="AS27" i="31"/>
  <c r="AJ38" i="27"/>
  <c r="AJ37" i="27"/>
  <c r="AJ36" i="27"/>
  <c r="AJ35" i="27"/>
  <c r="AJ34" i="27"/>
  <c r="AJ33" i="27"/>
  <c r="AJ32" i="27"/>
  <c r="AJ31" i="27"/>
  <c r="AJ30" i="27"/>
  <c r="AJ29" i="27"/>
  <c r="AJ27" i="27"/>
  <c r="O38" i="31"/>
  <c r="O37" i="31"/>
  <c r="O36" i="31"/>
  <c r="O35" i="31"/>
  <c r="O34" i="31"/>
  <c r="O33" i="31"/>
  <c r="O32" i="31"/>
  <c r="O31" i="31"/>
  <c r="O27" i="31"/>
  <c r="S27" i="31" s="1"/>
  <c r="M28" i="11"/>
  <c r="M31" i="11"/>
  <c r="M32" i="11"/>
  <c r="M33" i="11"/>
  <c r="M34" i="11"/>
  <c r="M35" i="11"/>
  <c r="M36" i="11"/>
  <c r="M37" i="11"/>
  <c r="M38" i="11"/>
  <c r="M39" i="11"/>
  <c r="M40" i="11"/>
  <c r="M41" i="11"/>
  <c r="M42" i="11"/>
  <c r="M43" i="11"/>
  <c r="M44" i="11"/>
  <c r="M30" i="11"/>
  <c r="AI30" i="11" s="1"/>
  <c r="M38" i="27"/>
  <c r="M37" i="27"/>
  <c r="M36" i="27"/>
  <c r="M35" i="27"/>
  <c r="M34" i="27"/>
  <c r="M33" i="27"/>
  <c r="M32" i="27"/>
  <c r="M27" i="27"/>
  <c r="AF30" i="25" l="1"/>
  <c r="AL30" i="11"/>
  <c r="P30" i="11"/>
  <c r="P29" i="11" s="1"/>
  <c r="AF31" i="25"/>
  <c r="AI31" i="31"/>
  <c r="S31" i="31"/>
  <c r="S33" i="31"/>
  <c r="AI33" i="31"/>
  <c r="S35" i="31"/>
  <c r="AI35" i="31"/>
  <c r="S37" i="31"/>
  <c r="AI37" i="31"/>
  <c r="S32" i="31"/>
  <c r="AI32" i="31"/>
  <c r="S34" i="31"/>
  <c r="AI34" i="31"/>
  <c r="S36" i="31"/>
  <c r="AI36" i="31"/>
  <c r="S38" i="31"/>
  <c r="AI38" i="31"/>
  <c r="AS28" i="31"/>
  <c r="U22" i="33"/>
  <c r="V22" i="33" s="1"/>
  <c r="U25" i="33"/>
  <c r="V25" i="33" s="1"/>
  <c r="U26" i="33"/>
  <c r="V26" i="33" s="1"/>
  <c r="U27" i="33"/>
  <c r="V27" i="33" s="1"/>
  <c r="U28" i="33"/>
  <c r="V28" i="33" s="1"/>
  <c r="U24" i="33"/>
  <c r="V24" i="33" s="1"/>
  <c r="M25" i="33"/>
  <c r="M26" i="33"/>
  <c r="M27" i="33"/>
  <c r="M28" i="33"/>
  <c r="M24" i="33"/>
  <c r="F23" i="33"/>
  <c r="D23" i="33"/>
  <c r="C23" i="33"/>
  <c r="E7" i="33"/>
  <c r="B2" i="33" s="1"/>
  <c r="L23" i="33"/>
  <c r="M23" i="33" s="1"/>
  <c r="N28" i="33"/>
  <c r="O28" i="33" s="1"/>
  <c r="N27" i="33"/>
  <c r="O27" i="33" s="1"/>
  <c r="N26" i="33"/>
  <c r="O26" i="33" s="1"/>
  <c r="N25" i="33"/>
  <c r="O25" i="33" s="1"/>
  <c r="N24" i="33"/>
  <c r="N22" i="33"/>
  <c r="O22" i="33" s="1"/>
  <c r="M22" i="33"/>
  <c r="AI28" i="31" l="1"/>
  <c r="O24" i="33"/>
  <c r="N23" i="33"/>
  <c r="I6" i="33"/>
  <c r="I8" i="33" s="1"/>
  <c r="H2" i="33" s="1"/>
  <c r="E6" i="33"/>
  <c r="K6" i="33" l="1"/>
  <c r="E8" i="33"/>
  <c r="K8" i="33" l="1"/>
  <c r="I2" i="33" s="1"/>
  <c r="F2" i="33"/>
  <c r="Q39" i="11"/>
  <c r="AB39" i="11"/>
  <c r="AI39" i="11"/>
  <c r="AL39" i="11" s="1"/>
  <c r="Q40" i="11"/>
  <c r="AB40" i="11"/>
  <c r="AC40" i="11"/>
  <c r="AI40" i="11"/>
  <c r="AL40" i="11" s="1"/>
  <c r="Q41" i="11"/>
  <c r="AB41" i="11"/>
  <c r="AI41" i="11"/>
  <c r="AL41" i="11" s="1"/>
  <c r="Q42" i="11"/>
  <c r="AB42" i="11"/>
  <c r="AC42" i="11"/>
  <c r="AI42" i="11"/>
  <c r="AL42" i="11" s="1"/>
  <c r="Q43" i="11"/>
  <c r="AB43" i="11"/>
  <c r="AI43" i="11"/>
  <c r="AL43" i="11" s="1"/>
  <c r="Q44" i="11"/>
  <c r="AB44" i="11"/>
  <c r="AC44" i="11"/>
  <c r="AI44" i="11"/>
  <c r="AL44" i="11" s="1"/>
  <c r="Y29" i="25"/>
  <c r="J29" i="25"/>
  <c r="U29" i="25"/>
  <c r="E29" i="25"/>
  <c r="J21" i="23"/>
  <c r="F21" i="23"/>
  <c r="V21" i="23"/>
  <c r="S21" i="23"/>
  <c r="AI38" i="11"/>
  <c r="AL38" i="11" s="1"/>
  <c r="AI37" i="11"/>
  <c r="AL37" i="11" s="1"/>
  <c r="AI36" i="11"/>
  <c r="AL36" i="11" s="1"/>
  <c r="AI35" i="11"/>
  <c r="AL35" i="11" s="1"/>
  <c r="AI34" i="11"/>
  <c r="AL34" i="11" s="1"/>
  <c r="AI33" i="11"/>
  <c r="AL33" i="11" s="1"/>
  <c r="AI32" i="11"/>
  <c r="AL32" i="11" s="1"/>
  <c r="AI31" i="11"/>
  <c r="AL31" i="11" s="1"/>
  <c r="AA30" i="11"/>
  <c r="AA29" i="11" s="1"/>
  <c r="AI28" i="11"/>
  <c r="AL28" i="11" s="1"/>
  <c r="AL27" i="31"/>
  <c r="AT38" i="27"/>
  <c r="AY38" i="27" s="1"/>
  <c r="AT37" i="27"/>
  <c r="AY37" i="27" s="1"/>
  <c r="AT36" i="27"/>
  <c r="AY36" i="27" s="1"/>
  <c r="AT35" i="27"/>
  <c r="AY35" i="27" s="1"/>
  <c r="AT34" i="27"/>
  <c r="AY34" i="27" s="1"/>
  <c r="AT33" i="27"/>
  <c r="AY33" i="27" s="1"/>
  <c r="AT32" i="27"/>
  <c r="AY32" i="27" s="1"/>
  <c r="AT31" i="27"/>
  <c r="AY31" i="27" s="1"/>
  <c r="AT30" i="27"/>
  <c r="AY30" i="27" s="1"/>
  <c r="AT29" i="27"/>
  <c r="AY29" i="27" s="1"/>
  <c r="AT27" i="27"/>
  <c r="Y31" i="2"/>
  <c r="Z31" i="2"/>
  <c r="Y34" i="2"/>
  <c r="Z34" i="2"/>
  <c r="Y35" i="2"/>
  <c r="Z35" i="2"/>
  <c r="Y36" i="2"/>
  <c r="Z36" i="2"/>
  <c r="Y37" i="2"/>
  <c r="Z37" i="2"/>
  <c r="Y38" i="2"/>
  <c r="Z38" i="2"/>
  <c r="Y39" i="2"/>
  <c r="Z39" i="2"/>
  <c r="AD39" i="11" l="1"/>
  <c r="AY28" i="27"/>
  <c r="G7" i="33"/>
  <c r="C2" i="33" s="1"/>
  <c r="G6" i="33"/>
  <c r="G8" i="33" s="1"/>
  <c r="G2" i="33" s="1"/>
  <c r="AC43" i="11"/>
  <c r="AC41" i="11"/>
  <c r="AD40" i="11"/>
  <c r="AC39" i="11"/>
  <c r="AD44" i="11"/>
  <c r="AD43" i="11"/>
  <c r="AD42" i="11"/>
  <c r="AD41" i="11"/>
  <c r="I7" i="33" l="1"/>
  <c r="K7" i="33" l="1"/>
  <c r="E2" i="33" s="1"/>
  <c r="D2" i="33"/>
  <c r="O23" i="33"/>
  <c r="AR27" i="31"/>
  <c r="AL30" i="31"/>
  <c r="AL31" i="31"/>
  <c r="AL32" i="31"/>
  <c r="AL33" i="31"/>
  <c r="AL34" i="31"/>
  <c r="AL35" i="31"/>
  <c r="AL36" i="31"/>
  <c r="AL37" i="31"/>
  <c r="AL38" i="31"/>
  <c r="Q27" i="31"/>
  <c r="AQ29" i="31"/>
  <c r="AQ30" i="31"/>
  <c r="AQ31" i="31"/>
  <c r="AQ32" i="31"/>
  <c r="AQ33" i="31"/>
  <c r="AQ34" i="31"/>
  <c r="AQ35" i="31"/>
  <c r="AQ36" i="31"/>
  <c r="AQ37" i="31"/>
  <c r="AQ38" i="31"/>
  <c r="AQ27" i="31"/>
  <c r="BF37" i="31" l="1"/>
  <c r="BF33" i="31"/>
  <c r="C31" i="33"/>
  <c r="T2" i="33" s="1"/>
  <c r="U31" i="33"/>
  <c r="AR38" i="31"/>
  <c r="BF38" i="31" s="1"/>
  <c r="AR36" i="31"/>
  <c r="BF36" i="31" s="1"/>
  <c r="AR34" i="31"/>
  <c r="BF34" i="31" s="1"/>
  <c r="AR32" i="31"/>
  <c r="BF32" i="31" s="1"/>
  <c r="AR30" i="31"/>
  <c r="BF30" i="31" s="1"/>
  <c r="AR37" i="31"/>
  <c r="AR35" i="31"/>
  <c r="BF35" i="31" s="1"/>
  <c r="AR33" i="31"/>
  <c r="AR31" i="31"/>
  <c r="BF31" i="31" s="1"/>
  <c r="AR29" i="31"/>
  <c r="BF29" i="31" s="1"/>
  <c r="AL29" i="31"/>
  <c r="AL28" i="31" s="1"/>
  <c r="S28" i="31"/>
  <c r="AN26" i="28"/>
  <c r="AN27" i="28"/>
  <c r="AN28" i="28"/>
  <c r="AN29" i="28"/>
  <c r="AN30" i="28"/>
  <c r="AN31" i="28"/>
  <c r="AN32" i="28"/>
  <c r="AN33" i="28"/>
  <c r="AN34" i="28"/>
  <c r="AN35" i="28"/>
  <c r="AN36" i="28"/>
  <c r="AN25" i="28"/>
  <c r="BF28" i="31" l="1"/>
  <c r="G7" i="31"/>
  <c r="E7" i="31"/>
  <c r="AD38" i="31"/>
  <c r="AH38" i="31" s="1"/>
  <c r="K38" i="31"/>
  <c r="R38" i="31" s="1"/>
  <c r="AD37" i="31"/>
  <c r="AH37" i="31" s="1"/>
  <c r="K37" i="31"/>
  <c r="R37" i="31" s="1"/>
  <c r="AD36" i="31"/>
  <c r="AH36" i="31" s="1"/>
  <c r="K36" i="31"/>
  <c r="R36" i="31" s="1"/>
  <c r="AD35" i="31"/>
  <c r="AH35" i="31" s="1"/>
  <c r="K35" i="31"/>
  <c r="R35" i="31" s="1"/>
  <c r="AD34" i="31"/>
  <c r="AH34" i="31" s="1"/>
  <c r="K34" i="31"/>
  <c r="R34" i="31" s="1"/>
  <c r="AD33" i="31"/>
  <c r="AH33" i="31" s="1"/>
  <c r="K33" i="31"/>
  <c r="R33" i="31" s="1"/>
  <c r="AD32" i="31"/>
  <c r="AH32" i="31" s="1"/>
  <c r="K32" i="31"/>
  <c r="R32" i="31" s="1"/>
  <c r="AX31" i="31"/>
  <c r="T31" i="31" s="1"/>
  <c r="AV31" i="31"/>
  <c r="AU31" i="31"/>
  <c r="AT31" i="31"/>
  <c r="AW31" i="31" s="1"/>
  <c r="AD31" i="31"/>
  <c r="AH31" i="31" s="1"/>
  <c r="K31" i="31"/>
  <c r="R31" i="31" s="1"/>
  <c r="BD30" i="31"/>
  <c r="AJ30" i="31" s="1"/>
  <c r="BA30" i="31"/>
  <c r="AZ30" i="31"/>
  <c r="BC30" i="31" s="1"/>
  <c r="AX30" i="31"/>
  <c r="T30" i="31" s="1"/>
  <c r="AV30" i="31"/>
  <c r="AU30" i="31"/>
  <c r="AT30" i="31"/>
  <c r="AW30" i="31" s="1"/>
  <c r="AD30" i="31"/>
  <c r="AH30" i="31" s="1"/>
  <c r="K30" i="31"/>
  <c r="R30" i="31" s="1"/>
  <c r="BB30" i="31" s="1"/>
  <c r="BE30" i="31" s="1"/>
  <c r="BD29" i="31"/>
  <c r="AJ29" i="31" s="1"/>
  <c r="BA29" i="31"/>
  <c r="AZ29" i="31"/>
  <c r="BC29" i="31" s="1"/>
  <c r="AX29" i="31"/>
  <c r="T29" i="31" s="1"/>
  <c r="AV29" i="31"/>
  <c r="AY29" i="31" s="1"/>
  <c r="AU29" i="31"/>
  <c r="AT29" i="31"/>
  <c r="AW29" i="31" s="1"/>
  <c r="AD29" i="31"/>
  <c r="AH29" i="31" s="1"/>
  <c r="AK26" i="31" s="1"/>
  <c r="D6" i="31" s="1"/>
  <c r="K29" i="31"/>
  <c r="R29" i="31" s="1"/>
  <c r="BB29" i="31" s="1"/>
  <c r="BE29" i="31" s="1"/>
  <c r="AH28" i="31"/>
  <c r="Z28" i="31"/>
  <c r="R28" i="31"/>
  <c r="H28" i="31"/>
  <c r="BD27" i="31"/>
  <c r="BA27" i="31"/>
  <c r="AZ27" i="31"/>
  <c r="AX27" i="31"/>
  <c r="AV27" i="31"/>
  <c r="AO27" i="31" s="1"/>
  <c r="AU27" i="31"/>
  <c r="AT27" i="31"/>
  <c r="AD27" i="31"/>
  <c r="AH27" i="31" s="1"/>
  <c r="AW27" i="31"/>
  <c r="K27" i="31"/>
  <c r="R27" i="31" s="1"/>
  <c r="BN19" i="31"/>
  <c r="BJ19" i="31"/>
  <c r="BI19" i="31"/>
  <c r="BN16" i="31"/>
  <c r="BJ16" i="31"/>
  <c r="BI16" i="31"/>
  <c r="BN14" i="31"/>
  <c r="BJ14" i="31"/>
  <c r="BI14" i="31"/>
  <c r="BN8" i="31"/>
  <c r="BJ8" i="31"/>
  <c r="BI8" i="31"/>
  <c r="BJ6" i="31"/>
  <c r="BI6" i="31"/>
  <c r="AO31" i="31" l="1"/>
  <c r="AY31" i="31"/>
  <c r="AO30" i="31"/>
  <c r="AY30" i="31"/>
  <c r="AO29" i="31"/>
  <c r="E6" i="31"/>
  <c r="AM30" i="31"/>
  <c r="AM29" i="31"/>
  <c r="BB27" i="31"/>
  <c r="AG27" i="31" s="1"/>
  <c r="I7" i="31"/>
  <c r="K7" i="31" s="1"/>
  <c r="T27" i="31"/>
  <c r="BB35" i="31"/>
  <c r="BE35" i="31" s="1"/>
  <c r="BB31" i="31"/>
  <c r="BE31" i="31" s="1"/>
  <c r="BB33" i="31"/>
  <c r="BE33" i="31" s="1"/>
  <c r="BB37" i="31"/>
  <c r="BE37" i="31" s="1"/>
  <c r="BD38" i="31"/>
  <c r="AJ38" i="31" s="1"/>
  <c r="AZ38" i="31"/>
  <c r="BC38" i="31" s="1"/>
  <c r="AU38" i="31"/>
  <c r="BA37" i="31"/>
  <c r="AX37" i="31"/>
  <c r="T37" i="31" s="1"/>
  <c r="AV37" i="31"/>
  <c r="AT37" i="31"/>
  <c r="AW37" i="31" s="1"/>
  <c r="BD36" i="31"/>
  <c r="AJ36" i="31" s="1"/>
  <c r="AZ36" i="31"/>
  <c r="BC36" i="31" s="1"/>
  <c r="AU36" i="31"/>
  <c r="BA35" i="31"/>
  <c r="AX35" i="31"/>
  <c r="T35" i="31" s="1"/>
  <c r="AV35" i="31"/>
  <c r="AT35" i="31"/>
  <c r="AW35" i="31" s="1"/>
  <c r="BD34" i="31"/>
  <c r="AJ34" i="31" s="1"/>
  <c r="AZ34" i="31"/>
  <c r="BC34" i="31" s="1"/>
  <c r="AU34" i="31"/>
  <c r="BA33" i="31"/>
  <c r="AX33" i="31"/>
  <c r="T33" i="31" s="1"/>
  <c r="AV33" i="31"/>
  <c r="AT33" i="31"/>
  <c r="AW33" i="31" s="1"/>
  <c r="BD32" i="31"/>
  <c r="AJ32" i="31" s="1"/>
  <c r="AZ32" i="31"/>
  <c r="BC32" i="31" s="1"/>
  <c r="AU32" i="31"/>
  <c r="BA31" i="31"/>
  <c r="AV32" i="31"/>
  <c r="BA32" i="31"/>
  <c r="AV34" i="31"/>
  <c r="BA34" i="31"/>
  <c r="AV36" i="31"/>
  <c r="BA36" i="31"/>
  <c r="AV38" i="31"/>
  <c r="BA38" i="31"/>
  <c r="AK30" i="31"/>
  <c r="AZ31" i="31"/>
  <c r="BC31" i="31" s="1"/>
  <c r="BD31" i="31"/>
  <c r="AJ31" i="31" s="1"/>
  <c r="AM31" i="31" s="1"/>
  <c r="BB32" i="31"/>
  <c r="BE32" i="31" s="1"/>
  <c r="AT32" i="31"/>
  <c r="AW32" i="31" s="1"/>
  <c r="AX32" i="31"/>
  <c r="AU33" i="31"/>
  <c r="AZ33" i="31"/>
  <c r="BC33" i="31" s="1"/>
  <c r="BD33" i="31"/>
  <c r="AJ33" i="31" s="1"/>
  <c r="BB34" i="31"/>
  <c r="BE34" i="31" s="1"/>
  <c r="AT34" i="31"/>
  <c r="AW34" i="31" s="1"/>
  <c r="AX34" i="31"/>
  <c r="AU35" i="31"/>
  <c r="AZ35" i="31"/>
  <c r="BC35" i="31" s="1"/>
  <c r="BD35" i="31"/>
  <c r="AJ35" i="31" s="1"/>
  <c r="BB36" i="31"/>
  <c r="BE36" i="31" s="1"/>
  <c r="AT36" i="31"/>
  <c r="AW36" i="31" s="1"/>
  <c r="AX36" i="31"/>
  <c r="AU37" i="31"/>
  <c r="AZ37" i="31"/>
  <c r="BC37" i="31" s="1"/>
  <c r="BD37" i="31"/>
  <c r="AJ37" i="31" s="1"/>
  <c r="BB38" i="31"/>
  <c r="BE38" i="31" s="1"/>
  <c r="AT38" i="31"/>
  <c r="AW38" i="31" s="1"/>
  <c r="AX38" i="31"/>
  <c r="J36" i="28"/>
  <c r="Q36" i="28"/>
  <c r="R36" i="28"/>
  <c r="Z36" i="28"/>
  <c r="AG36" i="28" s="1"/>
  <c r="S29" i="18"/>
  <c r="T29" i="18" s="1"/>
  <c r="S28" i="18"/>
  <c r="T28" i="18" s="1"/>
  <c r="S27" i="18"/>
  <c r="T27" i="18" s="1"/>
  <c r="S26" i="18"/>
  <c r="T26" i="18" s="1"/>
  <c r="S25" i="18"/>
  <c r="T25" i="18" s="1"/>
  <c r="S24" i="18"/>
  <c r="T24" i="18" s="1"/>
  <c r="S23" i="18"/>
  <c r="T23" i="18" s="1"/>
  <c r="S22" i="18"/>
  <c r="T22" i="18" s="1"/>
  <c r="AB18" i="18"/>
  <c r="AC18" i="18" s="1"/>
  <c r="AB21" i="18"/>
  <c r="AC21" i="18" s="1"/>
  <c r="S21" i="18" s="1"/>
  <c r="T21" i="18" s="1"/>
  <c r="AB22" i="18"/>
  <c r="AC22" i="18" s="1"/>
  <c r="AB23" i="18"/>
  <c r="AC23" i="18" s="1"/>
  <c r="AB24" i="18"/>
  <c r="AC24" i="18" s="1"/>
  <c r="AB25" i="18"/>
  <c r="AC25" i="18" s="1"/>
  <c r="AB26" i="18"/>
  <c r="AC26" i="18" s="1"/>
  <c r="AB27" i="18"/>
  <c r="AC27" i="18" s="1"/>
  <c r="AB20" i="18"/>
  <c r="AC20" i="18" s="1"/>
  <c r="BE28" i="31" l="1"/>
  <c r="AO38" i="31"/>
  <c r="AY38" i="31"/>
  <c r="AO36" i="31"/>
  <c r="AY36" i="31"/>
  <c r="AO34" i="31"/>
  <c r="AY34" i="31"/>
  <c r="AO32" i="31"/>
  <c r="AY32" i="31"/>
  <c r="AO33" i="31"/>
  <c r="AY33" i="31"/>
  <c r="AO37" i="31"/>
  <c r="AY37" i="31"/>
  <c r="AO35" i="31"/>
  <c r="AY35" i="31"/>
  <c r="T38" i="31"/>
  <c r="AM38" i="31" s="1"/>
  <c r="T36" i="31"/>
  <c r="AM36" i="31" s="1"/>
  <c r="T34" i="31"/>
  <c r="AM34" i="31" s="1"/>
  <c r="T32" i="31"/>
  <c r="AM32" i="31" s="1"/>
  <c r="AM33" i="31"/>
  <c r="AM37" i="31"/>
  <c r="AM35" i="31"/>
  <c r="BC28" i="31"/>
  <c r="AW28" i="31"/>
  <c r="E9" i="31" s="1"/>
  <c r="F2" i="31" s="1"/>
  <c r="AJ27" i="31"/>
  <c r="AM27" i="31" s="1"/>
  <c r="BC27" i="31"/>
  <c r="AK31" i="31"/>
  <c r="AK35" i="31"/>
  <c r="AK33" i="31"/>
  <c r="AK37" i="31"/>
  <c r="AK29" i="31"/>
  <c r="AK27" i="31"/>
  <c r="Z35" i="28"/>
  <c r="AG35" i="28" s="1"/>
  <c r="Q35" i="28"/>
  <c r="J35" i="28"/>
  <c r="R35" i="28" s="1"/>
  <c r="Z34" i="28"/>
  <c r="AG34" i="28" s="1"/>
  <c r="Q34" i="28"/>
  <c r="J34" i="28"/>
  <c r="R34" i="28" s="1"/>
  <c r="Z33" i="28"/>
  <c r="AG33" i="28" s="1"/>
  <c r="Q33" i="28"/>
  <c r="J33" i="28"/>
  <c r="R33" i="28" s="1"/>
  <c r="Z32" i="28"/>
  <c r="AG32" i="28" s="1"/>
  <c r="Q32" i="28"/>
  <c r="J32" i="28"/>
  <c r="R32" i="28" s="1"/>
  <c r="Z31" i="28"/>
  <c r="AG31" i="28" s="1"/>
  <c r="Q31" i="28"/>
  <c r="J31" i="28"/>
  <c r="R31" i="28" s="1"/>
  <c r="Z30" i="28"/>
  <c r="AG30" i="28" s="1"/>
  <c r="Q30" i="28"/>
  <c r="J30" i="28"/>
  <c r="R30" i="28" s="1"/>
  <c r="AT29" i="28"/>
  <c r="AR29" i="28"/>
  <c r="P29" i="28" s="1"/>
  <c r="AQ29" i="28"/>
  <c r="AP29" i="28"/>
  <c r="Z29" i="28"/>
  <c r="AG29" i="28" s="1"/>
  <c r="Q29" i="28"/>
  <c r="J29" i="28"/>
  <c r="R29" i="28" s="1"/>
  <c r="AZ28" i="28"/>
  <c r="AW28" i="28"/>
  <c r="AV28" i="28"/>
  <c r="AT28" i="28"/>
  <c r="AR28" i="28"/>
  <c r="P28" i="28" s="1"/>
  <c r="AQ28" i="28"/>
  <c r="AP28" i="28"/>
  <c r="Z28" i="28"/>
  <c r="AG28" i="28" s="1"/>
  <c r="Q28" i="28"/>
  <c r="J28" i="28"/>
  <c r="R28" i="28" s="1"/>
  <c r="AX28" i="28" s="1"/>
  <c r="AZ27" i="28"/>
  <c r="AW27" i="28"/>
  <c r="AV27" i="28"/>
  <c r="AT27" i="28"/>
  <c r="AR27" i="28"/>
  <c r="P27" i="28" s="1"/>
  <c r="AQ27" i="28"/>
  <c r="AP27" i="28"/>
  <c r="Z27" i="28"/>
  <c r="AG27" i="28" s="1"/>
  <c r="Q27" i="28"/>
  <c r="J27" i="28"/>
  <c r="R27" i="28" s="1"/>
  <c r="AX27" i="28" s="1"/>
  <c r="AG26" i="28"/>
  <c r="V26" i="28"/>
  <c r="R26" i="28"/>
  <c r="G26" i="28"/>
  <c r="AZ25" i="28"/>
  <c r="AW25" i="28"/>
  <c r="AV25" i="28"/>
  <c r="AT25" i="28"/>
  <c r="AR25" i="28"/>
  <c r="P25" i="28" s="1"/>
  <c r="AQ25" i="28"/>
  <c r="AP25" i="28"/>
  <c r="Z25" i="28"/>
  <c r="AG25" i="28" s="1"/>
  <c r="Q25" i="28"/>
  <c r="AS25" i="28" s="1"/>
  <c r="J25" i="28"/>
  <c r="R25" i="28" s="1"/>
  <c r="AX25" i="28" s="1"/>
  <c r="V18" i="28"/>
  <c r="BL17" i="28"/>
  <c r="BH17" i="28"/>
  <c r="BG17" i="28"/>
  <c r="BF17" i="28"/>
  <c r="AW42" i="28" s="1"/>
  <c r="BL14" i="28"/>
  <c r="BH14" i="28"/>
  <c r="BG14" i="28"/>
  <c r="BL12" i="28"/>
  <c r="BH12" i="28"/>
  <c r="BG12" i="28"/>
  <c r="BL6" i="28"/>
  <c r="BH6" i="28"/>
  <c r="BG6" i="28"/>
  <c r="BH4" i="28"/>
  <c r="BG4" i="28"/>
  <c r="R29" i="2"/>
  <c r="D29" i="2"/>
  <c r="M28" i="2"/>
  <c r="AB28" i="2" s="1"/>
  <c r="AE31" i="2"/>
  <c r="AF31" i="2"/>
  <c r="AE32" i="2"/>
  <c r="AF32" i="2"/>
  <c r="AE33" i="2"/>
  <c r="AF33" i="2"/>
  <c r="AE34" i="2"/>
  <c r="AF34" i="2"/>
  <c r="AE35" i="2"/>
  <c r="AF35" i="2"/>
  <c r="AE36" i="2"/>
  <c r="AF36" i="2"/>
  <c r="AE37" i="2"/>
  <c r="AF37" i="2"/>
  <c r="AE38" i="2"/>
  <c r="AF38" i="2"/>
  <c r="AE39" i="2"/>
  <c r="AF39" i="2"/>
  <c r="AF30" i="2"/>
  <c r="AE30" i="2"/>
  <c r="M31" i="2"/>
  <c r="AB31" i="2" s="1"/>
  <c r="M32" i="2"/>
  <c r="M33" i="2"/>
  <c r="AB33" i="2" s="1"/>
  <c r="M34" i="2"/>
  <c r="AB34" i="2" s="1"/>
  <c r="M35" i="2"/>
  <c r="AB35" i="2" s="1"/>
  <c r="M36" i="2"/>
  <c r="AB36" i="2" s="1"/>
  <c r="M37" i="2"/>
  <c r="AB37" i="2" s="1"/>
  <c r="M38" i="2"/>
  <c r="AB38" i="2" s="1"/>
  <c r="M39" i="2"/>
  <c r="AB39" i="2" s="1"/>
  <c r="M30" i="2"/>
  <c r="BH19" i="27"/>
  <c r="BH16" i="27"/>
  <c r="BH14" i="27"/>
  <c r="BH8" i="27"/>
  <c r="BD19" i="27"/>
  <c r="BD16" i="27"/>
  <c r="BC19" i="27"/>
  <c r="BC16" i="27"/>
  <c r="BD14" i="27"/>
  <c r="BC14" i="27"/>
  <c r="BD8" i="27"/>
  <c r="BC8" i="27"/>
  <c r="V20" i="27"/>
  <c r="AA38" i="27"/>
  <c r="AE38" i="27" s="1"/>
  <c r="AA37" i="27"/>
  <c r="AE37" i="27" s="1"/>
  <c r="AA36" i="27"/>
  <c r="AE36" i="27" s="1"/>
  <c r="AA35" i="27"/>
  <c r="AE35" i="27" s="1"/>
  <c r="AA34" i="27"/>
  <c r="AE34" i="27" s="1"/>
  <c r="AA33" i="27"/>
  <c r="AE33" i="27" s="1"/>
  <c r="AA32" i="27"/>
  <c r="AE32" i="27" s="1"/>
  <c r="AA31" i="27"/>
  <c r="AE28" i="27"/>
  <c r="H38" i="27"/>
  <c r="Q38" i="27" s="1"/>
  <c r="H37" i="27"/>
  <c r="Q37" i="27" s="1"/>
  <c r="H36" i="27"/>
  <c r="Q36" i="27" s="1"/>
  <c r="H35" i="27"/>
  <c r="Q35" i="27" s="1"/>
  <c r="H34" i="27"/>
  <c r="Q34" i="27" s="1"/>
  <c r="H33" i="27"/>
  <c r="Q33" i="27" s="1"/>
  <c r="H32" i="27"/>
  <c r="Q32" i="27" s="1"/>
  <c r="H31" i="27"/>
  <c r="Q28" i="27"/>
  <c r="BB31" i="27" l="1"/>
  <c r="T28" i="31"/>
  <c r="AY28" i="31"/>
  <c r="AP28" i="31" s="1"/>
  <c r="X5" i="31" s="1"/>
  <c r="T2" i="31" s="1"/>
  <c r="Q31" i="27"/>
  <c r="AM28" i="31"/>
  <c r="E8" i="31"/>
  <c r="B2" i="31" s="1"/>
  <c r="AE31" i="27"/>
  <c r="AJ28" i="27"/>
  <c r="AB30" i="2"/>
  <c r="N28" i="2"/>
  <c r="AB32" i="2"/>
  <c r="AB29" i="2" s="1"/>
  <c r="E8" i="2" s="1"/>
  <c r="F2" i="2" s="1"/>
  <c r="W30" i="2"/>
  <c r="Y30" i="2" s="1"/>
  <c r="AO28" i="31"/>
  <c r="AK34" i="31"/>
  <c r="AK32" i="31"/>
  <c r="AK28" i="31" s="1"/>
  <c r="AK38" i="31"/>
  <c r="AK36" i="31"/>
  <c r="Q26" i="28"/>
  <c r="H4" i="28" s="1"/>
  <c r="AX37" i="28"/>
  <c r="AX39" i="28"/>
  <c r="AX29" i="28"/>
  <c r="AF25" i="28"/>
  <c r="AI25" i="28" s="1"/>
  <c r="AF29" i="28"/>
  <c r="AX30" i="28"/>
  <c r="AW31" i="28"/>
  <c r="AR33" i="28"/>
  <c r="P33" i="28" s="1"/>
  <c r="AX34" i="28"/>
  <c r="AW35" i="28"/>
  <c r="AW38" i="28"/>
  <c r="AX41" i="28"/>
  <c r="AW29" i="28"/>
  <c r="AR31" i="28"/>
  <c r="P31" i="28" s="1"/>
  <c r="AX32" i="28"/>
  <c r="AW33" i="28"/>
  <c r="AR35" i="28"/>
  <c r="P35" i="28" s="1"/>
  <c r="AX36" i="28"/>
  <c r="AR40" i="28"/>
  <c r="AJ25" i="28"/>
  <c r="AF28" i="28"/>
  <c r="AY28" i="28" s="1"/>
  <c r="AF27" i="28"/>
  <c r="AZ46" i="28"/>
  <c r="AV46" i="28"/>
  <c r="AQ46" i="28"/>
  <c r="AW45" i="28"/>
  <c r="AT45" i="28"/>
  <c r="AR45" i="28"/>
  <c r="AP45" i="28"/>
  <c r="AS45" i="28" s="1"/>
  <c r="AZ44" i="28"/>
  <c r="AV44" i="28"/>
  <c r="AQ44" i="28"/>
  <c r="AW43" i="28"/>
  <c r="AT43" i="28"/>
  <c r="AR43" i="28"/>
  <c r="AP43" i="28"/>
  <c r="AS43" i="28" s="1"/>
  <c r="AZ42" i="28"/>
  <c r="AV42" i="28"/>
  <c r="AQ42" i="28"/>
  <c r="AW41" i="28"/>
  <c r="AT41" i="28"/>
  <c r="AR41" i="28"/>
  <c r="AP41" i="28"/>
  <c r="AS41" i="28" s="1"/>
  <c r="AZ40" i="28"/>
  <c r="AV40" i="28"/>
  <c r="AQ40" i="28"/>
  <c r="AW39" i="28"/>
  <c r="AT39" i="28"/>
  <c r="AR39" i="28"/>
  <c r="AP39" i="28"/>
  <c r="AS39" i="28" s="1"/>
  <c r="AZ38" i="28"/>
  <c r="AV38" i="28"/>
  <c r="AQ38" i="28"/>
  <c r="AW37" i="28"/>
  <c r="AT37" i="28"/>
  <c r="AR37" i="28"/>
  <c r="AT46" i="28"/>
  <c r="AP46" i="28"/>
  <c r="AS46" i="28" s="1"/>
  <c r="AZ45" i="28"/>
  <c r="AV45" i="28"/>
  <c r="AQ45" i="28"/>
  <c r="AT44" i="28"/>
  <c r="AP44" i="28"/>
  <c r="AS44" i="28" s="1"/>
  <c r="AZ43" i="28"/>
  <c r="AV43" i="28"/>
  <c r="AQ43" i="28"/>
  <c r="AT42" i="28"/>
  <c r="AP42" i="28"/>
  <c r="AS42" i="28" s="1"/>
  <c r="AZ41" i="28"/>
  <c r="AV41" i="28"/>
  <c r="AQ41" i="28"/>
  <c r="AT40" i="28"/>
  <c r="AP40" i="28"/>
  <c r="AS40" i="28" s="1"/>
  <c r="AZ39" i="28"/>
  <c r="AV39" i="28"/>
  <c r="AQ39" i="28"/>
  <c r="AT38" i="28"/>
  <c r="AP38" i="28"/>
  <c r="AZ37" i="28"/>
  <c r="AV37" i="28"/>
  <c r="AQ37" i="28"/>
  <c r="AW36" i="28"/>
  <c r="AT36" i="28"/>
  <c r="T36" i="28" s="1"/>
  <c r="AR36" i="28"/>
  <c r="P36" i="28" s="1"/>
  <c r="AF36" i="28" s="1"/>
  <c r="AP36" i="28"/>
  <c r="AS36" i="28" s="1"/>
  <c r="AZ35" i="28"/>
  <c r="AV35" i="28"/>
  <c r="AQ35" i="28"/>
  <c r="AW34" i="28"/>
  <c r="AT34" i="28"/>
  <c r="T34" i="28" s="1"/>
  <c r="AR34" i="28"/>
  <c r="P34" i="28" s="1"/>
  <c r="AF34" i="28" s="1"/>
  <c r="AJ34" i="28" s="1"/>
  <c r="AP34" i="28"/>
  <c r="AS34" i="28" s="1"/>
  <c r="AZ33" i="28"/>
  <c r="AV33" i="28"/>
  <c r="AQ33" i="28"/>
  <c r="AW32" i="28"/>
  <c r="AT32" i="28"/>
  <c r="T32" i="28" s="1"/>
  <c r="AR32" i="28"/>
  <c r="P32" i="28" s="1"/>
  <c r="AP32" i="28"/>
  <c r="AS32" i="28" s="1"/>
  <c r="AZ31" i="28"/>
  <c r="AV31" i="28"/>
  <c r="AQ31" i="28"/>
  <c r="AW30" i="28"/>
  <c r="AT30" i="28"/>
  <c r="T30" i="28" s="1"/>
  <c r="AR30" i="28"/>
  <c r="P30" i="28" s="1"/>
  <c r="AF30" i="28" s="1"/>
  <c r="AJ30" i="28" s="1"/>
  <c r="AP30" i="28"/>
  <c r="AS30" i="28" s="1"/>
  <c r="AZ29" i="28"/>
  <c r="AI29" i="28" s="1"/>
  <c r="AV29" i="28"/>
  <c r="AW46" i="28"/>
  <c r="AR46" i="28"/>
  <c r="AW44" i="28"/>
  <c r="AR44" i="28"/>
  <c r="AS27" i="28"/>
  <c r="T28" i="28"/>
  <c r="AS28" i="28"/>
  <c r="AS29" i="28"/>
  <c r="AJ29" i="28"/>
  <c r="AQ30" i="28"/>
  <c r="AV30" i="28"/>
  <c r="AZ30" i="28"/>
  <c r="AX31" i="28"/>
  <c r="AP31" i="28"/>
  <c r="AS31" i="28" s="1"/>
  <c r="AT31" i="28"/>
  <c r="T31" i="28" s="1"/>
  <c r="AQ32" i="28"/>
  <c r="AV32" i="28"/>
  <c r="AZ32" i="28"/>
  <c r="AX33" i="28"/>
  <c r="AP33" i="28"/>
  <c r="AS33" i="28" s="1"/>
  <c r="AT33" i="28"/>
  <c r="AQ34" i="28"/>
  <c r="AV34" i="28"/>
  <c r="AZ34" i="28"/>
  <c r="AX35" i="28"/>
  <c r="AP35" i="28"/>
  <c r="AS35" i="28" s="1"/>
  <c r="AT35" i="28"/>
  <c r="T35" i="28" s="1"/>
  <c r="AQ36" i="28"/>
  <c r="AV36" i="28"/>
  <c r="AZ36" i="28"/>
  <c r="AP37" i="28"/>
  <c r="AS37" i="28" s="1"/>
  <c r="AS38" i="28"/>
  <c r="AR38" i="28"/>
  <c r="AW40" i="28"/>
  <c r="AR42" i="28"/>
  <c r="AX43" i="28"/>
  <c r="AX45" i="28"/>
  <c r="T25" i="28"/>
  <c r="AL25" i="28" s="1"/>
  <c r="T27" i="28"/>
  <c r="T29" i="28"/>
  <c r="T33" i="28"/>
  <c r="AX38" i="28"/>
  <c r="AX40" i="28"/>
  <c r="AX42" i="28"/>
  <c r="AX44" i="28"/>
  <c r="AX46" i="28"/>
  <c r="M29" i="2"/>
  <c r="N30" i="2"/>
  <c r="N38" i="2"/>
  <c r="N36" i="2"/>
  <c r="N34" i="2"/>
  <c r="N32" i="2"/>
  <c r="N39" i="2"/>
  <c r="N37" i="2"/>
  <c r="N35" i="2"/>
  <c r="N33" i="2"/>
  <c r="N31" i="2"/>
  <c r="W39" i="2"/>
  <c r="W38" i="2"/>
  <c r="W37" i="2"/>
  <c r="W36" i="2"/>
  <c r="W35" i="2"/>
  <c r="W34" i="2"/>
  <c r="W33" i="2"/>
  <c r="Y33" i="2" s="1"/>
  <c r="W32" i="2"/>
  <c r="Y32" i="2" s="1"/>
  <c r="W31" i="2"/>
  <c r="AC30" i="2" l="1"/>
  <c r="X30" i="2"/>
  <c r="Z30" i="2" s="1"/>
  <c r="G6" i="31"/>
  <c r="G9" i="31"/>
  <c r="AJ28" i="31"/>
  <c r="AI36" i="28"/>
  <c r="AL36" i="28" s="1"/>
  <c r="AJ36" i="28"/>
  <c r="AY29" i="28"/>
  <c r="AF32" i="28"/>
  <c r="AI32" i="28" s="1"/>
  <c r="AL32" i="28" s="1"/>
  <c r="AF33" i="28"/>
  <c r="AF31" i="28"/>
  <c r="AI31" i="28" s="1"/>
  <c r="AL31" i="28" s="1"/>
  <c r="AY25" i="28"/>
  <c r="AY36" i="28"/>
  <c r="AF35" i="28"/>
  <c r="AI35" i="28" s="1"/>
  <c r="AL35" i="28" s="1"/>
  <c r="AJ28" i="28"/>
  <c r="AI28" i="28"/>
  <c r="AL28" i="28" s="1"/>
  <c r="AI33" i="28"/>
  <c r="AL33" i="28" s="1"/>
  <c r="AY33" i="28"/>
  <c r="AJ33" i="28"/>
  <c r="T26" i="28"/>
  <c r="H6" i="28" s="1"/>
  <c r="AY42" i="28"/>
  <c r="AS26" i="28"/>
  <c r="H7" i="28" s="1"/>
  <c r="AY44" i="28"/>
  <c r="AY37" i="28"/>
  <c r="AY41" i="28"/>
  <c r="AY40" i="28"/>
  <c r="P26" i="28"/>
  <c r="AL29" i="28"/>
  <c r="AJ32" i="28"/>
  <c r="AY30" i="28"/>
  <c r="AI30" i="28"/>
  <c r="AL30" i="28" s="1"/>
  <c r="AY34" i="28"/>
  <c r="AI34" i="28"/>
  <c r="AL34" i="28" s="1"/>
  <c r="AY39" i="28"/>
  <c r="AI27" i="28"/>
  <c r="AJ27" i="28"/>
  <c r="AY27" i="28"/>
  <c r="W29" i="2"/>
  <c r="Y29" i="2" s="1"/>
  <c r="Z29" i="2" s="1"/>
  <c r="N29" i="2"/>
  <c r="X32" i="2"/>
  <c r="Z32" i="2" s="1"/>
  <c r="AC32" i="2"/>
  <c r="X34" i="2"/>
  <c r="AC34" i="2"/>
  <c r="X36" i="2"/>
  <c r="AC36" i="2"/>
  <c r="X38" i="2"/>
  <c r="AC38" i="2"/>
  <c r="AC31" i="2"/>
  <c r="X31" i="2"/>
  <c r="AC33" i="2"/>
  <c r="X33" i="2"/>
  <c r="Z33" i="2" s="1"/>
  <c r="AC35" i="2"/>
  <c r="X35" i="2"/>
  <c r="AC37" i="2"/>
  <c r="X37" i="2"/>
  <c r="AC39" i="2"/>
  <c r="X39" i="2"/>
  <c r="I6" i="31" l="1"/>
  <c r="K6" i="31" s="1"/>
  <c r="I9" i="31"/>
  <c r="G2" i="31"/>
  <c r="G8" i="31"/>
  <c r="AY32" i="28"/>
  <c r="AY31" i="28"/>
  <c r="AY46" i="28"/>
  <c r="AJ31" i="28"/>
  <c r="AF26" i="28"/>
  <c r="J4" i="28" s="1"/>
  <c r="M4" i="28" s="1"/>
  <c r="O4" i="28" s="1"/>
  <c r="AY35" i="28"/>
  <c r="AJ35" i="28"/>
  <c r="AY38" i="28"/>
  <c r="AY45" i="28"/>
  <c r="AY43" i="28"/>
  <c r="AL27" i="28"/>
  <c r="AC29" i="2"/>
  <c r="G8" i="2" s="1"/>
  <c r="G2" i="2" s="1"/>
  <c r="X29" i="2"/>
  <c r="I8" i="31" l="1"/>
  <c r="C2" i="31"/>
  <c r="K9" i="31"/>
  <c r="I2" i="31" s="1"/>
  <c r="H2" i="31"/>
  <c r="AL26" i="28"/>
  <c r="AI26" i="28"/>
  <c r="J6" i="28" s="1"/>
  <c r="M6" i="28" s="1"/>
  <c r="O6" i="28" s="1"/>
  <c r="AY26" i="28"/>
  <c r="J7" i="28" s="1"/>
  <c r="M7" i="28" s="1"/>
  <c r="O7" i="28" s="1"/>
  <c r="AJ26" i="28"/>
  <c r="V3" i="28" s="1"/>
  <c r="K8" i="31" l="1"/>
  <c r="E2" i="31" s="1"/>
  <c r="D2" i="31"/>
  <c r="BD6" i="27"/>
  <c r="BC6" i="27"/>
  <c r="W28" i="27"/>
  <c r="E28" i="27"/>
  <c r="AA29" i="27" l="1"/>
  <c r="AE29" i="27" s="1"/>
  <c r="AG26" i="27" s="1"/>
  <c r="D6" i="27" s="1"/>
  <c r="AR29" i="27"/>
  <c r="AV29" i="27"/>
  <c r="AS30" i="27"/>
  <c r="AV27" i="27"/>
  <c r="AP29" i="27"/>
  <c r="R29" i="27" s="1"/>
  <c r="H30" i="27"/>
  <c r="H27" i="27"/>
  <c r="AA27" i="27"/>
  <c r="AE27" i="27" s="1"/>
  <c r="AS29" i="27"/>
  <c r="AR30" i="27"/>
  <c r="AV30" i="27"/>
  <c r="AP30" i="27"/>
  <c r="R30" i="27" s="1"/>
  <c r="H29" i="27"/>
  <c r="AP27" i="27"/>
  <c r="AL29" i="27"/>
  <c r="AO29" i="27" s="1"/>
  <c r="AN29" i="27"/>
  <c r="O29" i="27" s="1"/>
  <c r="AZ29" i="27" s="1"/>
  <c r="AM30" i="27"/>
  <c r="AM29" i="27"/>
  <c r="AL30" i="27"/>
  <c r="AO30" i="27" s="1"/>
  <c r="AN30" i="27"/>
  <c r="O30" i="27" s="1"/>
  <c r="AZ30" i="27" s="1"/>
  <c r="AM27" i="27"/>
  <c r="AS27" i="27"/>
  <c r="AS31" i="27"/>
  <c r="AV31" i="27"/>
  <c r="AS32" i="27"/>
  <c r="AV32" i="27"/>
  <c r="AS33" i="27"/>
  <c r="AV33" i="27"/>
  <c r="AS34" i="27"/>
  <c r="AV34" i="27"/>
  <c r="AS35" i="27"/>
  <c r="AV35" i="27"/>
  <c r="AS36" i="27"/>
  <c r="AV36" i="27"/>
  <c r="AS37" i="27"/>
  <c r="AV37" i="27"/>
  <c r="AS38" i="27"/>
  <c r="AV38" i="27"/>
  <c r="AS39" i="27"/>
  <c r="AV39" i="27"/>
  <c r="AS40" i="27"/>
  <c r="AV40" i="27"/>
  <c r="AS41" i="27"/>
  <c r="AV41" i="27"/>
  <c r="AS42" i="27"/>
  <c r="AV42" i="27"/>
  <c r="AS43" i="27"/>
  <c r="AV43" i="27"/>
  <c r="AS44" i="27"/>
  <c r="AV44" i="27"/>
  <c r="AS45" i="27"/>
  <c r="AV45" i="27"/>
  <c r="AS46" i="27"/>
  <c r="AV46" i="27"/>
  <c r="AS47" i="27"/>
  <c r="AV47" i="27"/>
  <c r="AS48" i="27"/>
  <c r="AV48" i="27"/>
  <c r="AP32" i="27"/>
  <c r="R32" i="27" s="1"/>
  <c r="AP34" i="27"/>
  <c r="R34" i="27" s="1"/>
  <c r="AP36" i="27"/>
  <c r="R36" i="27" s="1"/>
  <c r="AP38" i="27"/>
  <c r="R38" i="27" s="1"/>
  <c r="AP40" i="27"/>
  <c r="AP42" i="27"/>
  <c r="AP44" i="27"/>
  <c r="AP46" i="27"/>
  <c r="AP48" i="27"/>
  <c r="AR31" i="27"/>
  <c r="AR32" i="27"/>
  <c r="AR33" i="27"/>
  <c r="AR34" i="27"/>
  <c r="AR35" i="27"/>
  <c r="AR36" i="27"/>
  <c r="AR37" i="27"/>
  <c r="AR38" i="27"/>
  <c r="AR39" i="27"/>
  <c r="AR40" i="27"/>
  <c r="AR41" i="27"/>
  <c r="AR42" i="27"/>
  <c r="AR43" i="27"/>
  <c r="AR44" i="27"/>
  <c r="AR45" i="27"/>
  <c r="AR46" i="27"/>
  <c r="AR47" i="27"/>
  <c r="AR48" i="27"/>
  <c r="AP33" i="27"/>
  <c r="R33" i="27" s="1"/>
  <c r="AP37" i="27"/>
  <c r="R37" i="27" s="1"/>
  <c r="AP41" i="27"/>
  <c r="AP45" i="27"/>
  <c r="AT40" i="27"/>
  <c r="AT42" i="27"/>
  <c r="AT44" i="27"/>
  <c r="AT46" i="27"/>
  <c r="AT48" i="27"/>
  <c r="AP31" i="27"/>
  <c r="R31" i="27" s="1"/>
  <c r="AP35" i="27"/>
  <c r="R35" i="27" s="1"/>
  <c r="AP39" i="27"/>
  <c r="AP43" i="27"/>
  <c r="AP47" i="27"/>
  <c r="AT39" i="27"/>
  <c r="AT43" i="27"/>
  <c r="AT47" i="27"/>
  <c r="AT41" i="27"/>
  <c r="AT45" i="27"/>
  <c r="AL31" i="27"/>
  <c r="AO31" i="27" s="1"/>
  <c r="AN31" i="27"/>
  <c r="O31" i="27" s="1"/>
  <c r="AZ31" i="27" s="1"/>
  <c r="AM32" i="27"/>
  <c r="AL33" i="27"/>
  <c r="AO33" i="27" s="1"/>
  <c r="AN33" i="27"/>
  <c r="O33" i="27" s="1"/>
  <c r="AZ33" i="27" s="1"/>
  <c r="AM34" i="27"/>
  <c r="AL35" i="27"/>
  <c r="AO35" i="27" s="1"/>
  <c r="AN35" i="27"/>
  <c r="O35" i="27" s="1"/>
  <c r="AZ35" i="27" s="1"/>
  <c r="AM36" i="27"/>
  <c r="AL37" i="27"/>
  <c r="AO37" i="27" s="1"/>
  <c r="AN37" i="27"/>
  <c r="O37" i="27" s="1"/>
  <c r="AZ37" i="27" s="1"/>
  <c r="AM38" i="27"/>
  <c r="AL39" i="27"/>
  <c r="AO39" i="27" s="1"/>
  <c r="AN39" i="27"/>
  <c r="AM40" i="27"/>
  <c r="AL41" i="27"/>
  <c r="AO41" i="27" s="1"/>
  <c r="AN41" i="27"/>
  <c r="AM42" i="27"/>
  <c r="AL43" i="27"/>
  <c r="AO43" i="27" s="1"/>
  <c r="AN43" i="27"/>
  <c r="AM44" i="27"/>
  <c r="AL45" i="27"/>
  <c r="AO45" i="27" s="1"/>
  <c r="AN45" i="27"/>
  <c r="AM46" i="27"/>
  <c r="AL47" i="27"/>
  <c r="AO47" i="27" s="1"/>
  <c r="AN47" i="27"/>
  <c r="AM48" i="27"/>
  <c r="AM31" i="27"/>
  <c r="AL32" i="27"/>
  <c r="AO32" i="27" s="1"/>
  <c r="AN32" i="27"/>
  <c r="O32" i="27" s="1"/>
  <c r="AZ32" i="27" s="1"/>
  <c r="AM33" i="27"/>
  <c r="AL34" i="27"/>
  <c r="AO34" i="27" s="1"/>
  <c r="AN34" i="27"/>
  <c r="O34" i="27" s="1"/>
  <c r="AZ34" i="27" s="1"/>
  <c r="AM35" i="27"/>
  <c r="AL36" i="27"/>
  <c r="AO36" i="27" s="1"/>
  <c r="AN36" i="27"/>
  <c r="O36" i="27" s="1"/>
  <c r="AZ36" i="27" s="1"/>
  <c r="AM37" i="27"/>
  <c r="AL38" i="27"/>
  <c r="AO38" i="27" s="1"/>
  <c r="AN38" i="27"/>
  <c r="O38" i="27" s="1"/>
  <c r="AZ38" i="27" s="1"/>
  <c r="AM39" i="27"/>
  <c r="AL40" i="27"/>
  <c r="AO40" i="27" s="1"/>
  <c r="AN40" i="27"/>
  <c r="AM41" i="27"/>
  <c r="AL42" i="27"/>
  <c r="AO42" i="27" s="1"/>
  <c r="AN42" i="27"/>
  <c r="AM43" i="27"/>
  <c r="AL44" i="27"/>
  <c r="AO44" i="27" s="1"/>
  <c r="AN44" i="27"/>
  <c r="AM45" i="27"/>
  <c r="AL46" i="27"/>
  <c r="AO46" i="27" s="1"/>
  <c r="AN46" i="27"/>
  <c r="AM47" i="27"/>
  <c r="AL48" i="27"/>
  <c r="AO48" i="27" s="1"/>
  <c r="AN48" i="27"/>
  <c r="AR27" i="27"/>
  <c r="AL27" i="27"/>
  <c r="AO27" i="27" s="1"/>
  <c r="AN27" i="27"/>
  <c r="O27" i="27" s="1"/>
  <c r="AD27" i="27" s="1"/>
  <c r="BB29" i="27" l="1"/>
  <c r="AE30" i="27"/>
  <c r="BB30" i="27"/>
  <c r="AW35" i="27"/>
  <c r="AQ35" i="27"/>
  <c r="AX35" i="27"/>
  <c r="AQ36" i="27"/>
  <c r="AW36" i="27"/>
  <c r="AX36" i="27"/>
  <c r="AQ34" i="27"/>
  <c r="AW34" i="27"/>
  <c r="AX34" i="27"/>
  <c r="AW37" i="27"/>
  <c r="AQ37" i="27"/>
  <c r="AX37" i="27"/>
  <c r="AW33" i="27"/>
  <c r="AX33" i="27"/>
  <c r="AQ38" i="27"/>
  <c r="AX38" i="27"/>
  <c r="AW38" i="27"/>
  <c r="AX31" i="27"/>
  <c r="AW31" i="27"/>
  <c r="AX30" i="27"/>
  <c r="AW30" i="27"/>
  <c r="AW29" i="27"/>
  <c r="AX29" i="27"/>
  <c r="AX32" i="27"/>
  <c r="AW32" i="27"/>
  <c r="AU43" i="27"/>
  <c r="Q27" i="27"/>
  <c r="Q30" i="27"/>
  <c r="Q29" i="27"/>
  <c r="AU46" i="27"/>
  <c r="AU42" i="27"/>
  <c r="AU48" i="27"/>
  <c r="AU44" i="27"/>
  <c r="AU40" i="27"/>
  <c r="AU47" i="27"/>
  <c r="AU39" i="27"/>
  <c r="AU41" i="27"/>
  <c r="AO28" i="27"/>
  <c r="E8" i="27" s="1"/>
  <c r="F2" i="27" s="1"/>
  <c r="R28" i="27"/>
  <c r="E7" i="27" s="1"/>
  <c r="B2" i="27" s="1"/>
  <c r="AU45" i="27"/>
  <c r="R27" i="27"/>
  <c r="AU27" i="27"/>
  <c r="BB28" i="27" l="1"/>
  <c r="L6" i="27" s="1"/>
  <c r="AD37" i="27"/>
  <c r="AD34" i="27"/>
  <c r="AD36" i="27"/>
  <c r="AD35" i="27"/>
  <c r="AU35" i="27" s="1"/>
  <c r="AD38" i="27"/>
  <c r="AW28" i="27"/>
  <c r="AQ29" i="27" s="1"/>
  <c r="AX28" i="27"/>
  <c r="AQ33" i="27"/>
  <c r="AQ31" i="27"/>
  <c r="AQ32" i="27"/>
  <c r="O28" i="27"/>
  <c r="AG27" i="27"/>
  <c r="AQ30" i="27" l="1"/>
  <c r="AD30" i="27" s="1"/>
  <c r="AF35" i="27"/>
  <c r="AH35" i="27" s="1"/>
  <c r="AG35" i="27"/>
  <c r="AF36" i="27"/>
  <c r="AH36" i="27" s="1"/>
  <c r="AG36" i="27"/>
  <c r="AU36" i="27"/>
  <c r="AF34" i="27"/>
  <c r="AH34" i="27" s="1"/>
  <c r="AG34" i="27"/>
  <c r="AU34" i="27"/>
  <c r="AF37" i="27"/>
  <c r="AH37" i="27" s="1"/>
  <c r="AG37" i="27"/>
  <c r="AU37" i="27"/>
  <c r="AF38" i="27"/>
  <c r="AH38" i="27" s="1"/>
  <c r="AG38" i="27"/>
  <c r="AU38" i="27"/>
  <c r="AD32" i="27"/>
  <c r="AF32" i="27" s="1"/>
  <c r="AH32" i="27" s="1"/>
  <c r="AD31" i="27"/>
  <c r="AF31" i="27" s="1"/>
  <c r="AH31" i="27" s="1"/>
  <c r="AD29" i="27"/>
  <c r="AF29" i="27" s="1"/>
  <c r="AH29" i="27" s="1"/>
  <c r="AZ28" i="27"/>
  <c r="AI28" i="27" s="1"/>
  <c r="AD33" i="27"/>
  <c r="AF33" i="27" s="1"/>
  <c r="AH33" i="27" s="1"/>
  <c r="AF27" i="27"/>
  <c r="AH27" i="27" s="1"/>
  <c r="AF30" i="27" l="1"/>
  <c r="AH30" i="27" s="1"/>
  <c r="AD28" i="27"/>
  <c r="G6" i="27" s="1"/>
  <c r="AG32" i="27"/>
  <c r="AQ28" i="27"/>
  <c r="AU31" i="27"/>
  <c r="AU32" i="27"/>
  <c r="AU29" i="27"/>
  <c r="AG31" i="27"/>
  <c r="AG30" i="27"/>
  <c r="AG29" i="27"/>
  <c r="AU30" i="27"/>
  <c r="AU33" i="27"/>
  <c r="AG33" i="27"/>
  <c r="AF28" i="27" l="1"/>
  <c r="G7" i="27" s="1"/>
  <c r="C2" i="27" s="1"/>
  <c r="AG28" i="27"/>
  <c r="I6" i="27" s="1"/>
  <c r="AU28" i="27"/>
  <c r="G8" i="27" s="1"/>
  <c r="G2" i="27" s="1"/>
  <c r="AH28" i="27"/>
  <c r="I7" i="27" l="1"/>
  <c r="D2" i="27" s="1"/>
  <c r="V5" i="27"/>
  <c r="T2" i="27" s="1"/>
  <c r="I8" i="27"/>
  <c r="K6" i="27"/>
  <c r="K7" i="27" l="1"/>
  <c r="E2" i="27" s="1"/>
  <c r="K8" i="27"/>
  <c r="I2" i="27" s="1"/>
  <c r="H2" i="27"/>
  <c r="T29" i="25"/>
  <c r="D29" i="25"/>
  <c r="AB28" i="25"/>
  <c r="AV28" i="25" s="1"/>
  <c r="AW28" i="25" s="1"/>
  <c r="X28" i="25"/>
  <c r="AS28" i="25" s="1"/>
  <c r="R21" i="23"/>
  <c r="D21" i="23"/>
  <c r="BG25" i="23"/>
  <c r="BG26" i="23"/>
  <c r="BG27" i="23"/>
  <c r="BG28" i="23"/>
  <c r="BG29" i="23"/>
  <c r="BG30" i="23"/>
  <c r="BG31" i="23"/>
  <c r="BG32" i="23"/>
  <c r="BG33" i="23"/>
  <c r="BG34" i="23"/>
  <c r="BG35" i="23"/>
  <c r="BG24" i="23"/>
  <c r="BT41" i="23"/>
  <c r="BU41" i="23" s="1"/>
  <c r="BS42" i="23"/>
  <c r="BS43" i="23"/>
  <c r="BS44" i="23"/>
  <c r="BS45" i="23"/>
  <c r="BS46" i="23"/>
  <c r="BS47" i="23"/>
  <c r="BS48" i="23"/>
  <c r="BS49" i="23"/>
  <c r="BS50" i="23"/>
  <c r="BS51" i="23"/>
  <c r="BS52" i="23"/>
  <c r="BS53" i="23"/>
  <c r="BS54" i="23"/>
  <c r="BS55" i="23"/>
  <c r="BS56" i="23"/>
  <c r="BS57" i="23"/>
  <c r="BS58" i="23"/>
  <c r="BS59" i="23"/>
  <c r="BS60" i="23"/>
  <c r="BS61" i="23"/>
  <c r="BS62" i="23"/>
  <c r="BS63" i="23"/>
  <c r="BS64" i="23"/>
  <c r="BS65" i="23"/>
  <c r="BS66" i="23"/>
  <c r="AK21" i="23" s="1"/>
  <c r="AT28" i="25" l="1"/>
  <c r="AC28" i="25" s="1"/>
  <c r="N21" i="25"/>
  <c r="AR11" i="25" s="1"/>
  <c r="AR20" i="25" s="1"/>
  <c r="H21" i="25"/>
  <c r="AP11" i="25" s="1"/>
  <c r="AK24" i="23"/>
  <c r="AK20" i="23"/>
  <c r="AK38" i="23"/>
  <c r="AK34" i="23"/>
  <c r="AK30" i="23"/>
  <c r="AK26" i="23"/>
  <c r="AK22" i="23"/>
  <c r="AK23" i="23"/>
  <c r="AK40" i="23"/>
  <c r="AK36" i="23"/>
  <c r="AK32" i="23"/>
  <c r="AK28" i="23"/>
  <c r="AK41" i="23"/>
  <c r="AK39" i="23"/>
  <c r="AK37" i="23"/>
  <c r="AK35" i="23"/>
  <c r="AK33" i="23"/>
  <c r="AK31" i="23"/>
  <c r="AK29" i="23"/>
  <c r="AK27" i="23"/>
  <c r="AK25" i="23"/>
  <c r="AP20" i="25" l="1"/>
  <c r="AD28" i="25" s="1"/>
  <c r="AE28" i="25" s="1"/>
  <c r="P32" i="25"/>
  <c r="P33" i="25"/>
  <c r="P36" i="25"/>
  <c r="P35" i="25"/>
  <c r="P37" i="25"/>
  <c r="P39" i="25"/>
  <c r="P34" i="25"/>
  <c r="P38" i="25"/>
  <c r="Q32" i="25"/>
  <c r="P30" i="25"/>
  <c r="P31" i="25"/>
  <c r="P28" i="25"/>
  <c r="AP10" i="25"/>
  <c r="Q31" i="25" l="1"/>
  <c r="Q38" i="25"/>
  <c r="Q39" i="25"/>
  <c r="Q35" i="25"/>
  <c r="Q33" i="25"/>
  <c r="Q34" i="25"/>
  <c r="Q37" i="25"/>
  <c r="Q36" i="25"/>
  <c r="AD39" i="25"/>
  <c r="AE39" i="25" s="1"/>
  <c r="AD37" i="25"/>
  <c r="AE37" i="25" s="1"/>
  <c r="AD38" i="25"/>
  <c r="AE38" i="25" s="1"/>
  <c r="AD36" i="25"/>
  <c r="AE36" i="25" s="1"/>
  <c r="AD33" i="25"/>
  <c r="AE33" i="25" s="1"/>
  <c r="AD34" i="25"/>
  <c r="AE34" i="25" s="1"/>
  <c r="AD35" i="25"/>
  <c r="AE35" i="25" s="1"/>
  <c r="AD32" i="25"/>
  <c r="AD31" i="25"/>
  <c r="AE31" i="25" s="1"/>
  <c r="AD30" i="25"/>
  <c r="AE30" i="25" s="1"/>
  <c r="AG31" i="25" l="1"/>
  <c r="AG32" i="25"/>
  <c r="AE32" i="25"/>
  <c r="AG36" i="25"/>
  <c r="AG37" i="25"/>
  <c r="AG34" i="25"/>
  <c r="AG33" i="25"/>
  <c r="AG35" i="25"/>
  <c r="AG39" i="25"/>
  <c r="AG38" i="25"/>
  <c r="AH38" i="25" s="1"/>
  <c r="AG30" i="25"/>
  <c r="AG29" i="25" s="1"/>
  <c r="AH32" i="25"/>
  <c r="AH39" i="25"/>
  <c r="AH36" i="25"/>
  <c r="AH37" i="25"/>
  <c r="AH34" i="25"/>
  <c r="AH33" i="25"/>
  <c r="AH35" i="25"/>
  <c r="AH31" i="25"/>
  <c r="Q28" i="25"/>
  <c r="AC29" i="25"/>
  <c r="AD29" i="25"/>
  <c r="G7" i="25" s="1"/>
  <c r="O29" i="25"/>
  <c r="P29" i="25"/>
  <c r="E7" i="25" s="1"/>
  <c r="E9" i="25" s="1"/>
  <c r="AH30" i="25" l="1"/>
  <c r="I7" i="25"/>
  <c r="K7" i="25" s="1"/>
  <c r="G9" i="25"/>
  <c r="AF28" i="25"/>
  <c r="Q30" i="25"/>
  <c r="Q29" i="25" s="1"/>
  <c r="E8" i="25" s="1"/>
  <c r="B2" i="25" s="1"/>
  <c r="AE29" i="25"/>
  <c r="E6" i="25"/>
  <c r="F2" i="25" s="1"/>
  <c r="AG28" i="25"/>
  <c r="AH28" i="25" l="1"/>
  <c r="G6" i="25"/>
  <c r="G8" i="25"/>
  <c r="AH29" i="25"/>
  <c r="AF29" i="25"/>
  <c r="U5" i="25" s="1"/>
  <c r="W2" i="25" s="1"/>
  <c r="I8" i="25" l="1"/>
  <c r="C2" i="25"/>
  <c r="I9" i="25"/>
  <c r="G2" i="25"/>
  <c r="I6" i="25"/>
  <c r="K6" i="25" s="1"/>
  <c r="AD23" i="23"/>
  <c r="AD24" i="23"/>
  <c r="AD25" i="23"/>
  <c r="AD26" i="23"/>
  <c r="AD27" i="23"/>
  <c r="AD28" i="23"/>
  <c r="AD29" i="23"/>
  <c r="AD30" i="23"/>
  <c r="AD31" i="23"/>
  <c r="AD32" i="23"/>
  <c r="AD33" i="23"/>
  <c r="AD34" i="23"/>
  <c r="AD35" i="23"/>
  <c r="AD36" i="23"/>
  <c r="AD37" i="23"/>
  <c r="AD38" i="23"/>
  <c r="AD39" i="23"/>
  <c r="AD40" i="23"/>
  <c r="AD41" i="23"/>
  <c r="K9" i="25" l="1"/>
  <c r="J2" i="25" s="1"/>
  <c r="H2" i="25"/>
  <c r="K8" i="25"/>
  <c r="E2" i="25" s="1"/>
  <c r="D2" i="25"/>
  <c r="AD21" i="23"/>
  <c r="AD22" i="23"/>
  <c r="AD20" i="23"/>
  <c r="BP36" i="23"/>
  <c r="BO30" i="23"/>
  <c r="BO31" i="23"/>
  <c r="BO32" i="23"/>
  <c r="BO33" i="23"/>
  <c r="BO34" i="23"/>
  <c r="BO35" i="23"/>
  <c r="BO29" i="23"/>
  <c r="BO27" i="23"/>
  <c r="BO26" i="23"/>
  <c r="BO25" i="23"/>
  <c r="BO24" i="23"/>
  <c r="BO23" i="23"/>
  <c r="BM24" i="23"/>
  <c r="BM25" i="23" s="1"/>
  <c r="BM30" i="23"/>
  <c r="BJ67" i="23"/>
  <c r="BE67" i="23"/>
  <c r="BJ66" i="23"/>
  <c r="BE66" i="23"/>
  <c r="BJ65" i="23"/>
  <c r="BE65" i="23"/>
  <c r="BJ64" i="23"/>
  <c r="BE64" i="23"/>
  <c r="BJ63" i="23"/>
  <c r="BE63" i="23"/>
  <c r="BJ62" i="23"/>
  <c r="BE62" i="23"/>
  <c r="BJ61" i="23"/>
  <c r="BE61" i="23"/>
  <c r="BJ60" i="23"/>
  <c r="BE60" i="23"/>
  <c r="BJ59" i="23"/>
  <c r="BE59" i="23"/>
  <c r="BJ58" i="23"/>
  <c r="BE58" i="23"/>
  <c r="BJ57" i="23"/>
  <c r="BE57" i="23"/>
  <c r="BJ56" i="23"/>
  <c r="BE56" i="23"/>
  <c r="BJ55" i="23"/>
  <c r="BE55" i="23"/>
  <c r="BJ54" i="23"/>
  <c r="BE54" i="23"/>
  <c r="BJ53" i="23"/>
  <c r="BE53" i="23"/>
  <c r="BJ52" i="23"/>
  <c r="BE52" i="23"/>
  <c r="BJ51" i="23"/>
  <c r="BE51" i="23"/>
  <c r="BJ50" i="23"/>
  <c r="BE50" i="23"/>
  <c r="BJ49" i="23"/>
  <c r="BE49" i="23"/>
  <c r="BJ48" i="23"/>
  <c r="BE48" i="23"/>
  <c r="BJ47" i="23"/>
  <c r="BE47" i="23"/>
  <c r="BJ46" i="23"/>
  <c r="BE46" i="23"/>
  <c r="BJ45" i="23"/>
  <c r="BE45" i="23"/>
  <c r="BJ44" i="23"/>
  <c r="BE44" i="23"/>
  <c r="BJ43" i="23"/>
  <c r="BE43" i="23"/>
  <c r="BI36" i="23"/>
  <c r="BG36" i="23"/>
  <c r="BA36" i="23"/>
  <c r="AZ36" i="23"/>
  <c r="AY36" i="23"/>
  <c r="BH35" i="23"/>
  <c r="BB35" i="23"/>
  <c r="BH34" i="23"/>
  <c r="BB34" i="23"/>
  <c r="BH33" i="23"/>
  <c r="BB33" i="23"/>
  <c r="BH32" i="23"/>
  <c r="BB32" i="23"/>
  <c r="BH31" i="23"/>
  <c r="BB31" i="23"/>
  <c r="BH30" i="23"/>
  <c r="BB30" i="23"/>
  <c r="BH29" i="23"/>
  <c r="BB29" i="23"/>
  <c r="BH28" i="23"/>
  <c r="BB28" i="23"/>
  <c r="BH27" i="23"/>
  <c r="BB27" i="23"/>
  <c r="BH26" i="23"/>
  <c r="BB26" i="23"/>
  <c r="BH25" i="23"/>
  <c r="BF25" i="23"/>
  <c r="BB25" i="23"/>
  <c r="BH24" i="23"/>
  <c r="BB24" i="23"/>
  <c r="AH24" i="23" l="1"/>
  <c r="AH25" i="23"/>
  <c r="AH26" i="23"/>
  <c r="AH27" i="23"/>
  <c r="AH28" i="23"/>
  <c r="AH29" i="23"/>
  <c r="AH30" i="23"/>
  <c r="AH31" i="23"/>
  <c r="AH32" i="23"/>
  <c r="AH33" i="23"/>
  <c r="AH34" i="23"/>
  <c r="AH35" i="23"/>
  <c r="AH36" i="23"/>
  <c r="AH37" i="23"/>
  <c r="AH38" i="23"/>
  <c r="AH39" i="23"/>
  <c r="AH40" i="23"/>
  <c r="AH41" i="23"/>
  <c r="AI22" i="23"/>
  <c r="AI23" i="23"/>
  <c r="AJ23" i="23" s="1"/>
  <c r="AI24" i="23"/>
  <c r="AJ24" i="23" s="1"/>
  <c r="AI25" i="23"/>
  <c r="AJ25" i="23" s="1"/>
  <c r="AI26" i="23"/>
  <c r="AI27" i="23"/>
  <c r="AJ27" i="23" s="1"/>
  <c r="AI28" i="23"/>
  <c r="AI29" i="23"/>
  <c r="AJ29" i="23" s="1"/>
  <c r="AI30" i="23"/>
  <c r="AI31" i="23"/>
  <c r="AJ31" i="23" s="1"/>
  <c r="AI32" i="23"/>
  <c r="AI33" i="23"/>
  <c r="AJ33" i="23" s="1"/>
  <c r="AI34" i="23"/>
  <c r="AI35" i="23"/>
  <c r="AJ35" i="23" s="1"/>
  <c r="AI36" i="23"/>
  <c r="AI37" i="23"/>
  <c r="AJ37" i="23" s="1"/>
  <c r="AI38" i="23"/>
  <c r="AI39" i="23"/>
  <c r="AJ39" i="23" s="1"/>
  <c r="AI40" i="23"/>
  <c r="AI41" i="23"/>
  <c r="AJ41" i="23" s="1"/>
  <c r="BM26" i="23"/>
  <c r="BM27" i="23" s="1"/>
  <c r="AP21" i="23"/>
  <c r="AQ21" i="23" s="1"/>
  <c r="AI21" i="23"/>
  <c r="AJ21" i="23" s="1"/>
  <c r="AJ26" i="23"/>
  <c r="AJ28" i="23"/>
  <c r="AJ30" i="23"/>
  <c r="AJ32" i="23"/>
  <c r="AJ34" i="23"/>
  <c r="AJ36" i="23"/>
  <c r="AJ38" i="23"/>
  <c r="AJ40" i="23"/>
  <c r="AH21" i="23"/>
  <c r="BM31" i="23"/>
  <c r="BF26" i="23"/>
  <c r="BF27" i="23" s="1"/>
  <c r="BF28" i="23" s="1"/>
  <c r="BF29" i="23" s="1"/>
  <c r="AH22" i="23" l="1"/>
  <c r="AH23" i="23"/>
  <c r="AP22" i="23"/>
  <c r="AQ22" i="23" s="1"/>
  <c r="AP40" i="23"/>
  <c r="AQ40" i="23" s="1"/>
  <c r="AP38" i="23"/>
  <c r="AQ38" i="23" s="1"/>
  <c r="AP36" i="23"/>
  <c r="AQ36" i="23" s="1"/>
  <c r="AP34" i="23"/>
  <c r="AQ34" i="23" s="1"/>
  <c r="AP32" i="23"/>
  <c r="AQ32" i="23" s="1"/>
  <c r="AP30" i="23"/>
  <c r="AQ30" i="23" s="1"/>
  <c r="AP28" i="23"/>
  <c r="AQ28" i="23" s="1"/>
  <c r="AP26" i="23"/>
  <c r="AQ26" i="23" s="1"/>
  <c r="AP24" i="23"/>
  <c r="AQ24" i="23" s="1"/>
  <c r="AP41" i="23"/>
  <c r="AQ41" i="23" s="1"/>
  <c r="AP39" i="23"/>
  <c r="AQ39" i="23" s="1"/>
  <c r="AP37" i="23"/>
  <c r="AQ37" i="23" s="1"/>
  <c r="AP35" i="23"/>
  <c r="AQ35" i="23" s="1"/>
  <c r="AP33" i="23"/>
  <c r="AQ33" i="23" s="1"/>
  <c r="AP31" i="23"/>
  <c r="AQ31" i="23" s="1"/>
  <c r="AP29" i="23"/>
  <c r="AQ29" i="23" s="1"/>
  <c r="AP27" i="23"/>
  <c r="AQ27" i="23" s="1"/>
  <c r="AP25" i="23"/>
  <c r="AQ25" i="23" s="1"/>
  <c r="AP23" i="23"/>
  <c r="AQ23" i="23" s="1"/>
  <c r="BM32" i="23"/>
  <c r="BM33" i="23" s="1"/>
  <c r="BM34" i="23" s="1"/>
  <c r="BM35" i="23" s="1"/>
  <c r="AE41" i="23"/>
  <c r="AE39" i="23"/>
  <c r="AE37" i="23"/>
  <c r="AE35" i="23"/>
  <c r="AE33" i="23"/>
  <c r="AE31" i="23"/>
  <c r="AE29" i="23"/>
  <c r="AE27" i="23"/>
  <c r="AE25" i="23"/>
  <c r="AE23" i="23"/>
  <c r="AF24" i="23"/>
  <c r="AF26" i="23"/>
  <c r="AF28" i="23"/>
  <c r="AF30" i="23"/>
  <c r="AF32" i="23"/>
  <c r="AF34" i="23"/>
  <c r="AF36" i="23"/>
  <c r="AF38" i="23"/>
  <c r="AF40" i="23"/>
  <c r="AE40" i="23"/>
  <c r="AE38" i="23"/>
  <c r="AE36" i="23"/>
  <c r="AE34" i="23"/>
  <c r="AE32" i="23"/>
  <c r="AE30" i="23"/>
  <c r="AE28" i="23"/>
  <c r="AE26" i="23"/>
  <c r="AE24" i="23"/>
  <c r="AF23" i="23"/>
  <c r="AF25" i="23"/>
  <c r="AF27" i="23"/>
  <c r="AF29" i="23"/>
  <c r="AF31" i="23"/>
  <c r="AF33" i="23"/>
  <c r="AF35" i="23"/>
  <c r="AF37" i="23"/>
  <c r="AF39" i="23"/>
  <c r="AF41" i="23"/>
  <c r="AM38" i="23"/>
  <c r="AM34" i="23"/>
  <c r="AM30" i="23"/>
  <c r="AM26" i="23"/>
  <c r="AI20" i="23"/>
  <c r="AJ20" i="23" s="1"/>
  <c r="AH20" i="23"/>
  <c r="AM21" i="23"/>
  <c r="AN21" i="23" s="1"/>
  <c r="AF21" i="23"/>
  <c r="AG21" i="23" s="1"/>
  <c r="AE21" i="23"/>
  <c r="AP20" i="23"/>
  <c r="AQ20" i="23" s="1"/>
  <c r="BF30" i="23"/>
  <c r="BF31" i="23" s="1"/>
  <c r="BF32" i="23" s="1"/>
  <c r="BF33" i="23" s="1"/>
  <c r="BF34" i="23" s="1"/>
  <c r="BF35" i="23" s="1"/>
  <c r="AM24" i="23" l="1"/>
  <c r="AN24" i="23" s="1"/>
  <c r="AM28" i="23"/>
  <c r="AN28" i="23" s="1"/>
  <c r="AM32" i="23"/>
  <c r="AM36" i="23"/>
  <c r="AN36" i="23" s="1"/>
  <c r="AM40" i="23"/>
  <c r="AN40" i="23" s="1"/>
  <c r="AM25" i="23"/>
  <c r="AN25" i="23" s="1"/>
  <c r="AM29" i="23"/>
  <c r="AN29" i="23" s="1"/>
  <c r="AM33" i="23"/>
  <c r="AN33" i="23" s="1"/>
  <c r="AM37" i="23"/>
  <c r="AN37" i="23" s="1"/>
  <c r="AM41" i="23"/>
  <c r="AN41" i="23" s="1"/>
  <c r="AM27" i="23"/>
  <c r="AN27" i="23" s="1"/>
  <c r="AM31" i="23"/>
  <c r="AN31" i="23" s="1"/>
  <c r="AM35" i="23"/>
  <c r="AN35" i="23" s="1"/>
  <c r="AM39" i="23"/>
  <c r="AN39" i="23" s="1"/>
  <c r="AM23" i="23"/>
  <c r="AM22" i="23"/>
  <c r="AE22" i="23"/>
  <c r="AF22" i="23"/>
  <c r="AF20" i="23"/>
  <c r="AE20" i="23"/>
  <c r="AM20" i="23"/>
  <c r="AJ22" i="23"/>
  <c r="AN26" i="23"/>
  <c r="AN30" i="23"/>
  <c r="AN34" i="23"/>
  <c r="AN38" i="23"/>
  <c r="AN32" i="23"/>
  <c r="AG39" i="23"/>
  <c r="AG35" i="23"/>
  <c r="AG31" i="23"/>
  <c r="AG27" i="23"/>
  <c r="AG23" i="23"/>
  <c r="N23" i="23" s="1"/>
  <c r="AG40" i="23"/>
  <c r="AG36" i="23"/>
  <c r="AG32" i="23"/>
  <c r="AG28" i="23"/>
  <c r="AG24" i="23"/>
  <c r="BM36" i="23"/>
  <c r="AG41" i="23"/>
  <c r="AG37" i="23"/>
  <c r="AG33" i="23"/>
  <c r="AG29" i="23"/>
  <c r="AG25" i="23"/>
  <c r="AG38" i="23"/>
  <c r="AG34" i="23"/>
  <c r="AG30" i="23"/>
  <c r="AG26" i="23"/>
  <c r="BF36" i="23"/>
  <c r="AN23" i="23" l="1"/>
  <c r="Y23" i="23" s="1"/>
  <c r="AG20" i="23"/>
  <c r="Z25" i="23"/>
  <c r="Z38" i="23"/>
  <c r="Z30" i="23"/>
  <c r="Z28" i="23"/>
  <c r="Z41" i="23"/>
  <c r="Z33" i="23"/>
  <c r="AG22" i="23"/>
  <c r="N22" i="23" s="1"/>
  <c r="Z35" i="23"/>
  <c r="Z27" i="23"/>
  <c r="Z34" i="23"/>
  <c r="Z26" i="23"/>
  <c r="Z40" i="23"/>
  <c r="Z32" i="23"/>
  <c r="Z24" i="23"/>
  <c r="Z29" i="23"/>
  <c r="Z39" i="23"/>
  <c r="Z31" i="23"/>
  <c r="O34" i="23"/>
  <c r="AB34" i="23" s="1"/>
  <c r="O37" i="23"/>
  <c r="AB37" i="23" s="1"/>
  <c r="O36" i="23"/>
  <c r="AB36" i="23" s="1"/>
  <c r="O35" i="23"/>
  <c r="AB35" i="23" s="1"/>
  <c r="O30" i="23"/>
  <c r="AB30" i="23" s="1"/>
  <c r="O38" i="23"/>
  <c r="AB38" i="23" s="1"/>
  <c r="O26" i="23"/>
  <c r="AB26" i="23" s="1"/>
  <c r="O29" i="23"/>
  <c r="AB29" i="23" s="1"/>
  <c r="O28" i="23"/>
  <c r="AB28" i="23" s="1"/>
  <c r="O27" i="23"/>
  <c r="AB27" i="23" s="1"/>
  <c r="O24" i="23"/>
  <c r="AB24" i="23" s="1"/>
  <c r="O40" i="23"/>
  <c r="O33" i="23"/>
  <c r="AB33" i="23" s="1"/>
  <c r="O31" i="23"/>
  <c r="AB31" i="23" s="1"/>
  <c r="O39" i="23"/>
  <c r="AB39" i="23" s="1"/>
  <c r="O32" i="23"/>
  <c r="AB32" i="23" s="1"/>
  <c r="O25" i="23"/>
  <c r="AB25" i="23" s="1"/>
  <c r="O41" i="23"/>
  <c r="O23" i="23"/>
  <c r="AN22" i="23"/>
  <c r="Y22" i="23" s="1"/>
  <c r="AN20" i="23"/>
  <c r="Y20" i="23" s="1"/>
  <c r="BX39" i="23"/>
  <c r="BU43" i="23" s="1"/>
  <c r="BU45" i="23" s="1"/>
  <c r="BX38" i="23"/>
  <c r="BU42" i="23" s="1"/>
  <c r="BU44" i="23" s="1"/>
  <c r="P19" i="18"/>
  <c r="N20" i="23" l="1"/>
  <c r="O20" i="23" s="1"/>
  <c r="Z23" i="23"/>
  <c r="AA23" i="23"/>
  <c r="AA22" i="23"/>
  <c r="AB29" i="18"/>
  <c r="AC29" i="18" s="1"/>
  <c r="AA41" i="23"/>
  <c r="AA40" i="23"/>
  <c r="AB28" i="18"/>
  <c r="AC28" i="18" s="1"/>
  <c r="N21" i="23"/>
  <c r="E6" i="23" s="1"/>
  <c r="E8" i="23" s="1"/>
  <c r="F2" i="23" s="1"/>
  <c r="O22" i="23"/>
  <c r="Z37" i="23"/>
  <c r="Z36" i="23"/>
  <c r="Z20" i="23"/>
  <c r="AB41" i="23"/>
  <c r="AB40" i="23"/>
  <c r="Z22" i="23"/>
  <c r="Y21" i="23"/>
  <c r="G6" i="23" s="1"/>
  <c r="G8" i="23" s="1"/>
  <c r="G2" i="23" s="1"/>
  <c r="U29" i="18"/>
  <c r="U28" i="18"/>
  <c r="U27" i="18"/>
  <c r="U26" i="18"/>
  <c r="U25" i="18"/>
  <c r="U24" i="18"/>
  <c r="U23" i="18"/>
  <c r="U22" i="18"/>
  <c r="U21" i="18"/>
  <c r="K29" i="18"/>
  <c r="L29" i="18" s="1"/>
  <c r="M29" i="18" s="1"/>
  <c r="K28" i="18"/>
  <c r="L28" i="18" s="1"/>
  <c r="M28" i="18" s="1"/>
  <c r="K27" i="18"/>
  <c r="L27" i="18" s="1"/>
  <c r="M27" i="18" s="1"/>
  <c r="K26" i="18"/>
  <c r="L26" i="18" s="1"/>
  <c r="M26" i="18" s="1"/>
  <c r="K25" i="18"/>
  <c r="L25" i="18" s="1"/>
  <c r="M25" i="18" s="1"/>
  <c r="K24" i="18"/>
  <c r="L24" i="18" s="1"/>
  <c r="M24" i="18" s="1"/>
  <c r="K23" i="18"/>
  <c r="L23" i="18" s="1"/>
  <c r="M23" i="18" s="1"/>
  <c r="K22" i="18"/>
  <c r="L22" i="18" s="1"/>
  <c r="M22" i="18" s="1"/>
  <c r="L56" i="18"/>
  <c r="L57" i="18" s="1"/>
  <c r="L58" i="18" s="1"/>
  <c r="M56" i="18"/>
  <c r="M57" i="18" s="1"/>
  <c r="M58" i="18" s="1"/>
  <c r="K56" i="18"/>
  <c r="K57" i="18" s="1"/>
  <c r="J56" i="18"/>
  <c r="F55" i="18"/>
  <c r="K20" i="18"/>
  <c r="L20" i="18" s="1"/>
  <c r="M20" i="18" s="1"/>
  <c r="L92" i="18"/>
  <c r="L91" i="18"/>
  <c r="L90" i="18"/>
  <c r="L89" i="18"/>
  <c r="L88" i="18"/>
  <c r="L87" i="18"/>
  <c r="L86" i="18"/>
  <c r="L85" i="18"/>
  <c r="M82" i="18"/>
  <c r="K82" i="18"/>
  <c r="M83" i="18" s="1"/>
  <c r="K80" i="18"/>
  <c r="M81" i="18" s="1"/>
  <c r="J60" i="18"/>
  <c r="R54" i="18"/>
  <c r="R53" i="18" s="1"/>
  <c r="AB23" i="23" l="1"/>
  <c r="AA20" i="23"/>
  <c r="AB20" i="23"/>
  <c r="K18" i="18"/>
  <c r="L18" i="18" s="1"/>
  <c r="O21" i="23"/>
  <c r="E7" i="23" s="1"/>
  <c r="B2" i="23" s="1"/>
  <c r="AB22" i="23"/>
  <c r="AA21" i="23"/>
  <c r="S5" i="23" s="1"/>
  <c r="W2" i="23" s="1"/>
  <c r="Z21" i="23"/>
  <c r="G7" i="23" s="1"/>
  <c r="C2" i="23" s="1"/>
  <c r="S20" i="18"/>
  <c r="T20" i="18" s="1"/>
  <c r="S18" i="18"/>
  <c r="T18" i="18" s="1"/>
  <c r="K21" i="18"/>
  <c r="L21" i="18" s="1"/>
  <c r="M21" i="18" s="1"/>
  <c r="I6" i="23"/>
  <c r="K6" i="23" s="1"/>
  <c r="I8" i="23"/>
  <c r="W25" i="18"/>
  <c r="W29" i="18"/>
  <c r="W22" i="18"/>
  <c r="W24" i="18"/>
  <c r="W26" i="18"/>
  <c r="W28" i="18"/>
  <c r="M18" i="18"/>
  <c r="R60" i="18"/>
  <c r="T60" i="18" s="1"/>
  <c r="R61" i="18"/>
  <c r="U61" i="18" s="1"/>
  <c r="R56" i="18"/>
  <c r="W23" i="18"/>
  <c r="W27" i="18"/>
  <c r="V29" i="18"/>
  <c r="V28" i="18"/>
  <c r="V27" i="18"/>
  <c r="V26" i="18"/>
  <c r="V25" i="18"/>
  <c r="V24" i="18"/>
  <c r="V23" i="18"/>
  <c r="V22" i="18"/>
  <c r="R55" i="18"/>
  <c r="U55" i="18" s="1"/>
  <c r="R57" i="18"/>
  <c r="T57" i="18" s="1"/>
  <c r="R59" i="18"/>
  <c r="U54" i="18"/>
  <c r="K58" i="18"/>
  <c r="J57" i="18"/>
  <c r="K81" i="18"/>
  <c r="L81" i="18" s="1"/>
  <c r="N80" i="18" s="1"/>
  <c r="K83" i="18"/>
  <c r="L83" i="18" s="1"/>
  <c r="AB21" i="23" l="1"/>
  <c r="K8" i="23"/>
  <c r="J2" i="23" s="1"/>
  <c r="H2" i="23"/>
  <c r="I7" i="23"/>
  <c r="D2" i="23" s="1"/>
  <c r="L19" i="18"/>
  <c r="E6" i="18" s="1"/>
  <c r="M19" i="18"/>
  <c r="E7" i="18" s="1"/>
  <c r="B2" i="18" s="1"/>
  <c r="V21" i="18"/>
  <c r="W21" i="18"/>
  <c r="U18" i="18"/>
  <c r="W18" i="18" s="1"/>
  <c r="V18" i="18"/>
  <c r="T19" i="18"/>
  <c r="G6" i="18" s="1"/>
  <c r="G8" i="18" s="1"/>
  <c r="G2" i="18" s="1"/>
  <c r="U20" i="18"/>
  <c r="U19" i="18" s="1"/>
  <c r="G7" i="18" s="1"/>
  <c r="C2" i="18" s="1"/>
  <c r="V20" i="18"/>
  <c r="T55" i="18"/>
  <c r="U60" i="18"/>
  <c r="T61" i="18"/>
  <c r="U57" i="18"/>
  <c r="J58" i="18"/>
  <c r="R58" i="18"/>
  <c r="N81" i="18"/>
  <c r="N83" i="18"/>
  <c r="N82" i="18"/>
  <c r="N84" i="18" s="1"/>
  <c r="T59" i="18"/>
  <c r="U59" i="18"/>
  <c r="K7" i="23" l="1"/>
  <c r="E2" i="23" s="1"/>
  <c r="W20" i="18"/>
  <c r="V19" i="18"/>
  <c r="Q5" i="18" s="1"/>
  <c r="U2" i="18" s="1"/>
  <c r="U58" i="18"/>
  <c r="T58" i="18"/>
  <c r="E8" i="18" l="1"/>
  <c r="I8" i="18" l="1"/>
  <c r="H2" i="18" s="1"/>
  <c r="F2" i="18"/>
  <c r="W19" i="18"/>
  <c r="K8" i="18" l="1"/>
  <c r="I2" i="18" s="1"/>
  <c r="I6" i="18"/>
  <c r="K6" i="18" s="1"/>
  <c r="I7" i="18"/>
  <c r="I28" i="11"/>
  <c r="X28" i="11"/>
  <c r="K7" i="18" l="1"/>
  <c r="E2" i="18" s="1"/>
  <c r="D2" i="18"/>
  <c r="AK28" i="11"/>
  <c r="AA28" i="11" s="1"/>
  <c r="AH28" i="11"/>
  <c r="P28" i="11" s="1"/>
  <c r="J33" i="8"/>
  <c r="I33" i="8"/>
  <c r="E33" i="8"/>
  <c r="J32" i="8"/>
  <c r="I32" i="8"/>
  <c r="E32" i="8"/>
  <c r="J31" i="8"/>
  <c r="I31" i="8"/>
  <c r="E31" i="8"/>
  <c r="J30" i="8"/>
  <c r="I30" i="8"/>
  <c r="E30" i="8"/>
  <c r="J29" i="8"/>
  <c r="I29" i="8"/>
  <c r="E29" i="8"/>
  <c r="J28" i="8"/>
  <c r="I28" i="8"/>
  <c r="E28" i="8"/>
  <c r="J27" i="8"/>
  <c r="I27" i="8"/>
  <c r="E27" i="8"/>
  <c r="J26" i="8"/>
  <c r="I26" i="8"/>
  <c r="E26" i="8"/>
  <c r="J25" i="8"/>
  <c r="I25" i="8"/>
  <c r="E25" i="8"/>
  <c r="J24" i="8"/>
  <c r="I24" i="8"/>
  <c r="E24" i="8"/>
  <c r="J23" i="8"/>
  <c r="I23" i="8"/>
  <c r="E23" i="8"/>
  <c r="J22" i="8"/>
  <c r="I22" i="8"/>
  <c r="E22" i="8"/>
  <c r="J21" i="8"/>
  <c r="I21" i="8"/>
  <c r="E21" i="8"/>
  <c r="J20" i="8"/>
  <c r="I20" i="8"/>
  <c r="E20" i="8"/>
  <c r="J19" i="8"/>
  <c r="I19" i="8"/>
  <c r="E19" i="8"/>
  <c r="J18" i="8"/>
  <c r="I18" i="8"/>
  <c r="E18" i="8"/>
  <c r="J17" i="8"/>
  <c r="I17" i="8"/>
  <c r="E17" i="8"/>
  <c r="J16" i="8"/>
  <c r="I16" i="8"/>
  <c r="E16" i="8"/>
  <c r="J15" i="8"/>
  <c r="I15" i="8"/>
  <c r="E15" i="8"/>
  <c r="J14" i="8"/>
  <c r="I14" i="8"/>
  <c r="E14" i="8"/>
  <c r="J13" i="8"/>
  <c r="I13" i="8"/>
  <c r="E13" i="8"/>
  <c r="J12" i="8"/>
  <c r="I12" i="8"/>
  <c r="E12" i="8"/>
  <c r="J11" i="8"/>
  <c r="I11" i="8"/>
  <c r="E11" i="8"/>
  <c r="J10" i="8"/>
  <c r="I10" i="8"/>
  <c r="E10" i="8"/>
  <c r="J9" i="8"/>
  <c r="I9" i="8"/>
  <c r="E9" i="8"/>
  <c r="J8" i="8"/>
  <c r="I8" i="8"/>
  <c r="E8" i="8"/>
  <c r="J7" i="8"/>
  <c r="I7" i="8"/>
  <c r="E7" i="8"/>
  <c r="J6" i="8"/>
  <c r="I6" i="8"/>
  <c r="E6" i="8"/>
  <c r="U5" i="11" l="1"/>
  <c r="U2" i="11" s="1"/>
  <c r="AB32" i="11"/>
  <c r="AB38" i="11"/>
  <c r="AB34" i="11"/>
  <c r="AB36" i="11"/>
  <c r="Q28" i="11"/>
  <c r="AB30" i="11"/>
  <c r="AB31" i="11"/>
  <c r="AB33" i="11"/>
  <c r="AB35" i="11"/>
  <c r="AB37" i="11"/>
  <c r="Q38" i="11"/>
  <c r="Q36" i="11"/>
  <c r="Q34" i="11"/>
  <c r="Q32" i="11"/>
  <c r="Q37" i="11"/>
  <c r="Q35" i="11"/>
  <c r="Q33" i="11"/>
  <c r="Q31" i="11"/>
  <c r="AB29" i="11" l="1"/>
  <c r="AC29" i="11"/>
  <c r="AD29" i="11" s="1"/>
  <c r="AE28" i="2"/>
  <c r="AF28" i="2"/>
  <c r="AD34" i="11"/>
  <c r="AD38" i="11"/>
  <c r="AC32" i="11"/>
  <c r="AD32" i="11"/>
  <c r="AC36" i="11"/>
  <c r="AD36" i="11"/>
  <c r="AC31" i="11"/>
  <c r="AC35" i="11"/>
  <c r="AD31" i="11"/>
  <c r="AC38" i="11"/>
  <c r="AD35" i="11"/>
  <c r="AC34" i="11"/>
  <c r="AD33" i="11"/>
  <c r="AD37" i="11"/>
  <c r="AC33" i="11"/>
  <c r="AC37" i="11"/>
  <c r="AC30" i="11"/>
  <c r="Q30" i="11" l="1"/>
  <c r="Q29" i="11" s="1"/>
  <c r="W28" i="2"/>
  <c r="Y28" i="2" s="1"/>
  <c r="E6" i="2"/>
  <c r="G6" i="11"/>
  <c r="G8" i="11" s="1"/>
  <c r="G2" i="11" s="1"/>
  <c r="G7" i="11"/>
  <c r="C2" i="11" s="1"/>
  <c r="E6" i="11"/>
  <c r="E8" i="11" s="1"/>
  <c r="F2" i="11" s="1"/>
  <c r="E7" i="2"/>
  <c r="B2" i="2" s="1"/>
  <c r="G7" i="2"/>
  <c r="C2" i="2" s="1"/>
  <c r="G6" i="2"/>
  <c r="E7" i="11" l="1"/>
  <c r="AD30" i="11"/>
  <c r="O5" i="2"/>
  <c r="U2" i="2" s="1"/>
  <c r="X28" i="2"/>
  <c r="Z28" i="2" s="1"/>
  <c r="AC28" i="2"/>
  <c r="I8" i="2" s="1"/>
  <c r="I8" i="11"/>
  <c r="I6" i="11"/>
  <c r="K6" i="11" s="1"/>
  <c r="I6" i="2"/>
  <c r="K6" i="2" s="1"/>
  <c r="I7" i="2"/>
  <c r="U56" i="18"/>
  <c r="T56" i="18"/>
  <c r="AC28" i="11"/>
  <c r="AB28" i="11"/>
  <c r="AD28" i="11" s="1"/>
  <c r="I7" i="11" l="1"/>
  <c r="D2" i="11" s="1"/>
  <c r="B2" i="11"/>
  <c r="K8" i="11"/>
  <c r="I2" i="11" s="1"/>
  <c r="H2" i="11"/>
  <c r="K8" i="2"/>
  <c r="I2" i="2" s="1"/>
  <c r="H2" i="2"/>
  <c r="K7" i="2"/>
  <c r="E2" i="2" s="1"/>
  <c r="D2" i="2"/>
  <c r="K7" i="11" l="1"/>
  <c r="E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T27" authorId="0" shapeId="0" xr:uid="{0837C4E7-A0B7-4E94-AEAE-79AD6AD0A951}">
      <text>
        <r>
          <rPr>
            <sz val="9"/>
            <color indexed="81"/>
            <rFont val="MS P ゴシック"/>
            <family val="3"/>
            <charset val="128"/>
          </rPr>
          <t xml:space="preserve">按分する場合、
１：０の場合は０も記入する
</t>
        </r>
      </text>
    </comment>
  </commentList>
</comments>
</file>

<file path=xl/sharedStrings.xml><?xml version="1.0" encoding="utf-8"?>
<sst xmlns="http://schemas.openxmlformats.org/spreadsheetml/2006/main" count="2686" uniqueCount="1038">
  <si>
    <t>項目</t>
    <rPh sb="0" eb="2">
      <t>コウモク</t>
    </rPh>
    <phoneticPr fontId="4"/>
  </si>
  <si>
    <t>単位</t>
    <rPh sb="0" eb="2">
      <t>タンイ</t>
    </rPh>
    <phoneticPr fontId="4"/>
  </si>
  <si>
    <t>更新前</t>
    <rPh sb="0" eb="3">
      <t>コウシンマエ</t>
    </rPh>
    <phoneticPr fontId="4"/>
  </si>
  <si>
    <t>更新後</t>
    <rPh sb="0" eb="2">
      <t>コウシン</t>
    </rPh>
    <rPh sb="2" eb="3">
      <t>ゴ</t>
    </rPh>
    <phoneticPr fontId="4"/>
  </si>
  <si>
    <t>削減量</t>
  </si>
  <si>
    <t>削減率</t>
    <rPh sb="0" eb="3">
      <t>サクゲンリツ</t>
    </rPh>
    <phoneticPr fontId="4"/>
  </si>
  <si>
    <t>特記事項</t>
    <rPh sb="0" eb="2">
      <t>トッキ</t>
    </rPh>
    <rPh sb="2" eb="4">
      <t>ジコウ</t>
    </rPh>
    <phoneticPr fontId="4"/>
  </si>
  <si>
    <t>電力消費量</t>
    <rPh sb="0" eb="2">
      <t>デンリョク</t>
    </rPh>
    <rPh sb="2" eb="5">
      <t>ショウヒリョウ</t>
    </rPh>
    <phoneticPr fontId="4"/>
  </si>
  <si>
    <t>kWh/年</t>
    <rPh sb="4" eb="5">
      <t>ネン</t>
    </rPh>
    <phoneticPr fontId="4"/>
  </si>
  <si>
    <t>CO2排出量</t>
    <rPh sb="3" eb="5">
      <t>ハイシュツ</t>
    </rPh>
    <rPh sb="5" eb="6">
      <t>リョウ</t>
    </rPh>
    <phoneticPr fontId="4"/>
  </si>
  <si>
    <t>tCO2/年</t>
    <rPh sb="5" eb="6">
      <t>ネン</t>
    </rPh>
    <phoneticPr fontId="4"/>
  </si>
  <si>
    <t>定格出力の増減</t>
    <rPh sb="0" eb="2">
      <t>テイカク</t>
    </rPh>
    <rPh sb="2" eb="4">
      <t>シュツリョク</t>
    </rPh>
    <rPh sb="5" eb="7">
      <t>ゾウゲン</t>
    </rPh>
    <phoneticPr fontId="4"/>
  </si>
  <si>
    <t>原油換算エネルギー使用量</t>
    <rPh sb="0" eb="4">
      <t>ゲンユカンザン</t>
    </rPh>
    <rPh sb="9" eb="12">
      <t>シヨウリョウ</t>
    </rPh>
    <phoneticPr fontId="4"/>
  </si>
  <si>
    <t>kl/年</t>
    <rPh sb="3" eb="4">
      <t>ネン</t>
    </rPh>
    <phoneticPr fontId="4"/>
  </si>
  <si>
    <t>削減効果</t>
    <rPh sb="0" eb="2">
      <t>サクゲン</t>
    </rPh>
    <rPh sb="2" eb="4">
      <t>コウカ</t>
    </rPh>
    <phoneticPr fontId="4"/>
  </si>
  <si>
    <t>メーカー・型番</t>
    <rPh sb="5" eb="7">
      <t>カタバン</t>
    </rPh>
    <phoneticPr fontId="4"/>
  </si>
  <si>
    <t>極数</t>
    <rPh sb="0" eb="1">
      <t>キョク</t>
    </rPh>
    <rPh sb="1" eb="2">
      <t>スウ</t>
    </rPh>
    <phoneticPr fontId="4"/>
  </si>
  <si>
    <t>消費電力(b=a/p)</t>
    <rPh sb="0" eb="4">
      <t>ショウヒデンリョク</t>
    </rPh>
    <phoneticPr fontId="4"/>
  </si>
  <si>
    <t>年間消費電力量(E)</t>
    <rPh sb="0" eb="2">
      <t>ネンカン</t>
    </rPh>
    <rPh sb="2" eb="7">
      <t>ショウヒデンリョクリョウ</t>
    </rPh>
    <phoneticPr fontId="4"/>
  </si>
  <si>
    <t>kW</t>
    <phoneticPr fontId="4"/>
  </si>
  <si>
    <t>%</t>
    <phoneticPr fontId="4"/>
  </si>
  <si>
    <t>kW/台</t>
    <rPh sb="3" eb="4">
      <t>ダイ</t>
    </rPh>
    <phoneticPr fontId="4"/>
  </si>
  <si>
    <t>h/年</t>
    <rPh sb="2" eb="3">
      <t>ネン</t>
    </rPh>
    <phoneticPr fontId="4"/>
  </si>
  <si>
    <t>入力例</t>
    <rPh sb="0" eb="2">
      <t>ニュウリョク</t>
    </rPh>
    <rPh sb="2" eb="3">
      <t>レイ</t>
    </rPh>
    <phoneticPr fontId="4"/>
  </si>
  <si>
    <t>OLF-754FE</t>
  </si>
  <si>
    <t>IE2</t>
  </si>
  <si>
    <t>4極</t>
  </si>
  <si>
    <t>　</t>
  </si>
  <si>
    <t>PLM-75DBC</t>
  </si>
  <si>
    <t>IE3</t>
  </si>
  <si>
    <t>合計</t>
    <rPh sb="0" eb="2">
      <t>ゴウケイ</t>
    </rPh>
    <phoneticPr fontId="4"/>
  </si>
  <si>
    <t>変圧器の更新</t>
    <rPh sb="0" eb="3">
      <t>ヘンアツキ</t>
    </rPh>
    <rPh sb="4" eb="6">
      <t>コウシン</t>
    </rPh>
    <phoneticPr fontId="4"/>
  </si>
  <si>
    <t>年間消費電力量</t>
    <rPh sb="0" eb="2">
      <t>ネンカン</t>
    </rPh>
    <rPh sb="2" eb="7">
      <t>ショウヒデンリョクリョウ</t>
    </rPh>
    <phoneticPr fontId="4"/>
  </si>
  <si>
    <t>CO2排出量</t>
    <rPh sb="3" eb="6">
      <t>ハイシュツリョウ</t>
    </rPh>
    <phoneticPr fontId="4"/>
  </si>
  <si>
    <t>容量</t>
    <rPh sb="0" eb="2">
      <t>ヨウリョウ</t>
    </rPh>
    <phoneticPr fontId="4"/>
  </si>
  <si>
    <t>無負荷損（a）</t>
    <rPh sb="0" eb="4">
      <t>ムフカゾン</t>
    </rPh>
    <phoneticPr fontId="4"/>
  </si>
  <si>
    <t>CO2排出量
(C)</t>
    <rPh sb="3" eb="6">
      <t>ハイシュツリョウ</t>
    </rPh>
    <phoneticPr fontId="4"/>
  </si>
  <si>
    <t>CO2排出量(C')</t>
    <rPh sb="3" eb="6">
      <t>ハイシュツリョウ</t>
    </rPh>
    <phoneticPr fontId="4"/>
  </si>
  <si>
    <t>電力削減量（E-E’）</t>
    <rPh sb="0" eb="2">
      <t>デンリョク</t>
    </rPh>
    <rPh sb="2" eb="5">
      <t>サクゲンリョウ</t>
    </rPh>
    <phoneticPr fontId="4"/>
  </si>
  <si>
    <t>CO2削減量（C-C’）</t>
    <rPh sb="3" eb="6">
      <t>サクゲンリョウ</t>
    </rPh>
    <phoneticPr fontId="4"/>
  </si>
  <si>
    <t>kVA</t>
    <phoneticPr fontId="4"/>
  </si>
  <si>
    <t>W</t>
    <phoneticPr fontId="4"/>
  </si>
  <si>
    <t>KK-1L</t>
  </si>
  <si>
    <t>ME-1R</t>
  </si>
  <si>
    <t>台</t>
    <rPh sb="0" eb="1">
      <t>ダイ</t>
    </rPh>
    <phoneticPr fontId="4"/>
  </si>
  <si>
    <t>負荷率</t>
    <rPh sb="0" eb="3">
      <t>フカリツ</t>
    </rPh>
    <phoneticPr fontId="4"/>
  </si>
  <si>
    <t>更新後</t>
    <rPh sb="0" eb="3">
      <t>コウシンゴ</t>
    </rPh>
    <phoneticPr fontId="4"/>
  </si>
  <si>
    <t>冷房</t>
    <rPh sb="0" eb="2">
      <t>レイボウ</t>
    </rPh>
    <phoneticPr fontId="4"/>
  </si>
  <si>
    <t>暖房</t>
    <rPh sb="0" eb="2">
      <t>ダンボウ</t>
    </rPh>
    <phoneticPr fontId="4"/>
  </si>
  <si>
    <t>年間</t>
    <rPh sb="0" eb="2">
      <t>ネンカン</t>
    </rPh>
    <phoneticPr fontId="4"/>
  </si>
  <si>
    <t>冷房定格能力</t>
    <rPh sb="0" eb="2">
      <t>レイボウ</t>
    </rPh>
    <rPh sb="2" eb="4">
      <t>テイカク</t>
    </rPh>
    <rPh sb="4" eb="6">
      <t>ノウリョク</t>
    </rPh>
    <phoneticPr fontId="4"/>
  </si>
  <si>
    <t>暖房定格能力</t>
    <rPh sb="0" eb="2">
      <t>ダンボウ</t>
    </rPh>
    <rPh sb="2" eb="4">
      <t>テイカク</t>
    </rPh>
    <rPh sb="4" eb="6">
      <t>ノウリョク</t>
    </rPh>
    <phoneticPr fontId="4"/>
  </si>
  <si>
    <t>CCC280DD</t>
    <phoneticPr fontId="4"/>
  </si>
  <si>
    <t>㎥/年</t>
    <rPh sb="2" eb="3">
      <t>ネン</t>
    </rPh>
    <phoneticPr fontId="4"/>
  </si>
  <si>
    <t>燃料消費量</t>
    <rPh sb="0" eb="2">
      <t>ネンリョウ</t>
    </rPh>
    <rPh sb="2" eb="5">
      <t>ショウヒリョウ</t>
    </rPh>
    <phoneticPr fontId="4"/>
  </si>
  <si>
    <t>％</t>
    <phoneticPr fontId="4"/>
  </si>
  <si>
    <t>電気</t>
    <rPh sb="0" eb="2">
      <t>デンキ</t>
    </rPh>
    <phoneticPr fontId="4"/>
  </si>
  <si>
    <t>kWh</t>
  </si>
  <si>
    <t>kW</t>
  </si>
  <si>
    <t>kVA</t>
  </si>
  <si>
    <t>エネルギーの種類</t>
    <rPh sb="6" eb="8">
      <t>シュルイ</t>
    </rPh>
    <phoneticPr fontId="15"/>
  </si>
  <si>
    <t>発熱量単位</t>
    <rPh sb="3" eb="5">
      <t>タンイ</t>
    </rPh>
    <phoneticPr fontId="15"/>
  </si>
  <si>
    <t>エネルギー単位</t>
    <rPh sb="5" eb="7">
      <t>タンイ</t>
    </rPh>
    <phoneticPr fontId="15"/>
  </si>
  <si>
    <t>炭素換算</t>
    <rPh sb="0" eb="4">
      <t>タンソカンサン</t>
    </rPh>
    <phoneticPr fontId="15"/>
  </si>
  <si>
    <t>単位</t>
    <rPh sb="0" eb="2">
      <t>タンイ</t>
    </rPh>
    <phoneticPr fontId="15"/>
  </si>
  <si>
    <t>CO2排出係数</t>
    <rPh sb="3" eb="5">
      <t>ハイシュツ</t>
    </rPh>
    <rPh sb="5" eb="7">
      <t>ケイスウ</t>
    </rPh>
    <phoneticPr fontId="15"/>
  </si>
  <si>
    <t>原油（コンデンセートを除く。）</t>
    <rPh sb="0" eb="2">
      <t>ゲンユ</t>
    </rPh>
    <rPh sb="11" eb="12">
      <t>ノゾ</t>
    </rPh>
    <phoneticPr fontId="15"/>
  </si>
  <si>
    <t>L</t>
    <phoneticPr fontId="4"/>
  </si>
  <si>
    <t>tC/GJ</t>
    <phoneticPr fontId="15"/>
  </si>
  <si>
    <t>原油のうちコンデンセート（NGL）</t>
    <rPh sb="0" eb="2">
      <t>ゲンユ</t>
    </rPh>
    <phoneticPr fontId="15"/>
  </si>
  <si>
    <t>揮発油（ガソリン）</t>
    <rPh sb="0" eb="3">
      <t>キハツユ</t>
    </rPh>
    <phoneticPr fontId="15"/>
  </si>
  <si>
    <t>ナフサ</t>
    <phoneticPr fontId="15"/>
  </si>
  <si>
    <t>灯油</t>
    <rPh sb="0" eb="2">
      <t>トウユ</t>
    </rPh>
    <phoneticPr fontId="15"/>
  </si>
  <si>
    <t>軽油</t>
    <rPh sb="0" eb="2">
      <t>ケイユ</t>
    </rPh>
    <phoneticPr fontId="15"/>
  </si>
  <si>
    <t>A重油</t>
    <rPh sb="1" eb="3">
      <t>ジュウユ</t>
    </rPh>
    <phoneticPr fontId="15"/>
  </si>
  <si>
    <t>B・C重油</t>
    <rPh sb="3" eb="5">
      <t>ジュウユ</t>
    </rPh>
    <phoneticPr fontId="15"/>
  </si>
  <si>
    <t>石油アスファルト</t>
    <rPh sb="0" eb="2">
      <t>セキユ</t>
    </rPh>
    <phoneticPr fontId="15"/>
  </si>
  <si>
    <t>kg</t>
    <phoneticPr fontId="4"/>
  </si>
  <si>
    <t>石油コークス</t>
    <rPh sb="0" eb="2">
      <t>セキユ</t>
    </rPh>
    <phoneticPr fontId="15"/>
  </si>
  <si>
    <t>液化石油ガス（LPG）</t>
    <rPh sb="0" eb="2">
      <t>エキカ</t>
    </rPh>
    <rPh sb="2" eb="4">
      <t>セキユ</t>
    </rPh>
    <phoneticPr fontId="15"/>
  </si>
  <si>
    <t>石油系炭化水素ガス</t>
    <rPh sb="0" eb="3">
      <t>セキユケイ</t>
    </rPh>
    <rPh sb="3" eb="5">
      <t>タンカ</t>
    </rPh>
    <rPh sb="5" eb="7">
      <t>スイソ</t>
    </rPh>
    <phoneticPr fontId="15"/>
  </si>
  <si>
    <t>液化天然ガス（LＮG）</t>
    <rPh sb="0" eb="2">
      <t>エキカ</t>
    </rPh>
    <rPh sb="2" eb="4">
      <t>テンネン</t>
    </rPh>
    <phoneticPr fontId="15"/>
  </si>
  <si>
    <t>その他可燃性天然ガス</t>
    <rPh sb="2" eb="3">
      <t>タ</t>
    </rPh>
    <rPh sb="3" eb="6">
      <t>カネンセイ</t>
    </rPh>
    <rPh sb="6" eb="8">
      <t>テンネン</t>
    </rPh>
    <phoneticPr fontId="15"/>
  </si>
  <si>
    <t>原料炭</t>
    <rPh sb="0" eb="2">
      <t>ゲンリョウ</t>
    </rPh>
    <rPh sb="2" eb="3">
      <t>タン</t>
    </rPh>
    <phoneticPr fontId="15"/>
  </si>
  <si>
    <t>一般炭</t>
    <rPh sb="0" eb="2">
      <t>イッパン</t>
    </rPh>
    <rPh sb="2" eb="3">
      <t>タン</t>
    </rPh>
    <phoneticPr fontId="15"/>
  </si>
  <si>
    <t>無煙炭</t>
    <rPh sb="0" eb="2">
      <t>ムエン</t>
    </rPh>
    <rPh sb="2" eb="3">
      <t>タン</t>
    </rPh>
    <phoneticPr fontId="15"/>
  </si>
  <si>
    <t>石炭コークス</t>
    <rPh sb="0" eb="2">
      <t>セキタン</t>
    </rPh>
    <phoneticPr fontId="15"/>
  </si>
  <si>
    <t>コールタール</t>
    <phoneticPr fontId="15"/>
  </si>
  <si>
    <t>コークス炉ガス</t>
    <rPh sb="4" eb="5">
      <t>ロ</t>
    </rPh>
    <phoneticPr fontId="15"/>
  </si>
  <si>
    <t>高炉ガス</t>
    <rPh sb="0" eb="2">
      <t>コウロ</t>
    </rPh>
    <phoneticPr fontId="15"/>
  </si>
  <si>
    <t>転炉ガス</t>
    <rPh sb="0" eb="2">
      <t>テンロ</t>
    </rPh>
    <phoneticPr fontId="15"/>
  </si>
  <si>
    <t>産業用蒸気</t>
    <rPh sb="0" eb="3">
      <t>サンギョウヨウ</t>
    </rPh>
    <rPh sb="3" eb="5">
      <t>ジョウキ</t>
    </rPh>
    <phoneticPr fontId="15"/>
  </si>
  <si>
    <t>MJ</t>
  </si>
  <si>
    <t>tCO2/GJ</t>
    <phoneticPr fontId="15"/>
  </si>
  <si>
    <t>産業用以外の蒸気</t>
    <rPh sb="0" eb="3">
      <t>サンギョウヨウ</t>
    </rPh>
    <rPh sb="3" eb="5">
      <t>イガイ</t>
    </rPh>
    <rPh sb="6" eb="8">
      <t>ジョウキ</t>
    </rPh>
    <phoneticPr fontId="15"/>
  </si>
  <si>
    <t>温水</t>
    <rPh sb="0" eb="2">
      <t>オンスイ</t>
    </rPh>
    <phoneticPr fontId="15"/>
  </si>
  <si>
    <t>冷水</t>
    <rPh sb="0" eb="2">
      <t>レイスイ</t>
    </rPh>
    <phoneticPr fontId="15"/>
  </si>
  <si>
    <t>kWh</t>
    <phoneticPr fontId="4"/>
  </si>
  <si>
    <t>tCO2/kWh</t>
    <phoneticPr fontId="15"/>
  </si>
  <si>
    <t>IE1</t>
  </si>
  <si>
    <t>出力（kW）</t>
    <rPh sb="0" eb="2">
      <t>シュツリョク</t>
    </rPh>
    <phoneticPr fontId="4"/>
  </si>
  <si>
    <t>2極</t>
    <phoneticPr fontId="4"/>
  </si>
  <si>
    <t>4極</t>
    <phoneticPr fontId="4"/>
  </si>
  <si>
    <t>6極</t>
    <phoneticPr fontId="4"/>
  </si>
  <si>
    <t>8極</t>
    <rPh sb="1" eb="2">
      <t>キョク</t>
    </rPh>
    <phoneticPr fontId="4"/>
  </si>
  <si>
    <t>IE1</t>
    <phoneticPr fontId="4"/>
  </si>
  <si>
    <t>IE2</t>
    <phoneticPr fontId="4"/>
  </si>
  <si>
    <t>IE3</t>
    <phoneticPr fontId="4"/>
  </si>
  <si>
    <t>IE4</t>
    <phoneticPr fontId="4"/>
  </si>
  <si>
    <t>空冷式冷房能力</t>
    <rPh sb="0" eb="3">
      <t>クウレイシキ</t>
    </rPh>
    <rPh sb="3" eb="5">
      <t>レイボウ</t>
    </rPh>
    <rPh sb="5" eb="7">
      <t>ノウリョク</t>
    </rPh>
    <phoneticPr fontId="4"/>
  </si>
  <si>
    <t>水冷式冷暖房能力</t>
    <rPh sb="0" eb="3">
      <t>スイレイシキ</t>
    </rPh>
    <rPh sb="3" eb="6">
      <t>レイダンボウ</t>
    </rPh>
    <rPh sb="6" eb="8">
      <t>ノウリョク</t>
    </rPh>
    <phoneticPr fontId="4"/>
  </si>
  <si>
    <t>パッケージエアコン</t>
    <phoneticPr fontId="4"/>
  </si>
  <si>
    <t>kW表示</t>
    <rPh sb="2" eb="4">
      <t>ヒョウジ</t>
    </rPh>
    <phoneticPr fontId="4"/>
  </si>
  <si>
    <t>kcal/h表示</t>
    <phoneticPr fontId="4"/>
  </si>
  <si>
    <t>馬力表示</t>
    <rPh sb="0" eb="2">
      <t>バリキ</t>
    </rPh>
    <phoneticPr fontId="4"/>
  </si>
  <si>
    <t>kW表示</t>
    <phoneticPr fontId="4"/>
  </si>
  <si>
    <t>kcal/h</t>
    <phoneticPr fontId="4"/>
  </si>
  <si>
    <t> 1.6/1.8</t>
  </si>
  <si>
    <t> 1,400/1,600</t>
  </si>
  <si>
    <t> 0.7</t>
  </si>
  <si>
    <t>1.8/2.0</t>
  </si>
  <si>
    <t> 1,600/1,800</t>
  </si>
  <si>
    <t> 0.6</t>
  </si>
  <si>
    <t> 2.0/2.2</t>
  </si>
  <si>
    <t> 1,800/2,000</t>
  </si>
  <si>
    <t> 0.8</t>
  </si>
  <si>
    <t> 2.5/2.8</t>
  </si>
  <si>
    <t> 2,240/2,500</t>
  </si>
  <si>
    <t> 0.9</t>
  </si>
  <si>
    <t> 1</t>
  </si>
  <si>
    <t> 4.0/4.5</t>
  </si>
  <si>
    <t> 3,550/4,000</t>
  </si>
  <si>
    <t> 1.3</t>
  </si>
  <si>
    <t> 3.2/3.6</t>
  </si>
  <si>
    <t> 2,800/3,150</t>
  </si>
  <si>
    <t> 5.0/5.6</t>
  </si>
  <si>
    <t> 4,500/5,000</t>
  </si>
  <si>
    <t> 1.8</t>
  </si>
  <si>
    <t> 5.6/6.3</t>
  </si>
  <si>
    <t> 5,000/5,600</t>
  </si>
  <si>
    <t> 2</t>
  </si>
  <si>
    <t> 4.5/5.0</t>
  </si>
  <si>
    <t> 4,000/4,500</t>
  </si>
  <si>
    <t> 7.1/8.0</t>
  </si>
  <si>
    <t> 6,300/7,100</t>
  </si>
  <si>
    <t> 2.5</t>
  </si>
  <si>
    <t> 2.3</t>
  </si>
  <si>
    <t> 9.0/10.0</t>
  </si>
  <si>
    <t> 8,000/9,000</t>
  </si>
  <si>
    <t> 3</t>
  </si>
  <si>
    <t> 11.2/12.5</t>
  </si>
  <si>
    <t> 10,000/11,200</t>
  </si>
  <si>
    <t> 4</t>
  </si>
  <si>
    <t> 6.3/7.1</t>
  </si>
  <si>
    <t> 5,600/6,300</t>
  </si>
  <si>
    <t> 2.8</t>
  </si>
  <si>
    <t> 14.0/16.0</t>
  </si>
  <si>
    <t> 12,500/14,000</t>
  </si>
  <si>
    <t> 5</t>
  </si>
  <si>
    <t> 22.4/25.0</t>
  </si>
  <si>
    <t> 20,000/22,400</t>
  </si>
  <si>
    <t> 8</t>
  </si>
  <si>
    <t> 8.0/9.0</t>
  </si>
  <si>
    <t> 7,100/8,000</t>
  </si>
  <si>
    <t> 3.3</t>
  </si>
  <si>
    <t> 28.0/31.5</t>
  </si>
  <si>
    <t> 25,000/28,000</t>
  </si>
  <si>
    <t> 10</t>
  </si>
  <si>
    <t> 10/11.2</t>
  </si>
  <si>
    <t> 9,000/10,000</t>
  </si>
  <si>
    <t> 45.0/50.0</t>
  </si>
  <si>
    <t> 40,000/45,000</t>
  </si>
  <si>
    <t> 15</t>
  </si>
  <si>
    <t> 12.5/14.0</t>
  </si>
  <si>
    <t> 11,200/12,500</t>
  </si>
  <si>
    <t> 56.0/63.0</t>
  </si>
  <si>
    <t> 50,000/56,000</t>
  </si>
  <si>
    <t> 20</t>
  </si>
  <si>
    <t> 6</t>
  </si>
  <si>
    <t> 71.0/80.0</t>
  </si>
  <si>
    <t> 63,000/71,000</t>
  </si>
  <si>
    <t> 25</t>
  </si>
  <si>
    <t> 18.0/20.0</t>
  </si>
  <si>
    <t> 16,000/18,000</t>
  </si>
  <si>
    <t> 7.5</t>
  </si>
  <si>
    <t> 90.0/100</t>
  </si>
  <si>
    <t> 80,000/90,000</t>
  </si>
  <si>
    <t> 30</t>
  </si>
  <si>
    <t> 20.0/22.4</t>
  </si>
  <si>
    <t> 18,000/20,000</t>
  </si>
  <si>
    <t> 112/125</t>
  </si>
  <si>
    <t> 100,000/112,000</t>
  </si>
  <si>
    <t> 40</t>
  </si>
  <si>
    <t> 25.0/28.0</t>
  </si>
  <si>
    <t> 22,400/25,000</t>
  </si>
  <si>
    <t> 140/160</t>
  </si>
  <si>
    <t> 125,000/140,000</t>
  </si>
  <si>
    <t> 50</t>
  </si>
  <si>
    <t> 31.5/35.5</t>
  </si>
  <si>
    <t> 28,000/31,500</t>
  </si>
  <si>
    <t> 13</t>
  </si>
  <si>
    <t> 180/200</t>
  </si>
  <si>
    <t> 160,000/180,000</t>
  </si>
  <si>
    <t> 60</t>
  </si>
  <si>
    <t> 35.5/40.0</t>
  </si>
  <si>
    <t> 31,500/35,500</t>
  </si>
  <si>
    <t> 224/250</t>
  </si>
  <si>
    <t> 200,000/224,000</t>
  </si>
  <si>
    <t> 80</t>
  </si>
  <si>
    <t> 40.0/45.0</t>
  </si>
  <si>
    <t> 35,500/40,000</t>
  </si>
  <si>
    <t> 16</t>
  </si>
  <si>
    <t> 280/315</t>
  </si>
  <si>
    <t> 250,000/280,000</t>
  </si>
  <si>
    <t> 100</t>
  </si>
  <si>
    <t> 50.0/56.0</t>
  </si>
  <si>
    <t> 45,000/50,000</t>
  </si>
  <si>
    <t> 355/400</t>
  </si>
  <si>
    <t> 315,000/355,000</t>
  </si>
  <si>
    <t> 120</t>
  </si>
  <si>
    <t> 100/112</t>
  </si>
  <si>
    <t> 90,000/100,000</t>
  </si>
  <si>
    <t> 125/140</t>
  </si>
  <si>
    <t> 112,000/125,000</t>
  </si>
  <si>
    <t> 200/224</t>
  </si>
  <si>
    <t> 180,000/200,000</t>
  </si>
  <si>
    <t> 250/280</t>
  </si>
  <si>
    <t> 224,000/250,000</t>
  </si>
  <si>
    <t>コンプレッサーの更新</t>
    <phoneticPr fontId="4"/>
  </si>
  <si>
    <t>ガス消費量</t>
    <rPh sb="2" eb="5">
      <t>ショウヒリョウ</t>
    </rPh>
    <phoneticPr fontId="4"/>
  </si>
  <si>
    <t>ガス種類</t>
    <rPh sb="2" eb="4">
      <t>シュルイ</t>
    </rPh>
    <phoneticPr fontId="12"/>
  </si>
  <si>
    <t>AAA280BB</t>
    <phoneticPr fontId="4"/>
  </si>
  <si>
    <t>・削減電力量(kWh/年)＝コンプレッサー入力(ｋW)×負荷率×年間稼働時間(h/年)×軸動力低減率</t>
    <rPh sb="1" eb="3">
      <t>サクゲン</t>
    </rPh>
    <rPh sb="3" eb="5">
      <t>デンリョク</t>
    </rPh>
    <rPh sb="5" eb="6">
      <t>リョウ</t>
    </rPh>
    <rPh sb="11" eb="12">
      <t>ネン</t>
    </rPh>
    <rPh sb="21" eb="23">
      <t>ニュウリョク</t>
    </rPh>
    <rPh sb="28" eb="30">
      <t>フカ</t>
    </rPh>
    <rPh sb="30" eb="31">
      <t>リツ</t>
    </rPh>
    <rPh sb="32" eb="34">
      <t>ネンカン</t>
    </rPh>
    <rPh sb="34" eb="36">
      <t>カドウ</t>
    </rPh>
    <rPh sb="36" eb="38">
      <t>ジカン</t>
    </rPh>
    <rPh sb="41" eb="42">
      <t>ネン</t>
    </rPh>
    <rPh sb="44" eb="45">
      <t>ジク</t>
    </rPh>
    <rPh sb="45" eb="47">
      <t>ドウリョク</t>
    </rPh>
    <rPh sb="47" eb="49">
      <t>テイゲン</t>
    </rPh>
    <rPh sb="49" eb="50">
      <t>リツ</t>
    </rPh>
    <phoneticPr fontId="3"/>
  </si>
  <si>
    <t>電流値の測定からコンプレッサーの負荷率を推測する。</t>
    <rPh sb="0" eb="3">
      <t>デンリュウチ</t>
    </rPh>
    <rPh sb="4" eb="6">
      <t>ソクテイ</t>
    </rPh>
    <rPh sb="16" eb="18">
      <t>フカ</t>
    </rPh>
    <rPh sb="18" eb="19">
      <t>リツ</t>
    </rPh>
    <rPh sb="20" eb="22">
      <t>スイソク</t>
    </rPh>
    <phoneticPr fontId="3"/>
  </si>
  <si>
    <t>圧縮機の電流・圧力を測定し、使用空気量や消費電力、負荷率を把握する。</t>
    <rPh sb="0" eb="3">
      <t>アッシュクキ</t>
    </rPh>
    <rPh sb="4" eb="6">
      <t>デンリュウ</t>
    </rPh>
    <rPh sb="7" eb="9">
      <t>アツリョク</t>
    </rPh>
    <rPh sb="10" eb="12">
      <t>ソクテイ</t>
    </rPh>
    <rPh sb="14" eb="16">
      <t>シヨウ</t>
    </rPh>
    <rPh sb="16" eb="18">
      <t>クウキ</t>
    </rPh>
    <rPh sb="18" eb="19">
      <t>リョウ</t>
    </rPh>
    <rPh sb="20" eb="22">
      <t>ショウヒ</t>
    </rPh>
    <rPh sb="22" eb="24">
      <t>デンリョク</t>
    </rPh>
    <rPh sb="25" eb="27">
      <t>フカ</t>
    </rPh>
    <rPh sb="27" eb="28">
      <t>リツ</t>
    </rPh>
    <rPh sb="29" eb="31">
      <t>ハアク</t>
    </rPh>
    <phoneticPr fontId="3"/>
  </si>
  <si>
    <t>・負荷率/日</t>
    <rPh sb="1" eb="3">
      <t>フカ</t>
    </rPh>
    <rPh sb="3" eb="4">
      <t>リツ</t>
    </rPh>
    <rPh sb="5" eb="6">
      <t>ヒ</t>
    </rPh>
    <phoneticPr fontId="3"/>
  </si>
  <si>
    <t>時間</t>
    <rPh sb="0" eb="2">
      <t>ジカン</t>
    </rPh>
    <phoneticPr fontId="3"/>
  </si>
  <si>
    <t>運転時間（h）</t>
    <rPh sb="0" eb="2">
      <t>ウンテン</t>
    </rPh>
    <rPh sb="2" eb="4">
      <t>ジカン</t>
    </rPh>
    <phoneticPr fontId="3"/>
  </si>
  <si>
    <t>負荷率（％）</t>
    <rPh sb="0" eb="2">
      <t>フカ</t>
    </rPh>
    <rPh sb="2" eb="3">
      <t>リツ</t>
    </rPh>
    <phoneticPr fontId="3"/>
  </si>
  <si>
    <t>8：00～10：00</t>
    <phoneticPr fontId="3"/>
  </si>
  <si>
    <t>10：00～12：00</t>
    <phoneticPr fontId="3"/>
  </si>
  <si>
    <t>12：00～13：00</t>
    <phoneticPr fontId="3"/>
  </si>
  <si>
    <t>13：00～15：00</t>
    <phoneticPr fontId="3"/>
  </si>
  <si>
    <t>15：00～19：00</t>
    <phoneticPr fontId="3"/>
  </si>
  <si>
    <t>合計</t>
    <rPh sb="0" eb="2">
      <t>ゴウケイ</t>
    </rPh>
    <phoneticPr fontId="3"/>
  </si>
  <si>
    <t>ー</t>
    <phoneticPr fontId="3"/>
  </si>
  <si>
    <t>★コンプレッサー</t>
    <phoneticPr fontId="3"/>
  </si>
  <si>
    <t>・改善前の負荷率・消費電力</t>
    <rPh sb="1" eb="3">
      <t>カイゼン</t>
    </rPh>
    <rPh sb="3" eb="4">
      <t>マエ</t>
    </rPh>
    <rPh sb="5" eb="7">
      <t>フカ</t>
    </rPh>
    <rPh sb="7" eb="8">
      <t>リツ</t>
    </rPh>
    <rPh sb="9" eb="11">
      <t>ショウヒ</t>
    </rPh>
    <rPh sb="11" eb="13">
      <t>デンリョク</t>
    </rPh>
    <phoneticPr fontId="3"/>
  </si>
  <si>
    <t>負荷率</t>
    <rPh sb="0" eb="2">
      <t>フカ</t>
    </rPh>
    <rPh sb="2" eb="3">
      <t>リツ</t>
    </rPh>
    <phoneticPr fontId="3"/>
  </si>
  <si>
    <t>空気量</t>
    <rPh sb="0" eb="2">
      <t>クウキ</t>
    </rPh>
    <rPh sb="2" eb="3">
      <t>リョウ</t>
    </rPh>
    <phoneticPr fontId="3"/>
  </si>
  <si>
    <t>1日当たりの消費電力（kWh）</t>
    <rPh sb="1" eb="2">
      <t>ニチ</t>
    </rPh>
    <rPh sb="2" eb="3">
      <t>ア</t>
    </rPh>
    <rPh sb="6" eb="8">
      <t>ショウヒ</t>
    </rPh>
    <rPh sb="8" eb="10">
      <t>デンリョク</t>
    </rPh>
    <phoneticPr fontId="3"/>
  </si>
  <si>
    <t>(%)</t>
    <phoneticPr fontId="3"/>
  </si>
  <si>
    <t>(㎥/min）</t>
    <phoneticPr fontId="3"/>
  </si>
  <si>
    <t>40.4×4×0.94</t>
    <phoneticPr fontId="3"/>
  </si>
  <si>
    <t>U1(37kW)</t>
    <phoneticPr fontId="3"/>
  </si>
  <si>
    <t>U2(37kW)</t>
    <phoneticPr fontId="3"/>
  </si>
  <si>
    <t>合計(kWh)</t>
    <rPh sb="0" eb="2">
      <t>ゴウケイ</t>
    </rPh>
    <phoneticPr fontId="3"/>
  </si>
  <si>
    <t>40.4×4×0.61</t>
    <phoneticPr fontId="3"/>
  </si>
  <si>
    <t>40.4×4×1.0</t>
    <phoneticPr fontId="3"/>
  </si>
  <si>
    <t>・改善後の負荷率・消費電力</t>
    <rPh sb="1" eb="3">
      <t>カイゼン</t>
    </rPh>
    <rPh sb="3" eb="4">
      <t>ゴ</t>
    </rPh>
    <rPh sb="5" eb="7">
      <t>フカ</t>
    </rPh>
    <rPh sb="7" eb="8">
      <t>リツ</t>
    </rPh>
    <rPh sb="9" eb="11">
      <t>ショウヒ</t>
    </rPh>
    <rPh sb="11" eb="13">
      <t>デンリョク</t>
    </rPh>
    <phoneticPr fontId="3"/>
  </si>
  <si>
    <t>　　　理想的な動力特性となる。</t>
    <rPh sb="3" eb="6">
      <t>リソウテキ</t>
    </rPh>
    <rPh sb="7" eb="9">
      <t>ドウリョク</t>
    </rPh>
    <rPh sb="9" eb="11">
      <t>トクセイ</t>
    </rPh>
    <phoneticPr fontId="3"/>
  </si>
  <si>
    <t>（例１）現状コンプレッサー2台で台数制御運転を行っているが、1台をインバータ機に帰ることで</t>
    <rPh sb="1" eb="2">
      <t>レイ</t>
    </rPh>
    <rPh sb="4" eb="6">
      <t>ゲンジョウ</t>
    </rPh>
    <rPh sb="14" eb="15">
      <t>ダイ</t>
    </rPh>
    <rPh sb="16" eb="18">
      <t>ダイスウ</t>
    </rPh>
    <rPh sb="18" eb="20">
      <t>セイギョ</t>
    </rPh>
    <rPh sb="20" eb="22">
      <t>ウンテン</t>
    </rPh>
    <rPh sb="23" eb="24">
      <t>オコナ</t>
    </rPh>
    <rPh sb="31" eb="32">
      <t>ダイ</t>
    </rPh>
    <rPh sb="38" eb="39">
      <t>キ</t>
    </rPh>
    <rPh sb="40" eb="41">
      <t>カエ</t>
    </rPh>
    <phoneticPr fontId="3"/>
  </si>
  <si>
    <t>AA1（例）</t>
    <rPh sb="4" eb="5">
      <t>レイ</t>
    </rPh>
    <phoneticPr fontId="3"/>
  </si>
  <si>
    <t>制御方式</t>
    <rPh sb="0" eb="2">
      <t>セイギョ</t>
    </rPh>
    <rPh sb="2" eb="4">
      <t>ホウシキ</t>
    </rPh>
    <phoneticPr fontId="3"/>
  </si>
  <si>
    <t>ANEW1（例）</t>
    <rPh sb="6" eb="7">
      <t>レイ</t>
    </rPh>
    <phoneticPr fontId="3"/>
  </si>
  <si>
    <t>t-CO₂/年</t>
    <rPh sb="6" eb="7">
      <t>ネン</t>
    </rPh>
    <phoneticPr fontId="3"/>
  </si>
  <si>
    <t>％</t>
    <phoneticPr fontId="3"/>
  </si>
  <si>
    <t>＊負荷率</t>
    <rPh sb="1" eb="3">
      <t>フカ</t>
    </rPh>
    <rPh sb="3" eb="4">
      <t>リツ</t>
    </rPh>
    <phoneticPr fontId="3"/>
  </si>
  <si>
    <t>機種№</t>
    <rPh sb="0" eb="2">
      <t>キシュ</t>
    </rPh>
    <phoneticPr fontId="4"/>
  </si>
  <si>
    <t>動力比</t>
    <rPh sb="0" eb="2">
      <t>ドウリョク</t>
    </rPh>
    <rPh sb="2" eb="3">
      <t>ヒ</t>
    </rPh>
    <phoneticPr fontId="4"/>
  </si>
  <si>
    <t>使用空気量</t>
    <rPh sb="0" eb="2">
      <t>シヨウ</t>
    </rPh>
    <rPh sb="2" eb="4">
      <t>クウキ</t>
    </rPh>
    <rPh sb="4" eb="5">
      <t>リョウ</t>
    </rPh>
    <phoneticPr fontId="4"/>
  </si>
  <si>
    <t>現状</t>
    <rPh sb="0" eb="2">
      <t>ゲンジョウ</t>
    </rPh>
    <phoneticPr fontId="12"/>
  </si>
  <si>
    <t>吸込み絞り</t>
    <rPh sb="0" eb="1">
      <t>ス</t>
    </rPh>
    <rPh sb="1" eb="2">
      <t>コ</t>
    </rPh>
    <rPh sb="3" eb="4">
      <t>シボ</t>
    </rPh>
    <phoneticPr fontId="7"/>
  </si>
  <si>
    <t>吸込み絞り</t>
    <rPh sb="0" eb="1">
      <t>ス</t>
    </rPh>
    <rPh sb="1" eb="2">
      <t>コ</t>
    </rPh>
    <rPh sb="3" eb="4">
      <t>シボ</t>
    </rPh>
    <phoneticPr fontId="12"/>
  </si>
  <si>
    <t>吸込み絞り＋パージ</t>
    <rPh sb="0" eb="2">
      <t>スイコ</t>
    </rPh>
    <rPh sb="3" eb="4">
      <t>シボ</t>
    </rPh>
    <phoneticPr fontId="7"/>
  </si>
  <si>
    <t>吸込み絞り＋パージ</t>
    <rPh sb="0" eb="2">
      <t>スイコ</t>
    </rPh>
    <rPh sb="3" eb="4">
      <t>シボ</t>
    </rPh>
    <phoneticPr fontId="12"/>
  </si>
  <si>
    <t>吸込み絞り＋パージ+自動発停</t>
    <rPh sb="0" eb="2">
      <t>スイコ</t>
    </rPh>
    <rPh sb="3" eb="4">
      <t>シボ</t>
    </rPh>
    <rPh sb="10" eb="12">
      <t>ジドウ</t>
    </rPh>
    <rPh sb="12" eb="14">
      <t>ハッテイ</t>
    </rPh>
    <phoneticPr fontId="7"/>
  </si>
  <si>
    <t>吸込み絞り＋パージ+自動発停</t>
    <rPh sb="0" eb="2">
      <t>スイコ</t>
    </rPh>
    <rPh sb="3" eb="4">
      <t>シボ</t>
    </rPh>
    <rPh sb="10" eb="12">
      <t>ジドウ</t>
    </rPh>
    <rPh sb="12" eb="14">
      <t>ハッテイ</t>
    </rPh>
    <phoneticPr fontId="12"/>
  </si>
  <si>
    <t>ロード/アンロード</t>
  </si>
  <si>
    <t>スライド弁</t>
    <rPh sb="4" eb="5">
      <t>ベン</t>
    </rPh>
    <phoneticPr fontId="7"/>
  </si>
  <si>
    <t>スライド弁</t>
    <rPh sb="4" eb="5">
      <t>ベン</t>
    </rPh>
    <phoneticPr fontId="12"/>
  </si>
  <si>
    <t>インバータ</t>
  </si>
  <si>
    <t>ロード/アンロード近似式</t>
    <rPh sb="9" eb="12">
      <t>キンジシキ</t>
    </rPh>
    <phoneticPr fontId="12"/>
  </si>
  <si>
    <t>Y = 0.73 X  +  0.3267</t>
    <phoneticPr fontId="12"/>
  </si>
  <si>
    <t>Y =  -0.5 X＾2 + 1.23 X + 0.26</t>
    <phoneticPr fontId="12"/>
  </si>
  <si>
    <t>温度</t>
    <rPh sb="0" eb="2">
      <t>オンド</t>
    </rPh>
    <phoneticPr fontId="4"/>
  </si>
  <si>
    <t>差</t>
    <rPh sb="0" eb="1">
      <t>サ</t>
    </rPh>
    <phoneticPr fontId="4"/>
  </si>
  <si>
    <t>１００％負荷と停止状態を繰り返す(小型のレシプロ機など）</t>
    <rPh sb="4" eb="6">
      <t>フカ</t>
    </rPh>
    <rPh sb="7" eb="9">
      <t>テイシ</t>
    </rPh>
    <rPh sb="9" eb="11">
      <t>ジョウタイ</t>
    </rPh>
    <rPh sb="12" eb="13">
      <t>ク</t>
    </rPh>
    <rPh sb="14" eb="15">
      <t>カエ</t>
    </rPh>
    <rPh sb="17" eb="19">
      <t>コガタ</t>
    </rPh>
    <rPh sb="24" eb="25">
      <t>キ</t>
    </rPh>
    <phoneticPr fontId="3"/>
  </si>
  <si>
    <t>①</t>
    <phoneticPr fontId="3"/>
  </si>
  <si>
    <t>②</t>
    <phoneticPr fontId="3"/>
  </si>
  <si>
    <t>③</t>
    <phoneticPr fontId="3"/>
  </si>
  <si>
    <t>④</t>
    <phoneticPr fontId="3"/>
  </si>
  <si>
    <t>⑤</t>
    <phoneticPr fontId="3"/>
  </si>
  <si>
    <t>⑥</t>
    <phoneticPr fontId="3"/>
  </si>
  <si>
    <t>⑦</t>
    <phoneticPr fontId="3"/>
  </si>
  <si>
    <t>②＋パージ運転（油冷スクリュー機）</t>
    <rPh sb="5" eb="7">
      <t>ウンテン</t>
    </rPh>
    <phoneticPr fontId="3"/>
  </si>
  <si>
    <t>②＋パージ運転＋自動発停（油冷スクリュー機）</t>
    <rPh sb="5" eb="7">
      <t>ウンテン</t>
    </rPh>
    <rPh sb="8" eb="10">
      <t>ジドウ</t>
    </rPh>
    <rPh sb="10" eb="12">
      <t>ハッテイ</t>
    </rPh>
    <phoneticPr fontId="3"/>
  </si>
  <si>
    <t>ケーシングの一部をスライドさせロータ室の容量を調整(大型油冷スクリュー機）</t>
    <rPh sb="6" eb="8">
      <t>イチブ</t>
    </rPh>
    <rPh sb="18" eb="19">
      <t>シツ</t>
    </rPh>
    <rPh sb="20" eb="22">
      <t>ヨウリョウ</t>
    </rPh>
    <rPh sb="23" eb="25">
      <t>チョウセイ</t>
    </rPh>
    <rPh sb="26" eb="28">
      <t>オオガタ</t>
    </rPh>
    <rPh sb="28" eb="30">
      <t>ユレイ</t>
    </rPh>
    <rPh sb="35" eb="36">
      <t>キ</t>
    </rPh>
    <phoneticPr fontId="3"/>
  </si>
  <si>
    <t>モータの回転速度を制御し容量制御、自動発停(スクリュー機全般）</t>
    <rPh sb="4" eb="6">
      <t>カイテン</t>
    </rPh>
    <rPh sb="6" eb="8">
      <t>ソクド</t>
    </rPh>
    <rPh sb="9" eb="11">
      <t>セイギョ</t>
    </rPh>
    <rPh sb="12" eb="14">
      <t>ヨウリョウ</t>
    </rPh>
    <rPh sb="14" eb="16">
      <t>セイギョ</t>
    </rPh>
    <rPh sb="17" eb="19">
      <t>ジドウ</t>
    </rPh>
    <rPh sb="19" eb="21">
      <t>ハッテイ</t>
    </rPh>
    <rPh sb="27" eb="28">
      <t>キ</t>
    </rPh>
    <rPh sb="28" eb="30">
      <t>ゼンパン</t>
    </rPh>
    <phoneticPr fontId="3"/>
  </si>
  <si>
    <t>吸込み絞り弁を無段階に開閉し、吸込み空気量を調査（油冷スクリュー機）</t>
    <rPh sb="0" eb="2">
      <t>スイコ</t>
    </rPh>
    <rPh sb="3" eb="4">
      <t>シボ</t>
    </rPh>
    <rPh sb="5" eb="6">
      <t>ベン</t>
    </rPh>
    <rPh sb="7" eb="8">
      <t>ム</t>
    </rPh>
    <rPh sb="8" eb="10">
      <t>ダンカイ</t>
    </rPh>
    <rPh sb="11" eb="13">
      <t>カイヘイ</t>
    </rPh>
    <rPh sb="15" eb="17">
      <t>スイコ</t>
    </rPh>
    <rPh sb="18" eb="20">
      <t>クウキ</t>
    </rPh>
    <rPh sb="20" eb="21">
      <t>リョウ</t>
    </rPh>
    <rPh sb="22" eb="24">
      <t>チョウサ</t>
    </rPh>
    <rPh sb="25" eb="27">
      <t>ユレイ</t>
    </rPh>
    <rPh sb="32" eb="33">
      <t>キ</t>
    </rPh>
    <phoneticPr fontId="3"/>
  </si>
  <si>
    <t>吸込み絞り弁を全開/全閉にて吸込み空気量を調整(オイルフリースクリュー、大型レシプロ）</t>
    <rPh sb="7" eb="9">
      <t>ゼンカイ</t>
    </rPh>
    <rPh sb="10" eb="12">
      <t>ゼンペイ</t>
    </rPh>
    <rPh sb="14" eb="15">
      <t>ス</t>
    </rPh>
    <rPh sb="15" eb="16">
      <t>コ</t>
    </rPh>
    <rPh sb="17" eb="19">
      <t>クウキ</t>
    </rPh>
    <rPh sb="19" eb="20">
      <t>リョウ</t>
    </rPh>
    <rPh sb="21" eb="23">
      <t>チョウセイ</t>
    </rPh>
    <rPh sb="36" eb="38">
      <t>オオガタ</t>
    </rPh>
    <phoneticPr fontId="3"/>
  </si>
  <si>
    <t>圧力開閉（レシプロ機)</t>
    <rPh sb="0" eb="2">
      <t>アツリョク</t>
    </rPh>
    <rPh sb="2" eb="4">
      <t>カイヘイ</t>
    </rPh>
    <rPh sb="9" eb="10">
      <t>キ</t>
    </rPh>
    <phoneticPr fontId="3"/>
  </si>
  <si>
    <t>%</t>
    <phoneticPr fontId="3"/>
  </si>
  <si>
    <t>プルダウンで選択</t>
    <rPh sb="6" eb="8">
      <t>センタク</t>
    </rPh>
    <phoneticPr fontId="3"/>
  </si>
  <si>
    <t>年間消費電力量⑧</t>
    <rPh sb="0" eb="2">
      <t>ネンカン</t>
    </rPh>
    <rPh sb="2" eb="4">
      <t>ショウヒ</t>
    </rPh>
    <rPh sb="4" eb="6">
      <t>デンリョク</t>
    </rPh>
    <rPh sb="6" eb="7">
      <t>リョウ</t>
    </rPh>
    <phoneticPr fontId="4"/>
  </si>
  <si>
    <t>年間CO₂排出量⑨</t>
    <rPh sb="0" eb="2">
      <t>ネンカン</t>
    </rPh>
    <rPh sb="5" eb="7">
      <t>ハイシュツ</t>
    </rPh>
    <rPh sb="7" eb="8">
      <t>リョウ</t>
    </rPh>
    <phoneticPr fontId="3"/>
  </si>
  <si>
    <t>方式の説明</t>
    <rPh sb="0" eb="2">
      <t>ホウシキ</t>
    </rPh>
    <rPh sb="3" eb="5">
      <t>セツメイ</t>
    </rPh>
    <phoneticPr fontId="3"/>
  </si>
  <si>
    <t>対象制御方式</t>
    <rPh sb="0" eb="2">
      <t>タイショウ</t>
    </rPh>
    <rPh sb="2" eb="4">
      <t>セイギョ</t>
    </rPh>
    <rPh sb="4" eb="6">
      <t>ホウシキ</t>
    </rPh>
    <phoneticPr fontId="3"/>
  </si>
  <si>
    <t>１．削減結果</t>
    <rPh sb="2" eb="4">
      <t>サクゲン</t>
    </rPh>
    <rPh sb="4" eb="6">
      <t>ケッカ</t>
    </rPh>
    <phoneticPr fontId="3"/>
  </si>
  <si>
    <t>２．機種別内訳及び計算表</t>
    <rPh sb="2" eb="5">
      <t>キシュベツ</t>
    </rPh>
    <rPh sb="5" eb="7">
      <t>ウチワケ</t>
    </rPh>
    <rPh sb="7" eb="8">
      <t>オヨ</t>
    </rPh>
    <rPh sb="9" eb="11">
      <t>ケイサン</t>
    </rPh>
    <rPh sb="11" eb="12">
      <t>ヒョウ</t>
    </rPh>
    <phoneticPr fontId="4"/>
  </si>
  <si>
    <t>３．出力判定</t>
    <rPh sb="2" eb="3">
      <t>デ</t>
    </rPh>
    <rPh sb="3" eb="4">
      <t>リョク</t>
    </rPh>
    <rPh sb="4" eb="6">
      <t>ハンテイ</t>
    </rPh>
    <phoneticPr fontId="3"/>
  </si>
  <si>
    <r>
      <t>※</t>
    </r>
    <r>
      <rPr>
        <sz val="11"/>
        <color rgb="FF000000"/>
        <rFont val="游ゴシック"/>
        <family val="3"/>
        <charset val="128"/>
      </rPr>
      <t>定格出力の増加は原則認められません</t>
    </r>
  </si>
  <si>
    <t>《参考》制御方式の説明</t>
    <rPh sb="1" eb="3">
      <t>サンコウ</t>
    </rPh>
    <rPh sb="4" eb="6">
      <t>セイギョ</t>
    </rPh>
    <rPh sb="6" eb="8">
      <t>ホウシキ</t>
    </rPh>
    <rPh sb="9" eb="11">
      <t>セツメイ</t>
    </rPh>
    <phoneticPr fontId="3"/>
  </si>
  <si>
    <t>年間稼働時間)①</t>
    <rPh sb="2" eb="6">
      <t>カドウジカン</t>
    </rPh>
    <phoneticPr fontId="4"/>
  </si>
  <si>
    <t>年間消費電力量④</t>
    <rPh sb="0" eb="2">
      <t>ネンカン</t>
    </rPh>
    <rPh sb="2" eb="4">
      <t>ショウヒ</t>
    </rPh>
    <rPh sb="4" eb="6">
      <t>デンリョク</t>
    </rPh>
    <rPh sb="6" eb="7">
      <t>リョウ</t>
    </rPh>
    <phoneticPr fontId="4"/>
  </si>
  <si>
    <t>年間CO₂排出量⑤</t>
    <rPh sb="0" eb="2">
      <t>ネンカン</t>
    </rPh>
    <rPh sb="5" eb="7">
      <t>ハイシュツ</t>
    </rPh>
    <rPh sb="7" eb="8">
      <t>リョウ</t>
    </rPh>
    <phoneticPr fontId="3"/>
  </si>
  <si>
    <t>電力削減量（④－⑧）</t>
    <rPh sb="0" eb="2">
      <t>デンリョク</t>
    </rPh>
    <rPh sb="2" eb="5">
      <t>サクゲンリョウ</t>
    </rPh>
    <phoneticPr fontId="4"/>
  </si>
  <si>
    <t>CO2削減量（⑤－⑨）</t>
    <rPh sb="3" eb="6">
      <t>サクゲンリョウ</t>
    </rPh>
    <phoneticPr fontId="4"/>
  </si>
  <si>
    <t>例</t>
    <rPh sb="0" eb="1">
      <t>レイ</t>
    </rPh>
    <phoneticPr fontId="4"/>
  </si>
  <si>
    <t>1961年</t>
    <rPh sb="4" eb="5">
      <t>ネン</t>
    </rPh>
    <phoneticPr fontId="4"/>
  </si>
  <si>
    <t>1962年</t>
    <rPh sb="4" eb="5">
      <t>ネン</t>
    </rPh>
    <phoneticPr fontId="4"/>
  </si>
  <si>
    <t xml:space="preserve"> (下表の負荷率欄に数値を選択します。設備の劣化は計算に反映されません。）</t>
    <rPh sb="2" eb="3">
      <t>シタ</t>
    </rPh>
    <rPh sb="3" eb="4">
      <t>ヒョウ</t>
    </rPh>
    <rPh sb="5" eb="7">
      <t>フカ</t>
    </rPh>
    <rPh sb="7" eb="8">
      <t>リツ</t>
    </rPh>
    <rPh sb="8" eb="9">
      <t>ラン</t>
    </rPh>
    <rPh sb="10" eb="12">
      <t>スウチ</t>
    </rPh>
    <rPh sb="13" eb="15">
      <t>センタク</t>
    </rPh>
    <rPh sb="19" eb="21">
      <t>セツビ</t>
    </rPh>
    <rPh sb="22" eb="24">
      <t>レッカ</t>
    </rPh>
    <rPh sb="25" eb="27">
      <t>ケイサン</t>
    </rPh>
    <rPh sb="28" eb="30">
      <t>ハンエイ</t>
    </rPh>
    <phoneticPr fontId="4"/>
  </si>
  <si>
    <t>1963年</t>
    <rPh sb="4" eb="5">
      <t>ネン</t>
    </rPh>
    <phoneticPr fontId="4"/>
  </si>
  <si>
    <t>1964年</t>
    <rPh sb="4" eb="5">
      <t>ネン</t>
    </rPh>
    <phoneticPr fontId="4"/>
  </si>
  <si>
    <t>1965年</t>
    <rPh sb="4" eb="5">
      <t>ネン</t>
    </rPh>
    <phoneticPr fontId="4"/>
  </si>
  <si>
    <t>負荷率</t>
    <rPh sb="0" eb="2">
      <t>フカ</t>
    </rPh>
    <rPh sb="2" eb="3">
      <t>リツ</t>
    </rPh>
    <phoneticPr fontId="4"/>
  </si>
  <si>
    <t>1966年</t>
    <rPh sb="4" eb="5">
      <t>ネン</t>
    </rPh>
    <phoneticPr fontId="4"/>
  </si>
  <si>
    <t>COP補正</t>
    <rPh sb="3" eb="5">
      <t>ホセイ</t>
    </rPh>
    <phoneticPr fontId="4"/>
  </si>
  <si>
    <t>1967年</t>
    <rPh sb="4" eb="5">
      <t>ネン</t>
    </rPh>
    <phoneticPr fontId="4"/>
  </si>
  <si>
    <t>ＪＩＳＢ8616より</t>
    <phoneticPr fontId="4"/>
  </si>
  <si>
    <t>1968年</t>
    <rPh sb="4" eb="5">
      <t>ネン</t>
    </rPh>
    <phoneticPr fontId="4"/>
  </si>
  <si>
    <t>1969年</t>
    <rPh sb="4" eb="5">
      <t>ネン</t>
    </rPh>
    <phoneticPr fontId="4"/>
  </si>
  <si>
    <t>冷房</t>
    <rPh sb="0" eb="2">
      <t>レイボウ</t>
    </rPh>
    <phoneticPr fontId="12"/>
  </si>
  <si>
    <t>暖房</t>
    <rPh sb="0" eb="2">
      <t>ダンボウ</t>
    </rPh>
    <phoneticPr fontId="12"/>
  </si>
  <si>
    <t>採用値１</t>
    <rPh sb="0" eb="2">
      <t>サイヨウ</t>
    </rPh>
    <rPh sb="2" eb="3">
      <t>チ</t>
    </rPh>
    <phoneticPr fontId="4"/>
  </si>
  <si>
    <t>取得値</t>
    <rPh sb="0" eb="2">
      <t>シュトク</t>
    </rPh>
    <rPh sb="2" eb="3">
      <t>トクネ</t>
    </rPh>
    <phoneticPr fontId="4"/>
  </si>
  <si>
    <t>採用値２</t>
    <rPh sb="0" eb="2">
      <t>サイヨウ</t>
    </rPh>
    <rPh sb="2" eb="3">
      <t>チ</t>
    </rPh>
    <phoneticPr fontId="4"/>
  </si>
  <si>
    <t>1970年</t>
    <rPh sb="4" eb="5">
      <t>ネン</t>
    </rPh>
    <phoneticPr fontId="4"/>
  </si>
  <si>
    <t>8月</t>
  </si>
  <si>
    <t>1971年</t>
    <rPh sb="4" eb="5">
      <t>ネン</t>
    </rPh>
    <phoneticPr fontId="4"/>
  </si>
  <si>
    <t>7月</t>
  </si>
  <si>
    <t>1972年</t>
    <rPh sb="4" eb="5">
      <t>ネン</t>
    </rPh>
    <phoneticPr fontId="4"/>
  </si>
  <si>
    <t>9月</t>
  </si>
  <si>
    <t>1973年</t>
    <rPh sb="4" eb="5">
      <t>ネン</t>
    </rPh>
    <phoneticPr fontId="4"/>
  </si>
  <si>
    <t>1月</t>
  </si>
  <si>
    <t>1974年</t>
    <rPh sb="4" eb="5">
      <t>ネン</t>
    </rPh>
    <phoneticPr fontId="4"/>
  </si>
  <si>
    <t>2月</t>
  </si>
  <si>
    <t>1975年</t>
    <rPh sb="4" eb="5">
      <t>ネン</t>
    </rPh>
    <phoneticPr fontId="4"/>
  </si>
  <si>
    <t>6月</t>
  </si>
  <si>
    <t>1976年</t>
    <rPh sb="4" eb="5">
      <t>ネン</t>
    </rPh>
    <phoneticPr fontId="4"/>
  </si>
  <si>
    <t>12月</t>
  </si>
  <si>
    <t>1977年</t>
    <rPh sb="4" eb="5">
      <t>ネン</t>
    </rPh>
    <phoneticPr fontId="4"/>
  </si>
  <si>
    <t>3月</t>
  </si>
  <si>
    <t>1978年</t>
    <rPh sb="4" eb="5">
      <t>ネン</t>
    </rPh>
    <phoneticPr fontId="4"/>
  </si>
  <si>
    <t>5月</t>
  </si>
  <si>
    <t>1979年</t>
    <rPh sb="4" eb="5">
      <t>ネン</t>
    </rPh>
    <phoneticPr fontId="4"/>
  </si>
  <si>
    <t>10月</t>
  </si>
  <si>
    <t>1980年</t>
    <rPh sb="4" eb="5">
      <t>ネン</t>
    </rPh>
    <phoneticPr fontId="4"/>
  </si>
  <si>
    <t>11月</t>
  </si>
  <si>
    <t>1981年</t>
    <rPh sb="4" eb="5">
      <t>ネン</t>
    </rPh>
    <phoneticPr fontId="4"/>
  </si>
  <si>
    <t>4月</t>
    <rPh sb="1" eb="2">
      <t>ガツ</t>
    </rPh>
    <phoneticPr fontId="4"/>
  </si>
  <si>
    <t>1982年</t>
    <rPh sb="4" eb="5">
      <t>ネン</t>
    </rPh>
    <phoneticPr fontId="4"/>
  </si>
  <si>
    <t>年平均</t>
    <rPh sb="0" eb="1">
      <t>ネン</t>
    </rPh>
    <rPh sb="1" eb="3">
      <t>ヘイキン</t>
    </rPh>
    <phoneticPr fontId="4"/>
  </si>
  <si>
    <t>1983年</t>
    <rPh sb="4" eb="5">
      <t>ネン</t>
    </rPh>
    <phoneticPr fontId="4"/>
  </si>
  <si>
    <t>1984年</t>
    <rPh sb="4" eb="5">
      <t>ネン</t>
    </rPh>
    <phoneticPr fontId="4"/>
  </si>
  <si>
    <t>1985年</t>
    <rPh sb="4" eb="5">
      <t>ネン</t>
    </rPh>
    <phoneticPr fontId="4"/>
  </si>
  <si>
    <t>一定速</t>
    <rPh sb="0" eb="2">
      <t>イッテイ</t>
    </rPh>
    <rPh sb="2" eb="3">
      <t>ソク</t>
    </rPh>
    <phoneticPr fontId="4"/>
  </si>
  <si>
    <t>1986年</t>
    <rPh sb="4" eb="5">
      <t>ネン</t>
    </rPh>
    <phoneticPr fontId="4"/>
  </si>
  <si>
    <t>INV</t>
  </si>
  <si>
    <t>平均COP計数表ａ</t>
    <rPh sb="0" eb="2">
      <t>ヘイキン</t>
    </rPh>
    <rPh sb="5" eb="7">
      <t>ケイスウ</t>
    </rPh>
    <rPh sb="7" eb="8">
      <t>ピョウ</t>
    </rPh>
    <phoneticPr fontId="12"/>
  </si>
  <si>
    <t>平均COP計数表b</t>
    <rPh sb="0" eb="2">
      <t>ヘイキン</t>
    </rPh>
    <rPh sb="5" eb="7">
      <t>ケイスウ</t>
    </rPh>
    <rPh sb="7" eb="8">
      <t>ピョウ</t>
    </rPh>
    <phoneticPr fontId="12"/>
  </si>
  <si>
    <t>平均COP計数表ｂ</t>
    <rPh sb="0" eb="2">
      <t>ヘイキン</t>
    </rPh>
    <rPh sb="5" eb="7">
      <t>ケイスウ</t>
    </rPh>
    <rPh sb="7" eb="8">
      <t>ピョウ</t>
    </rPh>
    <phoneticPr fontId="12"/>
  </si>
  <si>
    <t>1987年</t>
    <rPh sb="4" eb="5">
      <t>ネン</t>
    </rPh>
    <phoneticPr fontId="4"/>
  </si>
  <si>
    <t>冷暖房平均</t>
    <rPh sb="0" eb="3">
      <t>レイダンボウ</t>
    </rPh>
    <rPh sb="3" eb="5">
      <t>ヘイキン</t>
    </rPh>
    <phoneticPr fontId="4"/>
  </si>
  <si>
    <t>1988年</t>
    <rPh sb="4" eb="5">
      <t>ネン</t>
    </rPh>
    <phoneticPr fontId="4"/>
  </si>
  <si>
    <t>25%未満</t>
    <rPh sb="3" eb="5">
      <t>ミマン</t>
    </rPh>
    <phoneticPr fontId="12"/>
  </si>
  <si>
    <t>25%以上</t>
    <rPh sb="3" eb="5">
      <t>イジョウ</t>
    </rPh>
    <phoneticPr fontId="12"/>
  </si>
  <si>
    <t>1989年</t>
    <rPh sb="4" eb="5">
      <t>ネン</t>
    </rPh>
    <phoneticPr fontId="4"/>
  </si>
  <si>
    <t>1995年以前</t>
    <rPh sb="4" eb="5">
      <t>ネン</t>
    </rPh>
    <rPh sb="5" eb="7">
      <t>イゼン</t>
    </rPh>
    <phoneticPr fontId="4"/>
  </si>
  <si>
    <t>1990年</t>
    <rPh sb="4" eb="5">
      <t>ネン</t>
    </rPh>
    <phoneticPr fontId="4"/>
  </si>
  <si>
    <t>1996年</t>
    <rPh sb="4" eb="5">
      <t>ネン</t>
    </rPh>
    <phoneticPr fontId="4"/>
  </si>
  <si>
    <t>1991年</t>
    <rPh sb="4" eb="5">
      <t>ネン</t>
    </rPh>
    <phoneticPr fontId="4"/>
  </si>
  <si>
    <t>1997年</t>
    <rPh sb="4" eb="5">
      <t>ネン</t>
    </rPh>
    <phoneticPr fontId="4"/>
  </si>
  <si>
    <t>1992年</t>
    <rPh sb="4" eb="5">
      <t>ネン</t>
    </rPh>
    <phoneticPr fontId="4"/>
  </si>
  <si>
    <t>1998年</t>
    <rPh sb="4" eb="5">
      <t>ネン</t>
    </rPh>
    <phoneticPr fontId="4"/>
  </si>
  <si>
    <t>1993年</t>
    <rPh sb="4" eb="5">
      <t>ネン</t>
    </rPh>
    <phoneticPr fontId="4"/>
  </si>
  <si>
    <t>1999年</t>
    <rPh sb="4" eb="5">
      <t>ネン</t>
    </rPh>
    <phoneticPr fontId="4"/>
  </si>
  <si>
    <t>1994年</t>
    <rPh sb="4" eb="5">
      <t>ネン</t>
    </rPh>
    <phoneticPr fontId="4"/>
  </si>
  <si>
    <t>2000年</t>
    <rPh sb="4" eb="5">
      <t>ネン</t>
    </rPh>
    <phoneticPr fontId="4"/>
  </si>
  <si>
    <t>不明</t>
    <rPh sb="0" eb="2">
      <t>フメイ</t>
    </rPh>
    <phoneticPr fontId="4"/>
  </si>
  <si>
    <t>2001年</t>
    <rPh sb="4" eb="5">
      <t>ネン</t>
    </rPh>
    <phoneticPr fontId="4"/>
  </si>
  <si>
    <t>2002年</t>
    <rPh sb="4" eb="5">
      <t>ネン</t>
    </rPh>
    <phoneticPr fontId="4"/>
  </si>
  <si>
    <t>2003年</t>
    <rPh sb="4" eb="5">
      <t>ネン</t>
    </rPh>
    <phoneticPr fontId="4"/>
  </si>
  <si>
    <t>2004年</t>
    <rPh sb="4" eb="5">
      <t>ネン</t>
    </rPh>
    <phoneticPr fontId="4"/>
  </si>
  <si>
    <t>2005年</t>
    <rPh sb="4" eb="5">
      <t>ネン</t>
    </rPh>
    <phoneticPr fontId="4"/>
  </si>
  <si>
    <t>2006年</t>
    <rPh sb="4" eb="5">
      <t>ネン</t>
    </rPh>
    <phoneticPr fontId="4"/>
  </si>
  <si>
    <t>2007年</t>
    <rPh sb="4" eb="5">
      <t>ネン</t>
    </rPh>
    <phoneticPr fontId="4"/>
  </si>
  <si>
    <t>2008年</t>
    <rPh sb="4" eb="5">
      <t>ネン</t>
    </rPh>
    <phoneticPr fontId="4"/>
  </si>
  <si>
    <t>2009年</t>
    <rPh sb="4" eb="5">
      <t>ネン</t>
    </rPh>
    <phoneticPr fontId="4"/>
  </si>
  <si>
    <t>2010年</t>
    <rPh sb="4" eb="5">
      <t>ネン</t>
    </rPh>
    <phoneticPr fontId="4"/>
  </si>
  <si>
    <t>2011年</t>
    <rPh sb="4" eb="5">
      <t>ネン</t>
    </rPh>
    <phoneticPr fontId="4"/>
  </si>
  <si>
    <t>2012年</t>
    <rPh sb="4" eb="5">
      <t>ネン</t>
    </rPh>
    <phoneticPr fontId="4"/>
  </si>
  <si>
    <t>2013年</t>
    <rPh sb="4" eb="5">
      <t>ネン</t>
    </rPh>
    <phoneticPr fontId="4"/>
  </si>
  <si>
    <t>2014年</t>
    <rPh sb="4" eb="5">
      <t>ネン</t>
    </rPh>
    <phoneticPr fontId="4"/>
  </si>
  <si>
    <t>2015年以降</t>
    <rPh sb="4" eb="5">
      <t>ネン</t>
    </rPh>
    <rPh sb="5" eb="7">
      <t>イコウ</t>
    </rPh>
    <phoneticPr fontId="4"/>
  </si>
  <si>
    <t>2016年</t>
    <rPh sb="4" eb="5">
      <t>ネン</t>
    </rPh>
    <phoneticPr fontId="4"/>
  </si>
  <si>
    <t>2017年</t>
    <rPh sb="4" eb="5">
      <t>ネン</t>
    </rPh>
    <phoneticPr fontId="4"/>
  </si>
  <si>
    <t>2018年</t>
    <rPh sb="4" eb="5">
      <t>ネン</t>
    </rPh>
    <phoneticPr fontId="4"/>
  </si>
  <si>
    <t>1960年</t>
    <rPh sb="4" eb="5">
      <t>ネン</t>
    </rPh>
    <phoneticPr fontId="4"/>
  </si>
  <si>
    <t>2019年</t>
    <rPh sb="4" eb="5">
      <t>ネン</t>
    </rPh>
    <phoneticPr fontId="4"/>
  </si>
  <si>
    <t>年式</t>
    <rPh sb="0" eb="1">
      <t>ネン</t>
    </rPh>
    <rPh sb="1" eb="2">
      <t>シキ</t>
    </rPh>
    <phoneticPr fontId="4"/>
  </si>
  <si>
    <t>インバータ有無</t>
    <rPh sb="5" eb="7">
      <t>ウム</t>
    </rPh>
    <phoneticPr fontId="3"/>
  </si>
  <si>
    <t>制御(インバータ有無）</t>
    <rPh sb="0" eb="2">
      <t>セイギョ</t>
    </rPh>
    <rPh sb="8" eb="10">
      <t>ウム</t>
    </rPh>
    <phoneticPr fontId="4"/>
  </si>
  <si>
    <t>日／年</t>
    <rPh sb="0" eb="1">
      <t>ヒ</t>
    </rPh>
    <rPh sb="2" eb="3">
      <t>ネン</t>
    </rPh>
    <phoneticPr fontId="4"/>
  </si>
  <si>
    <t>年間冷房日数</t>
    <rPh sb="0" eb="2">
      <t>ネンカン</t>
    </rPh>
    <rPh sb="2" eb="4">
      <t>レイボウ</t>
    </rPh>
    <rPh sb="4" eb="6">
      <t>ニッスウ</t>
    </rPh>
    <phoneticPr fontId="4"/>
  </si>
  <si>
    <t>年間暖房日数</t>
    <rPh sb="0" eb="2">
      <t>ネンカン</t>
    </rPh>
    <rPh sb="4" eb="6">
      <t>ニッスウ</t>
    </rPh>
    <phoneticPr fontId="4"/>
  </si>
  <si>
    <t>店舗・事務所負荷（県北・県南）平均</t>
    <rPh sb="0" eb="2">
      <t>テンポ</t>
    </rPh>
    <rPh sb="3" eb="5">
      <t>ジム</t>
    </rPh>
    <rPh sb="5" eb="6">
      <t>ショ</t>
    </rPh>
    <rPh sb="6" eb="8">
      <t>フカ</t>
    </rPh>
    <rPh sb="9" eb="11">
      <t>ケンホク</t>
    </rPh>
    <rPh sb="12" eb="14">
      <t>ケンナン</t>
    </rPh>
    <rPh sb="15" eb="17">
      <t>ヘイキン</t>
    </rPh>
    <phoneticPr fontId="4"/>
  </si>
  <si>
    <t>更新前冷房</t>
    <rPh sb="0" eb="2">
      <t>コウシン</t>
    </rPh>
    <rPh sb="2" eb="3">
      <t>マエ</t>
    </rPh>
    <rPh sb="3" eb="5">
      <t>レイボウ</t>
    </rPh>
    <phoneticPr fontId="3"/>
  </si>
  <si>
    <t>台数</t>
    <rPh sb="0" eb="2">
      <t>ダイスウ</t>
    </rPh>
    <phoneticPr fontId="4"/>
  </si>
  <si>
    <t>〈例〉</t>
    <rPh sb="1" eb="2">
      <t>レイ</t>
    </rPh>
    <phoneticPr fontId="4"/>
  </si>
  <si>
    <t>更新前暖房</t>
    <rPh sb="0" eb="2">
      <t>コウシン</t>
    </rPh>
    <rPh sb="2" eb="3">
      <t>マエ</t>
    </rPh>
    <rPh sb="3" eb="5">
      <t>ダンボウ</t>
    </rPh>
    <phoneticPr fontId="3"/>
  </si>
  <si>
    <t>更新後冷房</t>
    <rPh sb="0" eb="2">
      <t>コウシン</t>
    </rPh>
    <rPh sb="2" eb="3">
      <t>ゴ</t>
    </rPh>
    <rPh sb="3" eb="5">
      <t>レイボウ</t>
    </rPh>
    <phoneticPr fontId="3"/>
  </si>
  <si>
    <t>更新後暖房</t>
    <rPh sb="0" eb="2">
      <t>コウシン</t>
    </rPh>
    <rPh sb="2" eb="3">
      <t>ゴ</t>
    </rPh>
    <rPh sb="3" eb="5">
      <t>ダンボウ</t>
    </rPh>
    <phoneticPr fontId="3"/>
  </si>
  <si>
    <t>年式</t>
  </si>
  <si>
    <t>回帰式COP値</t>
  </si>
  <si>
    <t>対象年度</t>
  </si>
  <si>
    <t>年式COP補正値</t>
  </si>
  <si>
    <t>冷房COP</t>
  </si>
  <si>
    <t>暖房COP</t>
  </si>
  <si>
    <t>冷房</t>
  </si>
  <si>
    <t>暖房</t>
  </si>
  <si>
    <t>1995以前</t>
  </si>
  <si>
    <t>●容量形式差補正値</t>
    <rPh sb="1" eb="3">
      <t>ヨウリョウ</t>
    </rPh>
    <rPh sb="3" eb="4">
      <t>カタ</t>
    </rPh>
    <rPh sb="4" eb="5">
      <t>シキ</t>
    </rPh>
    <rPh sb="5" eb="6">
      <t>サ</t>
    </rPh>
    <rPh sb="6" eb="8">
      <t>ホセイ</t>
    </rPh>
    <rPh sb="8" eb="9">
      <t>チ</t>
    </rPh>
    <phoneticPr fontId="12"/>
  </si>
  <si>
    <t>・・・回帰式年式ＣＯＰ値に対する容量差の補正</t>
    <rPh sb="3" eb="5">
      <t>カイキ</t>
    </rPh>
    <rPh sb="5" eb="6">
      <t>シキ</t>
    </rPh>
    <rPh sb="6" eb="8">
      <t>ネンシキ</t>
    </rPh>
    <rPh sb="11" eb="12">
      <t>チ</t>
    </rPh>
    <rPh sb="13" eb="14">
      <t>タイ</t>
    </rPh>
    <rPh sb="16" eb="18">
      <t>ヨウリョウ</t>
    </rPh>
    <rPh sb="18" eb="19">
      <t>サ</t>
    </rPh>
    <rPh sb="20" eb="21">
      <t>ホ</t>
    </rPh>
    <rPh sb="21" eb="22">
      <t>セイ</t>
    </rPh>
    <phoneticPr fontId="12"/>
  </si>
  <si>
    <t>店舗オフィス用</t>
    <rPh sb="0" eb="2">
      <t>テンポ</t>
    </rPh>
    <rPh sb="6" eb="7">
      <t>ヨウ</t>
    </rPh>
    <phoneticPr fontId="12"/>
  </si>
  <si>
    <t>ビル用</t>
    <rPh sb="2" eb="3">
      <t>ヨウ</t>
    </rPh>
    <phoneticPr fontId="12"/>
  </si>
  <si>
    <t>設備用</t>
    <rPh sb="0" eb="2">
      <t>セツビ</t>
    </rPh>
    <rPh sb="2" eb="3">
      <t>ヨウ</t>
    </rPh>
    <phoneticPr fontId="12"/>
  </si>
  <si>
    <t>40形</t>
  </si>
  <si>
    <t xml:space="preserve"> 80形</t>
  </si>
  <si>
    <t xml:space="preserve"> 45形 </t>
  </si>
  <si>
    <t>112形</t>
    <rPh sb="3" eb="4">
      <t>カタ</t>
    </rPh>
    <phoneticPr fontId="12"/>
  </si>
  <si>
    <t xml:space="preserve">140形 </t>
  </si>
  <si>
    <t xml:space="preserve">50形 </t>
  </si>
  <si>
    <t>224形</t>
    <rPh sb="3" eb="4">
      <t>カタ</t>
    </rPh>
    <phoneticPr fontId="12"/>
  </si>
  <si>
    <t xml:space="preserve">56形 </t>
  </si>
  <si>
    <t>160形</t>
  </si>
  <si>
    <t>280形</t>
    <rPh sb="3" eb="4">
      <t>カタ</t>
    </rPh>
    <phoneticPr fontId="12"/>
  </si>
  <si>
    <t>63形</t>
  </si>
  <si>
    <t>450形</t>
  </si>
  <si>
    <t xml:space="preserve"> 560形</t>
  </si>
  <si>
    <t xml:space="preserve"> 112形 </t>
  </si>
  <si>
    <t>335形</t>
  </si>
  <si>
    <t xml:space="preserve"> 670形</t>
  </si>
  <si>
    <t>355形</t>
  </si>
  <si>
    <t>800形</t>
  </si>
  <si>
    <t>400形</t>
  </si>
  <si>
    <t>1120形</t>
    <rPh sb="4" eb="5">
      <t>カタ</t>
    </rPh>
    <phoneticPr fontId="12"/>
  </si>
  <si>
    <t xml:space="preserve"> 224形</t>
  </si>
  <si>
    <t>1400形</t>
    <rPh sb="4" eb="5">
      <t>カタ</t>
    </rPh>
    <phoneticPr fontId="12"/>
  </si>
  <si>
    <t>280形</t>
  </si>
  <si>
    <t xml:space="preserve"> 500形</t>
  </si>
  <si>
    <t>1600形</t>
    <rPh sb="4" eb="5">
      <t>カタ</t>
    </rPh>
    <phoneticPr fontId="12"/>
  </si>
  <si>
    <t>615形</t>
  </si>
  <si>
    <t>670形</t>
  </si>
  <si>
    <t>730形</t>
  </si>
  <si>
    <t>775形</t>
  </si>
  <si>
    <t>850形</t>
  </si>
  <si>
    <t>900形</t>
  </si>
  <si>
    <t>950形</t>
  </si>
  <si>
    <t>1000形</t>
  </si>
  <si>
    <t>1060形</t>
  </si>
  <si>
    <t>1120形</t>
  </si>
  <si>
    <t>1180形</t>
  </si>
  <si>
    <t>1220形</t>
  </si>
  <si>
    <t>1280形</t>
  </si>
  <si>
    <t>1360形</t>
  </si>
  <si>
    <t>1400形</t>
  </si>
  <si>
    <t>負荷率（稼働率は無視）</t>
    <rPh sb="0" eb="2">
      <t>フカ</t>
    </rPh>
    <rPh sb="2" eb="3">
      <t>リツ</t>
    </rPh>
    <rPh sb="4" eb="6">
      <t>カドウ</t>
    </rPh>
    <rPh sb="6" eb="7">
      <t>リツ</t>
    </rPh>
    <rPh sb="8" eb="10">
      <t>ムシ</t>
    </rPh>
    <phoneticPr fontId="4"/>
  </si>
  <si>
    <t>年式補正</t>
    <rPh sb="0" eb="1">
      <t>ネン</t>
    </rPh>
    <rPh sb="1" eb="2">
      <t>シキ</t>
    </rPh>
    <rPh sb="2" eb="4">
      <t>ホセイ</t>
    </rPh>
    <phoneticPr fontId="3"/>
  </si>
  <si>
    <t>t-CO₂/年</t>
    <rPh sb="6" eb="7">
      <t>ネン</t>
    </rPh>
    <phoneticPr fontId="4"/>
  </si>
  <si>
    <t>年間電力消費量①</t>
    <phoneticPr fontId="4"/>
  </si>
  <si>
    <t>CO2排出量②</t>
    <rPh sb="3" eb="6">
      <t>ハイシュツリョウ</t>
    </rPh>
    <phoneticPr fontId="4"/>
  </si>
  <si>
    <t>年間電力消費量③</t>
    <phoneticPr fontId="4"/>
  </si>
  <si>
    <t>CO2排出量④</t>
    <rPh sb="3" eb="6">
      <t>ハイシュツリョウ</t>
    </rPh>
    <phoneticPr fontId="4"/>
  </si>
  <si>
    <t>電力削減量（①ｰ③）</t>
    <rPh sb="0" eb="2">
      <t>デンリョク</t>
    </rPh>
    <rPh sb="2" eb="5">
      <t>サクゲンリョウ</t>
    </rPh>
    <phoneticPr fontId="4"/>
  </si>
  <si>
    <t>CO2削減量（②-④）</t>
    <rPh sb="3" eb="6">
      <t>サクゲンリョウ</t>
    </rPh>
    <phoneticPr fontId="4"/>
  </si>
  <si>
    <r>
      <t>冷房時定格消費電力（a</t>
    </r>
    <r>
      <rPr>
        <vertAlign val="subscript"/>
        <sz val="9"/>
        <color theme="1"/>
        <rFont val="ＭＳ Ｐゴシック"/>
        <family val="3"/>
        <charset val="128"/>
      </rPr>
      <t>1</t>
    </r>
    <r>
      <rPr>
        <sz val="9"/>
        <color theme="1"/>
        <rFont val="ＭＳ Ｐゴシック"/>
        <family val="3"/>
        <charset val="128"/>
      </rPr>
      <t>）</t>
    </r>
    <rPh sb="0" eb="3">
      <t>レイボウジ</t>
    </rPh>
    <rPh sb="5" eb="7">
      <t>ショウヒ</t>
    </rPh>
    <rPh sb="7" eb="9">
      <t>デンリョク</t>
    </rPh>
    <phoneticPr fontId="4"/>
  </si>
  <si>
    <r>
      <t>暖房時定格消費電力（a</t>
    </r>
    <r>
      <rPr>
        <vertAlign val="subscript"/>
        <sz val="9"/>
        <color theme="1"/>
        <rFont val="ＭＳ Ｐゴシック"/>
        <family val="3"/>
        <charset val="128"/>
      </rPr>
      <t>2</t>
    </r>
    <r>
      <rPr>
        <sz val="9"/>
        <color theme="1"/>
        <rFont val="ＭＳ Ｐゴシック"/>
        <family val="3"/>
        <charset val="128"/>
      </rPr>
      <t>）</t>
    </r>
    <rPh sb="0" eb="2">
      <t>ダンボウ</t>
    </rPh>
    <rPh sb="2" eb="3">
      <t>ジ</t>
    </rPh>
    <rPh sb="5" eb="7">
      <t>ショウヒ</t>
    </rPh>
    <rPh sb="7" eb="9">
      <t>デンリョク</t>
    </rPh>
    <phoneticPr fontId="4"/>
  </si>
  <si>
    <r>
      <t>冷房時定格消費電力（a'</t>
    </r>
    <r>
      <rPr>
        <vertAlign val="subscript"/>
        <sz val="9"/>
        <color theme="1"/>
        <rFont val="ＭＳ Ｐゴシック"/>
        <family val="3"/>
        <charset val="128"/>
      </rPr>
      <t>1</t>
    </r>
    <r>
      <rPr>
        <sz val="9"/>
        <color theme="1"/>
        <rFont val="ＭＳ Ｐゴシック"/>
        <family val="3"/>
        <charset val="128"/>
      </rPr>
      <t>）</t>
    </r>
    <rPh sb="0" eb="3">
      <t>レイボウジ</t>
    </rPh>
    <rPh sb="5" eb="7">
      <t>ショウヒ</t>
    </rPh>
    <rPh sb="7" eb="9">
      <t>デンリョク</t>
    </rPh>
    <phoneticPr fontId="4"/>
  </si>
  <si>
    <r>
      <t>暖房時定格消費電力（a'</t>
    </r>
    <r>
      <rPr>
        <vertAlign val="subscript"/>
        <sz val="9"/>
        <color theme="1"/>
        <rFont val="ＭＳ Ｐゴシック"/>
        <family val="3"/>
        <charset val="128"/>
      </rPr>
      <t>2</t>
    </r>
    <r>
      <rPr>
        <sz val="9"/>
        <color theme="1"/>
        <rFont val="ＭＳ Ｐゴシック"/>
        <family val="3"/>
        <charset val="128"/>
      </rPr>
      <t>）</t>
    </r>
    <rPh sb="0" eb="2">
      <t>ダンボウ</t>
    </rPh>
    <rPh sb="2" eb="3">
      <t>ジ</t>
    </rPh>
    <rPh sb="5" eb="7">
      <t>ショウヒ</t>
    </rPh>
    <rPh sb="7" eb="9">
      <t>デンリョク</t>
    </rPh>
    <phoneticPr fontId="4"/>
  </si>
  <si>
    <t>空調（EHP)の更新</t>
    <rPh sb="0" eb="2">
      <t>クウチョウ</t>
    </rPh>
    <phoneticPr fontId="4"/>
  </si>
  <si>
    <t>空調（GHP)の更新</t>
    <rPh sb="0" eb="2">
      <t>クウチョウ</t>
    </rPh>
    <phoneticPr fontId="4"/>
  </si>
  <si>
    <t>冷房時定格消費ガス量</t>
    <rPh sb="0" eb="3">
      <t>レイボウジ</t>
    </rPh>
    <rPh sb="5" eb="7">
      <t>ショウヒ</t>
    </rPh>
    <rPh sb="9" eb="10">
      <t>リョウ</t>
    </rPh>
    <phoneticPr fontId="4"/>
  </si>
  <si>
    <t>暖房定格消費ガス量</t>
    <rPh sb="0" eb="2">
      <t>ダンボウ</t>
    </rPh>
    <rPh sb="2" eb="4">
      <t>テイカク</t>
    </rPh>
    <rPh sb="4" eb="6">
      <t>ショウヒ</t>
    </rPh>
    <rPh sb="8" eb="9">
      <t>リョウ</t>
    </rPh>
    <phoneticPr fontId="4"/>
  </si>
  <si>
    <t>GHP</t>
    <phoneticPr fontId="3"/>
  </si>
  <si>
    <t>都市ガス（低圧）</t>
    <rPh sb="0" eb="2">
      <t>トシ</t>
    </rPh>
    <rPh sb="5" eb="7">
      <t>テイアツ</t>
    </rPh>
    <phoneticPr fontId="3"/>
  </si>
  <si>
    <t>都市ガス（中圧）</t>
    <rPh sb="0" eb="2">
      <t>トシ</t>
    </rPh>
    <rPh sb="5" eb="6">
      <t>チュウ</t>
    </rPh>
    <rPh sb="6" eb="7">
      <t>アツ</t>
    </rPh>
    <phoneticPr fontId="3"/>
  </si>
  <si>
    <t>LPG（プロパン）</t>
  </si>
  <si>
    <t>LPG（プロパン）</t>
    <phoneticPr fontId="3"/>
  </si>
  <si>
    <t>LPG（ブタン）</t>
  </si>
  <si>
    <t>LPG（ブタン）</t>
    <phoneticPr fontId="3"/>
  </si>
  <si>
    <t>LPG（その他）</t>
    <rPh sb="6" eb="7">
      <t>タ</t>
    </rPh>
    <phoneticPr fontId="3"/>
  </si>
  <si>
    <t>CO₂排出係数</t>
    <rPh sb="3" eb="5">
      <t>ハイシュツ</t>
    </rPh>
    <rPh sb="5" eb="7">
      <t>ケイスウ</t>
    </rPh>
    <phoneticPr fontId="3"/>
  </si>
  <si>
    <t>m³換算</t>
    <rPh sb="2" eb="4">
      <t>カンサン</t>
    </rPh>
    <phoneticPr fontId="3"/>
  </si>
  <si>
    <t>MJ/m³</t>
    <phoneticPr fontId="3"/>
  </si>
  <si>
    <t>LNG</t>
    <phoneticPr fontId="3"/>
  </si>
  <si>
    <t>その他</t>
    <rPh sb="2" eb="3">
      <t>タ</t>
    </rPh>
    <phoneticPr fontId="3"/>
  </si>
  <si>
    <t>年間消費ガス量②</t>
    <rPh sb="0" eb="1">
      <t>ネン</t>
    </rPh>
    <rPh sb="1" eb="2">
      <t>カン</t>
    </rPh>
    <rPh sb="2" eb="4">
      <t>ショウヒ</t>
    </rPh>
    <rPh sb="6" eb="7">
      <t>リョウ</t>
    </rPh>
    <phoneticPr fontId="4"/>
  </si>
  <si>
    <t>CO2排出量③</t>
    <rPh sb="3" eb="6">
      <t>ハイシュツリョウ</t>
    </rPh>
    <phoneticPr fontId="4"/>
  </si>
  <si>
    <t>年間電力消費量④</t>
    <phoneticPr fontId="4"/>
  </si>
  <si>
    <t>年間消費ガス量⑤</t>
    <rPh sb="0" eb="1">
      <t>ネン</t>
    </rPh>
    <rPh sb="1" eb="2">
      <t>カン</t>
    </rPh>
    <rPh sb="2" eb="4">
      <t>ショウヒ</t>
    </rPh>
    <rPh sb="6" eb="7">
      <t>リョウ</t>
    </rPh>
    <phoneticPr fontId="4"/>
  </si>
  <si>
    <t>CO2排出量⑥</t>
    <rPh sb="3" eb="6">
      <t>ハイシュツリョウ</t>
    </rPh>
    <phoneticPr fontId="4"/>
  </si>
  <si>
    <t>電力削減
量
（①ｰ④）</t>
    <rPh sb="0" eb="2">
      <t>デンリョク</t>
    </rPh>
    <rPh sb="2" eb="4">
      <t>サクゲン</t>
    </rPh>
    <rPh sb="5" eb="6">
      <t>リョウ</t>
    </rPh>
    <phoneticPr fontId="4"/>
  </si>
  <si>
    <t>ガス削減量
（②－⑤）</t>
    <rPh sb="2" eb="4">
      <t>サクゲン</t>
    </rPh>
    <rPh sb="4" eb="5">
      <t>リョウ</t>
    </rPh>
    <phoneticPr fontId="3"/>
  </si>
  <si>
    <t>CO2削減量（③-⑥）</t>
    <rPh sb="3" eb="6">
      <t>サクゲンリョウ</t>
    </rPh>
    <phoneticPr fontId="4"/>
  </si>
  <si>
    <t>高位発熱量</t>
    <rPh sb="0" eb="2">
      <t>コウイ</t>
    </rPh>
    <rPh sb="2" eb="4">
      <t>ハツネツ</t>
    </rPh>
    <rPh sb="4" eb="5">
      <t>リョウ</t>
    </rPh>
    <phoneticPr fontId="3"/>
  </si>
  <si>
    <t>t-CO₂/m³</t>
    <phoneticPr fontId="3"/>
  </si>
  <si>
    <t>m³/年</t>
    <rPh sb="3" eb="4">
      <t>ネン</t>
    </rPh>
    <phoneticPr fontId="4"/>
  </si>
  <si>
    <t>燃料種類</t>
    <rPh sb="0" eb="2">
      <t>ネンリョウ</t>
    </rPh>
    <rPh sb="2" eb="4">
      <t>シュルイ</t>
    </rPh>
    <phoneticPr fontId="4"/>
  </si>
  <si>
    <t>定格燃料消費量</t>
    <rPh sb="0" eb="2">
      <t>テイカク</t>
    </rPh>
    <rPh sb="2" eb="4">
      <t>ネンリョウ</t>
    </rPh>
    <rPh sb="4" eb="6">
      <t>ショウヒ</t>
    </rPh>
    <rPh sb="6" eb="7">
      <t>リョウ</t>
    </rPh>
    <phoneticPr fontId="4"/>
  </si>
  <si>
    <t>定格効率</t>
    <rPh sb="0" eb="2">
      <t>テイカク</t>
    </rPh>
    <rPh sb="2" eb="4">
      <t>コウリツ</t>
    </rPh>
    <phoneticPr fontId="3"/>
  </si>
  <si>
    <t>年間稼働時間</t>
    <rPh sb="0" eb="1">
      <t>ネン</t>
    </rPh>
    <rPh sb="1" eb="2">
      <t>カン</t>
    </rPh>
    <rPh sb="2" eb="4">
      <t>カドウ</t>
    </rPh>
    <rPh sb="4" eb="6">
      <t>ジカン</t>
    </rPh>
    <phoneticPr fontId="3"/>
  </si>
  <si>
    <t>年間燃料消費量</t>
    <rPh sb="0" eb="1">
      <t>ネン</t>
    </rPh>
    <rPh sb="1" eb="2">
      <t>カン</t>
    </rPh>
    <rPh sb="2" eb="4">
      <t>ネンリョウ</t>
    </rPh>
    <rPh sb="4" eb="6">
      <t>ショウヒ</t>
    </rPh>
    <rPh sb="6" eb="7">
      <t>リョウ</t>
    </rPh>
    <phoneticPr fontId="4"/>
  </si>
  <si>
    <t>潜熱回収の有無</t>
    <rPh sb="0" eb="2">
      <t>センネツ</t>
    </rPh>
    <rPh sb="2" eb="4">
      <t>カイシュウ</t>
    </rPh>
    <rPh sb="5" eb="7">
      <t>ウム</t>
    </rPh>
    <phoneticPr fontId="3"/>
  </si>
  <si>
    <t>燃料削減
量
（①ｰ④）</t>
    <rPh sb="0" eb="2">
      <t>ネンリョウ</t>
    </rPh>
    <rPh sb="2" eb="4">
      <t>サクゲン</t>
    </rPh>
    <rPh sb="5" eb="6">
      <t>リョウ</t>
    </rPh>
    <phoneticPr fontId="4"/>
  </si>
  <si>
    <t>ガス</t>
  </si>
  <si>
    <t>MJ/kg</t>
  </si>
  <si>
    <t>ｔ/年</t>
    <rPh sb="2" eb="3">
      <t>ネン</t>
    </rPh>
    <phoneticPr fontId="7"/>
  </si>
  <si>
    <t>ｔ/年</t>
  </si>
  <si>
    <t>油</t>
    <rPh sb="0" eb="1">
      <t>アブラ</t>
    </rPh>
    <phoneticPr fontId="7"/>
  </si>
  <si>
    <t>MJ/L</t>
  </si>
  <si>
    <t>ｋL/年</t>
    <rPh sb="3" eb="4">
      <t>ネン</t>
    </rPh>
    <phoneticPr fontId="7"/>
  </si>
  <si>
    <t>電気</t>
    <rPh sb="0" eb="2">
      <t>デンキ</t>
    </rPh>
    <phoneticPr fontId="7"/>
  </si>
  <si>
    <t>MJ/kWh</t>
  </si>
  <si>
    <t>千kWh/年</t>
    <rPh sb="0" eb="1">
      <t>セン</t>
    </rPh>
    <rPh sb="5" eb="6">
      <t>ネン</t>
    </rPh>
    <phoneticPr fontId="7"/>
  </si>
  <si>
    <t>その他</t>
    <rPh sb="2" eb="3">
      <t>タ</t>
    </rPh>
    <phoneticPr fontId="7"/>
  </si>
  <si>
    <t>一般炭</t>
    <rPh sb="0" eb="2">
      <t>イッパン</t>
    </rPh>
    <rPh sb="2" eb="3">
      <t>タン</t>
    </rPh>
    <phoneticPr fontId="7"/>
  </si>
  <si>
    <t>石炭コークス</t>
    <rPh sb="0" eb="2">
      <t>セキタン</t>
    </rPh>
    <phoneticPr fontId="7"/>
  </si>
  <si>
    <t>使用エネルギー</t>
    <rPh sb="0" eb="2">
      <t>シヨウ</t>
    </rPh>
    <phoneticPr fontId="12"/>
  </si>
  <si>
    <t>高位発熱量</t>
    <rPh sb="0" eb="2">
      <t>コウイ</t>
    </rPh>
    <rPh sb="2" eb="4">
      <t>ハツネツ</t>
    </rPh>
    <rPh sb="4" eb="5">
      <t>リョウ</t>
    </rPh>
    <phoneticPr fontId="12"/>
  </si>
  <si>
    <t>低位発熱量</t>
    <rPh sb="0" eb="2">
      <t>テイイ</t>
    </rPh>
    <rPh sb="2" eb="4">
      <t>ハツネツ</t>
    </rPh>
    <rPh sb="4" eb="5">
      <t>リョウ</t>
    </rPh>
    <phoneticPr fontId="12"/>
  </si>
  <si>
    <t>単位</t>
    <rPh sb="0" eb="2">
      <t>タンイ</t>
    </rPh>
    <phoneticPr fontId="12"/>
  </si>
  <si>
    <t>消費量</t>
    <rPh sb="0" eb="3">
      <t>ショウヒリョウ</t>
    </rPh>
    <phoneticPr fontId="12"/>
  </si>
  <si>
    <t>消費単位</t>
    <rPh sb="0" eb="2">
      <t>ショウヒ</t>
    </rPh>
    <rPh sb="2" eb="4">
      <t>タンイ</t>
    </rPh>
    <phoneticPr fontId="12"/>
  </si>
  <si>
    <t>ガス</t>
    <phoneticPr fontId="12"/>
  </si>
  <si>
    <t>MJ/㎥</t>
    <phoneticPr fontId="12"/>
  </si>
  <si>
    <t>千m3/年</t>
    <rPh sb="0" eb="1">
      <t>セン</t>
    </rPh>
    <rPh sb="4" eb="5">
      <t>ネン</t>
    </rPh>
    <phoneticPr fontId="12"/>
  </si>
  <si>
    <t>MJ/kg</t>
    <phoneticPr fontId="12"/>
  </si>
  <si>
    <t>ｔ/年</t>
    <rPh sb="2" eb="3">
      <t>ネン</t>
    </rPh>
    <phoneticPr fontId="12"/>
  </si>
  <si>
    <t>kg/h</t>
    <phoneticPr fontId="12"/>
  </si>
  <si>
    <t>油</t>
    <rPh sb="0" eb="1">
      <t>アブラ</t>
    </rPh>
    <phoneticPr fontId="12"/>
  </si>
  <si>
    <t>灯油</t>
    <rPh sb="0" eb="2">
      <t>トウユ</t>
    </rPh>
    <phoneticPr fontId="12"/>
  </si>
  <si>
    <t>MJ/L</t>
    <phoneticPr fontId="12"/>
  </si>
  <si>
    <t>ｋL/年</t>
    <rPh sb="3" eb="4">
      <t>ネン</t>
    </rPh>
    <phoneticPr fontId="12"/>
  </si>
  <si>
    <t>L/h</t>
    <phoneticPr fontId="12"/>
  </si>
  <si>
    <t>軽油</t>
    <rPh sb="0" eb="2">
      <t>ケイユ</t>
    </rPh>
    <phoneticPr fontId="12"/>
  </si>
  <si>
    <t>A重油</t>
    <rPh sb="1" eb="3">
      <t>ジュウユ</t>
    </rPh>
    <phoneticPr fontId="12"/>
  </si>
  <si>
    <t>B重油</t>
    <rPh sb="1" eb="3">
      <t>ジュウユ</t>
    </rPh>
    <phoneticPr fontId="12"/>
  </si>
  <si>
    <t>C重油</t>
    <rPh sb="1" eb="3">
      <t>ジュウユ</t>
    </rPh>
    <phoneticPr fontId="12"/>
  </si>
  <si>
    <t>電気</t>
    <rPh sb="0" eb="2">
      <t>デンキ</t>
    </rPh>
    <phoneticPr fontId="12"/>
  </si>
  <si>
    <t>MJ/kWh</t>
    <phoneticPr fontId="12"/>
  </si>
  <si>
    <t>千kWh/年</t>
    <rPh sb="0" eb="1">
      <t>セン</t>
    </rPh>
    <rPh sb="5" eb="6">
      <t>ネン</t>
    </rPh>
    <phoneticPr fontId="12"/>
  </si>
  <si>
    <t>kW</t>
    <phoneticPr fontId="12"/>
  </si>
  <si>
    <t>その他</t>
    <rPh sb="2" eb="3">
      <t>タ</t>
    </rPh>
    <phoneticPr fontId="12"/>
  </si>
  <si>
    <t>その他油</t>
    <rPh sb="2" eb="3">
      <t>タ</t>
    </rPh>
    <rPh sb="3" eb="4">
      <t>アブラ</t>
    </rPh>
    <phoneticPr fontId="7"/>
  </si>
  <si>
    <t>その他電気</t>
    <rPh sb="2" eb="3">
      <t>タ</t>
    </rPh>
    <rPh sb="3" eb="5">
      <t>デンキ</t>
    </rPh>
    <phoneticPr fontId="7"/>
  </si>
  <si>
    <t>その他ガス</t>
    <rPh sb="2" eb="3">
      <t>タ</t>
    </rPh>
    <phoneticPr fontId="7"/>
  </si>
  <si>
    <t>LPG（kg）</t>
  </si>
  <si>
    <t>LPG（kg）</t>
    <phoneticPr fontId="3"/>
  </si>
  <si>
    <t>LPG（m³）</t>
    <phoneticPr fontId="3"/>
  </si>
  <si>
    <t>種別</t>
    <rPh sb="0" eb="2">
      <t>シュベツ</t>
    </rPh>
    <phoneticPr fontId="7"/>
  </si>
  <si>
    <t>その他の単位</t>
    <rPh sb="2" eb="3">
      <t>タ</t>
    </rPh>
    <rPh sb="4" eb="6">
      <t>タンイ</t>
    </rPh>
    <phoneticPr fontId="7"/>
  </si>
  <si>
    <t>石炭等</t>
    <rPh sb="0" eb="2">
      <t>セキタン</t>
    </rPh>
    <rPh sb="2" eb="3">
      <t>トウ</t>
    </rPh>
    <phoneticPr fontId="7"/>
  </si>
  <si>
    <t>燃料種別</t>
    <rPh sb="0" eb="2">
      <t>ネンリョウ</t>
    </rPh>
    <rPh sb="2" eb="4">
      <t>シュベツ</t>
    </rPh>
    <phoneticPr fontId="4"/>
  </si>
  <si>
    <t>ボイラの更新</t>
    <phoneticPr fontId="4"/>
  </si>
  <si>
    <t>負荷率</t>
    <rPh sb="0" eb="2">
      <t>フカ</t>
    </rPh>
    <rPh sb="2" eb="3">
      <t>リツ</t>
    </rPh>
    <phoneticPr fontId="3"/>
  </si>
  <si>
    <t>％</t>
    <phoneticPr fontId="3"/>
  </si>
  <si>
    <t>取得発熱量</t>
    <rPh sb="0" eb="2">
      <t>シュトク</t>
    </rPh>
    <rPh sb="2" eb="4">
      <t>ハツネツ</t>
    </rPh>
    <rPh sb="4" eb="5">
      <t>リョウ</t>
    </rPh>
    <phoneticPr fontId="3"/>
  </si>
  <si>
    <t>高位</t>
    <rPh sb="0" eb="2">
      <t>コウイ</t>
    </rPh>
    <phoneticPr fontId="3"/>
  </si>
  <si>
    <t>低位</t>
    <rPh sb="0" eb="2">
      <t>テイイ</t>
    </rPh>
    <phoneticPr fontId="3"/>
  </si>
  <si>
    <t>排出係数</t>
    <rPh sb="0" eb="2">
      <t>ハイシュツ</t>
    </rPh>
    <rPh sb="2" eb="4">
      <t>ケイスウ</t>
    </rPh>
    <phoneticPr fontId="3"/>
  </si>
  <si>
    <t>LNG</t>
  </si>
  <si>
    <t>千m³/年</t>
    <rPh sb="0" eb="1">
      <t>セン</t>
    </rPh>
    <rPh sb="4" eb="5">
      <t>ネン</t>
    </rPh>
    <phoneticPr fontId="3"/>
  </si>
  <si>
    <t>MJ/年</t>
    <rPh sb="3" eb="4">
      <t>ネン</t>
    </rPh>
    <phoneticPr fontId="3"/>
  </si>
  <si>
    <t>m3（N)/h</t>
    <phoneticPr fontId="12"/>
  </si>
  <si>
    <t>発熱出力</t>
    <rPh sb="0" eb="2">
      <t>ハツネツ</t>
    </rPh>
    <rPh sb="2" eb="4">
      <t>シュツリョク</t>
    </rPh>
    <phoneticPr fontId="3"/>
  </si>
  <si>
    <t>更新前</t>
    <rPh sb="0" eb="2">
      <t>コウシン</t>
    </rPh>
    <rPh sb="2" eb="3">
      <t>マエ</t>
    </rPh>
    <phoneticPr fontId="3"/>
  </si>
  <si>
    <t>更新後</t>
    <rPh sb="0" eb="2">
      <t>コウシン</t>
    </rPh>
    <rPh sb="2" eb="3">
      <t>ゴ</t>
    </rPh>
    <phoneticPr fontId="3"/>
  </si>
  <si>
    <t>h･台あたり</t>
    <rPh sb="2" eb="3">
      <t>ダイ</t>
    </rPh>
    <phoneticPr fontId="4"/>
  </si>
  <si>
    <t>原油換算量</t>
    <rPh sb="0" eb="2">
      <t>ゲンユ</t>
    </rPh>
    <rPh sb="2" eb="4">
      <t>カンサン</t>
    </rPh>
    <rPh sb="4" eb="5">
      <t>リョウ</t>
    </rPh>
    <phoneticPr fontId="3"/>
  </si>
  <si>
    <t>単位</t>
    <rPh sb="0" eb="2">
      <t>タンイ</t>
    </rPh>
    <phoneticPr fontId="3"/>
  </si>
  <si>
    <t>都市ガス（13A）</t>
    <rPh sb="0" eb="2">
      <t>トシ</t>
    </rPh>
    <phoneticPr fontId="3"/>
  </si>
  <si>
    <t>冷房時定格消費電力</t>
    <rPh sb="0" eb="3">
      <t>レイボウジ</t>
    </rPh>
    <rPh sb="5" eb="7">
      <t>ショウヒ</t>
    </rPh>
    <rPh sb="7" eb="9">
      <t>デンリョク</t>
    </rPh>
    <phoneticPr fontId="4"/>
  </si>
  <si>
    <t>暖房時定格消費電力</t>
    <rPh sb="0" eb="2">
      <t>ダンボウ</t>
    </rPh>
    <rPh sb="2" eb="3">
      <t>ジ</t>
    </rPh>
    <rPh sb="5" eb="7">
      <t>ショウヒ</t>
    </rPh>
    <rPh sb="7" eb="9">
      <t>デンリョク</t>
    </rPh>
    <phoneticPr fontId="4"/>
  </si>
  <si>
    <t>高位発熱量</t>
    <rPh sb="0" eb="2">
      <t>コウイ</t>
    </rPh>
    <rPh sb="2" eb="4">
      <t>ハツネツ</t>
    </rPh>
    <rPh sb="4" eb="5">
      <t>リョウ</t>
    </rPh>
    <phoneticPr fontId="3"/>
  </si>
  <si>
    <t>低位発熱量</t>
    <rPh sb="0" eb="2">
      <t>テイイ</t>
    </rPh>
    <rPh sb="2" eb="4">
      <t>ハツネツ</t>
    </rPh>
    <rPh sb="4" eb="5">
      <t>リョウ</t>
    </rPh>
    <phoneticPr fontId="3"/>
  </si>
  <si>
    <t>CO₂排出係数</t>
    <rPh sb="3" eb="5">
      <t>ハイシュツ</t>
    </rPh>
    <rPh sb="5" eb="7">
      <t>ケイスウ</t>
    </rPh>
    <phoneticPr fontId="3"/>
  </si>
  <si>
    <t>燃料種類</t>
    <rPh sb="0" eb="2">
      <t>ネンリョウ</t>
    </rPh>
    <rPh sb="2" eb="4">
      <t>シュルイ</t>
    </rPh>
    <phoneticPr fontId="3"/>
  </si>
  <si>
    <t>t-CO₂/t</t>
    <phoneticPr fontId="3"/>
  </si>
  <si>
    <t>t-CO₂/千kWh</t>
    <rPh sb="6" eb="7">
      <t>セン</t>
    </rPh>
    <phoneticPr fontId="3"/>
  </si>
  <si>
    <t>t-CO₂/kL</t>
    <phoneticPr fontId="3"/>
  </si>
  <si>
    <t>LPG（m³）</t>
  </si>
  <si>
    <t>年間稼働日数</t>
    <rPh sb="0" eb="1">
      <t>ネン</t>
    </rPh>
    <rPh sb="1" eb="2">
      <t>カン</t>
    </rPh>
    <rPh sb="2" eb="4">
      <t>カドウ</t>
    </rPh>
    <rPh sb="4" eb="6">
      <t>ニッスウ</t>
    </rPh>
    <phoneticPr fontId="3"/>
  </si>
  <si>
    <t>h/日</t>
    <rPh sb="2" eb="3">
      <t>ヒ</t>
    </rPh>
    <phoneticPr fontId="4"/>
  </si>
  <si>
    <t>日/年</t>
    <rPh sb="0" eb="1">
      <t>ヒ</t>
    </rPh>
    <rPh sb="2" eb="3">
      <t>ネン</t>
    </rPh>
    <phoneticPr fontId="3"/>
  </si>
  <si>
    <t>稼働時間</t>
    <rPh sb="0" eb="2">
      <t>カドウ</t>
    </rPh>
    <rPh sb="2" eb="4">
      <t>ジカン</t>
    </rPh>
    <phoneticPr fontId="4"/>
  </si>
  <si>
    <t>稼働日の平均負荷率</t>
    <rPh sb="0" eb="3">
      <t>カドウビ</t>
    </rPh>
    <rPh sb="4" eb="6">
      <t>ヘイキン</t>
    </rPh>
    <rPh sb="6" eb="9">
      <t>フカリツ</t>
    </rPh>
    <phoneticPr fontId="4"/>
  </si>
  <si>
    <t>非稼働日の平均負荷率</t>
    <rPh sb="0" eb="1">
      <t>ヒ</t>
    </rPh>
    <rPh sb="1" eb="4">
      <t>カドウビ</t>
    </rPh>
    <rPh sb="5" eb="7">
      <t>ヘイキン</t>
    </rPh>
    <rPh sb="7" eb="10">
      <t>フカリツ</t>
    </rPh>
    <phoneticPr fontId="4"/>
  </si>
  <si>
    <t>統合対象</t>
    <rPh sb="0" eb="2">
      <t>トウゴウ</t>
    </rPh>
    <rPh sb="2" eb="4">
      <t>タイショウ</t>
    </rPh>
    <phoneticPr fontId="3"/>
  </si>
  <si>
    <t>統合対象は●を選択</t>
    <rPh sb="0" eb="2">
      <t>トウゴウ</t>
    </rPh>
    <rPh sb="2" eb="4">
      <t>タイショウ</t>
    </rPh>
    <rPh sb="7" eb="9">
      <t>センタク</t>
    </rPh>
    <phoneticPr fontId="3"/>
  </si>
  <si>
    <t>年式</t>
    <rPh sb="0" eb="1">
      <t>ネン</t>
    </rPh>
    <rPh sb="1" eb="2">
      <t>シキ</t>
    </rPh>
    <phoneticPr fontId="3"/>
  </si>
  <si>
    <t>1970年以前</t>
    <rPh sb="4" eb="5">
      <t>ネン</t>
    </rPh>
    <rPh sb="5" eb="7">
      <t>イゼン</t>
    </rPh>
    <phoneticPr fontId="4"/>
  </si>
  <si>
    <t>1971～80年</t>
    <rPh sb="7" eb="8">
      <t>ネン</t>
    </rPh>
    <phoneticPr fontId="4"/>
  </si>
  <si>
    <t>1981～90年</t>
    <rPh sb="7" eb="8">
      <t>ネン</t>
    </rPh>
    <phoneticPr fontId="4"/>
  </si>
  <si>
    <t>1891～2000年</t>
    <rPh sb="9" eb="10">
      <t>ネン</t>
    </rPh>
    <phoneticPr fontId="4"/>
  </si>
  <si>
    <t>2001～05年</t>
    <rPh sb="7" eb="8">
      <t>ネン</t>
    </rPh>
    <phoneticPr fontId="4"/>
  </si>
  <si>
    <t>2005～10年</t>
    <rPh sb="7" eb="8">
      <t>ネン</t>
    </rPh>
    <phoneticPr fontId="4"/>
  </si>
  <si>
    <t>2011～15年</t>
    <rPh sb="7" eb="8">
      <t>ネン</t>
    </rPh>
    <phoneticPr fontId="4"/>
  </si>
  <si>
    <t>2016年以降</t>
    <rPh sb="4" eb="5">
      <t>ネン</t>
    </rPh>
    <rPh sb="5" eb="7">
      <t>イコウ</t>
    </rPh>
    <phoneticPr fontId="3"/>
  </si>
  <si>
    <t>基準容量</t>
    <rPh sb="0" eb="2">
      <t>キジュン</t>
    </rPh>
    <rPh sb="2" eb="4">
      <t>ヨウリョウ</t>
    </rPh>
    <phoneticPr fontId="3"/>
  </si>
  <si>
    <t>適用負荷率</t>
    <rPh sb="0" eb="2">
      <t>テキヨウ</t>
    </rPh>
    <rPh sb="2" eb="4">
      <t>フカ</t>
    </rPh>
    <rPh sb="4" eb="5">
      <t>リツ</t>
    </rPh>
    <phoneticPr fontId="3"/>
  </si>
  <si>
    <t>最大3個</t>
    <rPh sb="0" eb="2">
      <t>サイダイ</t>
    </rPh>
    <rPh sb="3" eb="4">
      <t>コ</t>
    </rPh>
    <phoneticPr fontId="3"/>
  </si>
  <si>
    <t>単相</t>
  </si>
  <si>
    <t>原油換算</t>
    <rPh sb="0" eb="2">
      <t>ゲンユ</t>
    </rPh>
    <rPh sb="2" eb="4">
      <t>カンサン</t>
    </rPh>
    <phoneticPr fontId="3"/>
  </si>
  <si>
    <t>項　目</t>
    <rPh sb="0" eb="1">
      <t>コウ</t>
    </rPh>
    <rPh sb="2" eb="3">
      <t>メ</t>
    </rPh>
    <phoneticPr fontId="4"/>
  </si>
  <si>
    <t>冷熱源設備の更新</t>
    <rPh sb="0" eb="2">
      <t>レイネツ</t>
    </rPh>
    <rPh sb="2" eb="3">
      <t>ゲン</t>
    </rPh>
    <rPh sb="3" eb="5">
      <t>セツビ</t>
    </rPh>
    <phoneticPr fontId="4"/>
  </si>
  <si>
    <t>西暦で記入</t>
    <rPh sb="0" eb="2">
      <t>セイレキ</t>
    </rPh>
    <rPh sb="3" eb="5">
      <t>キニュウ</t>
    </rPh>
    <phoneticPr fontId="3"/>
  </si>
  <si>
    <t>更新前</t>
    <rPh sb="0" eb="2">
      <t>コウシン</t>
    </rPh>
    <rPh sb="2" eb="3">
      <t>マエ</t>
    </rPh>
    <phoneticPr fontId="3"/>
  </si>
  <si>
    <t>更新後</t>
    <rPh sb="0" eb="2">
      <t>コウシン</t>
    </rPh>
    <rPh sb="2" eb="3">
      <t>ゴ</t>
    </rPh>
    <phoneticPr fontId="3"/>
  </si>
  <si>
    <t>※力率100%として計算</t>
    <rPh sb="1" eb="3">
      <t>リキリツ</t>
    </rPh>
    <rPh sb="10" eb="12">
      <t>ケイサン</t>
    </rPh>
    <phoneticPr fontId="3"/>
  </si>
  <si>
    <t>更新後統合負荷</t>
    <rPh sb="0" eb="2">
      <t>コウシン</t>
    </rPh>
    <rPh sb="2" eb="3">
      <t>ゴ</t>
    </rPh>
    <rPh sb="3" eb="5">
      <t>トウゴウ</t>
    </rPh>
    <rPh sb="5" eb="7">
      <t>フカ</t>
    </rPh>
    <phoneticPr fontId="3"/>
  </si>
  <si>
    <t>kW</t>
    <phoneticPr fontId="3"/>
  </si>
  <si>
    <t>年間電力消費量</t>
    <rPh sb="0" eb="1">
      <t>ネン</t>
    </rPh>
    <rPh sb="1" eb="2">
      <t>カン</t>
    </rPh>
    <rPh sb="2" eb="4">
      <t>デンリョク</t>
    </rPh>
    <rPh sb="4" eb="6">
      <t>ショウヒ</t>
    </rPh>
    <rPh sb="6" eb="7">
      <t>リョウ</t>
    </rPh>
    <phoneticPr fontId="4"/>
  </si>
  <si>
    <t>機種種類</t>
    <rPh sb="0" eb="2">
      <t>キシュ</t>
    </rPh>
    <rPh sb="2" eb="4">
      <t>シュルイ</t>
    </rPh>
    <phoneticPr fontId="3"/>
  </si>
  <si>
    <t>その他燃料･･･右表に無いものは下にデータを記入（1種類だけ可能）</t>
    <rPh sb="2" eb="3">
      <t>タ</t>
    </rPh>
    <rPh sb="3" eb="5">
      <t>ネンリョウ</t>
    </rPh>
    <rPh sb="8" eb="9">
      <t>ミギ</t>
    </rPh>
    <rPh sb="9" eb="10">
      <t>ヒョウ</t>
    </rPh>
    <rPh sb="11" eb="12">
      <t>ナ</t>
    </rPh>
    <rPh sb="16" eb="17">
      <t>シタ</t>
    </rPh>
    <rPh sb="22" eb="24">
      <t>キニュウ</t>
    </rPh>
    <rPh sb="26" eb="28">
      <t>シュルイ</t>
    </rPh>
    <rPh sb="30" eb="32">
      <t>カノウ</t>
    </rPh>
    <phoneticPr fontId="3"/>
  </si>
  <si>
    <t>kwh/年</t>
    <rPh sb="4" eb="5">
      <t>ネン</t>
    </rPh>
    <phoneticPr fontId="3"/>
  </si>
  <si>
    <t>冷凍・温水機</t>
    <rPh sb="0" eb="2">
      <t>レイトウ</t>
    </rPh>
    <rPh sb="3" eb="4">
      <t>オン</t>
    </rPh>
    <rPh sb="4" eb="6">
      <t>スイキ</t>
    </rPh>
    <phoneticPr fontId="3"/>
  </si>
  <si>
    <t>吸収式冷・温水機</t>
    <rPh sb="0" eb="2">
      <t>キュウシュウ</t>
    </rPh>
    <rPh sb="2" eb="3">
      <t>シキ</t>
    </rPh>
    <rPh sb="3" eb="4">
      <t>レイ</t>
    </rPh>
    <rPh sb="5" eb="7">
      <t>オンスイ</t>
    </rPh>
    <rPh sb="7" eb="8">
      <t>キ</t>
    </rPh>
    <phoneticPr fontId="3"/>
  </si>
  <si>
    <t>冷却塔</t>
    <rPh sb="0" eb="3">
      <t>レイキャクトウ</t>
    </rPh>
    <phoneticPr fontId="3"/>
  </si>
  <si>
    <t>kWh/年</t>
    <rPh sb="4" eb="5">
      <t>ネン</t>
    </rPh>
    <phoneticPr fontId="3"/>
  </si>
  <si>
    <t>c年間稼働時間</t>
    <rPh sb="1" eb="2">
      <t>ネン</t>
    </rPh>
    <rPh sb="2" eb="3">
      <t>カン</t>
    </rPh>
    <rPh sb="3" eb="5">
      <t>カドウ</t>
    </rPh>
    <rPh sb="5" eb="7">
      <t>ジカン</t>
    </rPh>
    <phoneticPr fontId="3"/>
  </si>
  <si>
    <t>g 台数</t>
    <rPh sb="2" eb="4">
      <t>ダイスウ</t>
    </rPh>
    <phoneticPr fontId="4"/>
  </si>
  <si>
    <t>h 台数</t>
    <rPh sb="2" eb="4">
      <t>ダイスウ</t>
    </rPh>
    <phoneticPr fontId="4"/>
  </si>
  <si>
    <t>※定格効率は計算結果に関与しません。</t>
    <rPh sb="1" eb="3">
      <t>テイカク</t>
    </rPh>
    <rPh sb="3" eb="5">
      <t>コウリツ</t>
    </rPh>
    <rPh sb="6" eb="8">
      <t>ケイサン</t>
    </rPh>
    <rPh sb="8" eb="10">
      <t>ケッカ</t>
    </rPh>
    <rPh sb="11" eb="13">
      <t>カンヨ</t>
    </rPh>
    <phoneticPr fontId="3"/>
  </si>
  <si>
    <t>b　補助消費電力</t>
    <rPh sb="2" eb="4">
      <t>ホジョ</t>
    </rPh>
    <rPh sb="4" eb="6">
      <t>ショウヒ</t>
    </rPh>
    <rPh sb="6" eb="8">
      <t>デンリョク</t>
    </rPh>
    <phoneticPr fontId="3"/>
  </si>
  <si>
    <t>p 補助消費電力</t>
    <rPh sb="2" eb="4">
      <t>ホジョ</t>
    </rPh>
    <rPh sb="4" eb="6">
      <t>ショウヒ</t>
    </rPh>
    <rPh sb="6" eb="8">
      <t>デンリョク</t>
    </rPh>
    <phoneticPr fontId="3"/>
  </si>
  <si>
    <t>主要エネルギー消費量</t>
    <rPh sb="0" eb="2">
      <t>シュヨウ</t>
    </rPh>
    <rPh sb="7" eb="10">
      <t>ショウヒリョウ</t>
    </rPh>
    <phoneticPr fontId="4"/>
  </si>
  <si>
    <t>補助電力消費量</t>
    <rPh sb="0" eb="2">
      <t>ホジョ</t>
    </rPh>
    <rPh sb="2" eb="4">
      <t>デンリョク</t>
    </rPh>
    <rPh sb="4" eb="7">
      <t>ショウヒリョウ</t>
    </rPh>
    <phoneticPr fontId="4"/>
  </si>
  <si>
    <t>その他設備の更新</t>
    <rPh sb="2" eb="3">
      <t>タ</t>
    </rPh>
    <rPh sb="3" eb="5">
      <t>セツビ</t>
    </rPh>
    <phoneticPr fontId="4"/>
  </si>
  <si>
    <t>補助消費電力</t>
    <rPh sb="0" eb="2">
      <t>ホジョ</t>
    </rPh>
    <rPh sb="2" eb="4">
      <t>ショウヒ</t>
    </rPh>
    <rPh sb="4" eb="6">
      <t>デンリョク</t>
    </rPh>
    <phoneticPr fontId="3"/>
  </si>
  <si>
    <t>主要エネルギー消費量</t>
    <rPh sb="0" eb="2">
      <t>シュヨウ</t>
    </rPh>
    <rPh sb="7" eb="9">
      <t>ショウヒ</t>
    </rPh>
    <rPh sb="9" eb="10">
      <t>リョウ</t>
    </rPh>
    <phoneticPr fontId="4"/>
  </si>
  <si>
    <t>冷蔵庫</t>
    <rPh sb="0" eb="3">
      <t>レイゾウコ</t>
    </rPh>
    <phoneticPr fontId="3"/>
  </si>
  <si>
    <t>冷凍庫</t>
    <rPh sb="0" eb="3">
      <t>レイトウコ</t>
    </rPh>
    <phoneticPr fontId="3"/>
  </si>
  <si>
    <t>ヒートポンプ</t>
    <phoneticPr fontId="3"/>
  </si>
  <si>
    <t>給湯機</t>
    <rPh sb="0" eb="2">
      <t>キュウトウ</t>
    </rPh>
    <rPh sb="2" eb="3">
      <t>キ</t>
    </rPh>
    <phoneticPr fontId="3"/>
  </si>
  <si>
    <t>定格ｴﾈﾙｷﾞ消費量</t>
    <rPh sb="0" eb="2">
      <t>テイカク</t>
    </rPh>
    <rPh sb="7" eb="9">
      <t>ショウヒリョウ</t>
    </rPh>
    <rPh sb="9" eb="10">
      <t>リョウ</t>
    </rPh>
    <phoneticPr fontId="4"/>
  </si>
  <si>
    <t>a定格ｴﾈﾙｷﾞ消費量</t>
    <rPh sb="1" eb="3">
      <t>テイカク</t>
    </rPh>
    <rPh sb="8" eb="10">
      <t>ショウヒリョウ</t>
    </rPh>
    <rPh sb="10" eb="11">
      <t>リョウ</t>
    </rPh>
    <phoneticPr fontId="4"/>
  </si>
  <si>
    <t>o定格ｴﾈﾙｷﾞ消費量</t>
    <rPh sb="1" eb="3">
      <t>テイカク</t>
    </rPh>
    <rPh sb="8" eb="10">
      <t>ショウヒリョウ</t>
    </rPh>
    <rPh sb="10" eb="11">
      <t>リョウ</t>
    </rPh>
    <phoneticPr fontId="4"/>
  </si>
  <si>
    <t>定温庫</t>
    <rPh sb="0" eb="2">
      <t>テイオン</t>
    </rPh>
    <rPh sb="2" eb="3">
      <t>コ</t>
    </rPh>
    <phoneticPr fontId="3"/>
  </si>
  <si>
    <t>年間消費電力量</t>
    <rPh sb="0" eb="1">
      <t>ネン</t>
    </rPh>
    <rPh sb="1" eb="2">
      <t>カン</t>
    </rPh>
    <rPh sb="2" eb="4">
      <t>ショウヒ</t>
    </rPh>
    <rPh sb="4" eb="6">
      <t>デンリョク</t>
    </rPh>
    <rPh sb="6" eb="7">
      <t>リョウ</t>
    </rPh>
    <phoneticPr fontId="3"/>
  </si>
  <si>
    <t>kWｈ/年</t>
    <rPh sb="4" eb="5">
      <t>ネン</t>
    </rPh>
    <phoneticPr fontId="3"/>
  </si>
  <si>
    <t>ｴﾈﾙｷﾞｰ種類</t>
    <rPh sb="7" eb="8">
      <t>シュルイ</t>
    </rPh>
    <phoneticPr fontId="4"/>
  </si>
  <si>
    <t>ｴﾈﾙｷﾞｰ分類</t>
    <rPh sb="6" eb="8">
      <t>ブンルイ</t>
    </rPh>
    <phoneticPr fontId="4"/>
  </si>
  <si>
    <t>＊定格能力等</t>
    <rPh sb="1" eb="3">
      <t>テイカク</t>
    </rPh>
    <rPh sb="3" eb="5">
      <t>ノウリョク</t>
    </rPh>
    <rPh sb="5" eb="6">
      <t>トウ</t>
    </rPh>
    <phoneticPr fontId="3"/>
  </si>
  <si>
    <t>＊設備容量(呼称）・定格能力等</t>
    <rPh sb="1" eb="3">
      <t>セツビ</t>
    </rPh>
    <rPh sb="3" eb="5">
      <t>ヨウリョウ</t>
    </rPh>
    <rPh sb="6" eb="8">
      <t>コショウ</t>
    </rPh>
    <rPh sb="10" eb="12">
      <t>テイカク</t>
    </rPh>
    <rPh sb="12" eb="14">
      <t>ノウリョク</t>
    </rPh>
    <rPh sb="14" eb="15">
      <t>トウ</t>
    </rPh>
    <phoneticPr fontId="3"/>
  </si>
  <si>
    <t>設備一般名称</t>
    <rPh sb="0" eb="2">
      <t>セツビ</t>
    </rPh>
    <rPh sb="2" eb="4">
      <t>イッパン</t>
    </rPh>
    <rPh sb="4" eb="6">
      <t>メイショウ</t>
    </rPh>
    <phoneticPr fontId="3"/>
  </si>
  <si>
    <t>有</t>
  </si>
  <si>
    <t>ターボ冷凍機</t>
    <rPh sb="3" eb="6">
      <t>レイトウキ</t>
    </rPh>
    <phoneticPr fontId="3"/>
  </si>
  <si>
    <t>種類</t>
    <rPh sb="0" eb="2">
      <t>シュルイ</t>
    </rPh>
    <phoneticPr fontId="3"/>
  </si>
  <si>
    <t>主要エネルギー削減
量
（①ｰ④）</t>
    <rPh sb="0" eb="2">
      <t>シュヨウ</t>
    </rPh>
    <rPh sb="7" eb="9">
      <t>サクゲン</t>
    </rPh>
    <rPh sb="10" eb="11">
      <t>リョウ</t>
    </rPh>
    <phoneticPr fontId="4"/>
  </si>
  <si>
    <t>補助電力削減量</t>
    <rPh sb="0" eb="2">
      <t>ホジョ</t>
    </rPh>
    <rPh sb="2" eb="4">
      <t>デンリョク</t>
    </rPh>
    <rPh sb="4" eb="6">
      <t>サクゲン</t>
    </rPh>
    <rPh sb="6" eb="7">
      <t>リョウ</t>
    </rPh>
    <phoneticPr fontId="3"/>
  </si>
  <si>
    <t>年間主要エネルギー消費量</t>
    <rPh sb="0" eb="1">
      <t>ネン</t>
    </rPh>
    <rPh sb="1" eb="2">
      <t>カン</t>
    </rPh>
    <rPh sb="2" eb="4">
      <t>シュヨウ</t>
    </rPh>
    <rPh sb="9" eb="11">
      <t>ショウヒ</t>
    </rPh>
    <rPh sb="11" eb="12">
      <t>リョウ</t>
    </rPh>
    <phoneticPr fontId="4"/>
  </si>
  <si>
    <t>補助電力消費量</t>
    <rPh sb="0" eb="2">
      <t>ホジョ</t>
    </rPh>
    <rPh sb="2" eb="4">
      <t>デンリョク</t>
    </rPh>
    <rPh sb="4" eb="6">
      <t>ショウヒ</t>
    </rPh>
    <rPh sb="6" eb="7">
      <t>リョウ</t>
    </rPh>
    <phoneticPr fontId="4"/>
  </si>
  <si>
    <t>その他</t>
    <rPh sb="2" eb="3">
      <t>タ</t>
    </rPh>
    <phoneticPr fontId="3"/>
  </si>
  <si>
    <t>○</t>
    <phoneticPr fontId="3"/>
  </si>
  <si>
    <t>設備容量（呼称・定格能力等）</t>
    <rPh sb="0" eb="2">
      <t>セツビ</t>
    </rPh>
    <rPh sb="2" eb="4">
      <t>ヨウリョウ</t>
    </rPh>
    <phoneticPr fontId="3"/>
  </si>
  <si>
    <t>単位</t>
    <rPh sb="0" eb="2">
      <t>タンイ</t>
    </rPh>
    <phoneticPr fontId="3"/>
  </si>
  <si>
    <t>kW, kcal,  L, (US)RT</t>
    <phoneticPr fontId="3"/>
  </si>
  <si>
    <t>kW</t>
    <phoneticPr fontId="3"/>
  </si>
  <si>
    <t>kcal</t>
    <phoneticPr fontId="3"/>
  </si>
  <si>
    <t>L</t>
    <phoneticPr fontId="3"/>
  </si>
  <si>
    <t>(US)RT</t>
    <phoneticPr fontId="3"/>
  </si>
  <si>
    <t>MJ</t>
    <phoneticPr fontId="3"/>
  </si>
  <si>
    <t>　　　特記事項</t>
    <rPh sb="3" eb="5">
      <t>トッキ</t>
    </rPh>
    <rPh sb="5" eb="7">
      <t>ジコウ</t>
    </rPh>
    <phoneticPr fontId="4"/>
  </si>
  <si>
    <t>■その他燃料･･･右表に無いものは下にデータを記入（1種類だけ可能）</t>
    <rPh sb="3" eb="4">
      <t>タ</t>
    </rPh>
    <rPh sb="4" eb="6">
      <t>ネンリョウ</t>
    </rPh>
    <rPh sb="9" eb="10">
      <t>ミギ</t>
    </rPh>
    <rPh sb="10" eb="11">
      <t>ヒョウ</t>
    </rPh>
    <rPh sb="12" eb="13">
      <t>ナ</t>
    </rPh>
    <rPh sb="17" eb="18">
      <t>シタ</t>
    </rPh>
    <rPh sb="23" eb="25">
      <t>キニュウ</t>
    </rPh>
    <rPh sb="27" eb="29">
      <t>シュルイ</t>
    </rPh>
    <rPh sb="31" eb="33">
      <t>カノウ</t>
    </rPh>
    <phoneticPr fontId="3"/>
  </si>
  <si>
    <t>設備の種類</t>
    <rPh sb="0" eb="2">
      <t>セツビ</t>
    </rPh>
    <rPh sb="3" eb="5">
      <t>シュルイ</t>
    </rPh>
    <phoneticPr fontId="3"/>
  </si>
  <si>
    <t>空調（EHP・GHP)の更新</t>
    <rPh sb="0" eb="2">
      <t>クウチョウ</t>
    </rPh>
    <phoneticPr fontId="4"/>
  </si>
  <si>
    <t>・更新後のボイラ仕様値を同様に記入する。</t>
    <rPh sb="1" eb="3">
      <t>コウシン</t>
    </rPh>
    <rPh sb="3" eb="4">
      <t>ゴ</t>
    </rPh>
    <rPh sb="8" eb="10">
      <t>シヨウ</t>
    </rPh>
    <rPh sb="10" eb="11">
      <t>チ</t>
    </rPh>
    <rPh sb="12" eb="14">
      <t>ドウヨウ</t>
    </rPh>
    <rPh sb="15" eb="17">
      <t>キニュウ</t>
    </rPh>
    <phoneticPr fontId="3"/>
  </si>
  <si>
    <t>燃料種類により単位が異なるので、適切な単位を</t>
    <rPh sb="0" eb="2">
      <t>ネンリョウ</t>
    </rPh>
    <rPh sb="2" eb="4">
      <t>シュルイ</t>
    </rPh>
    <rPh sb="7" eb="9">
      <t>タンイ</t>
    </rPh>
    <rPh sb="10" eb="11">
      <t>コト</t>
    </rPh>
    <rPh sb="16" eb="18">
      <t>テキセツ</t>
    </rPh>
    <rPh sb="19" eb="21">
      <t>タンイ</t>
    </rPh>
    <phoneticPr fontId="3"/>
  </si>
  <si>
    <t>選択する。誤記入に注意する。</t>
    <rPh sb="0" eb="2">
      <t>センタク</t>
    </rPh>
    <rPh sb="5" eb="8">
      <t>ゴキニュウ</t>
    </rPh>
    <rPh sb="9" eb="11">
      <t>チュウイ</t>
    </rPh>
    <phoneticPr fontId="3"/>
  </si>
  <si>
    <t>変圧器の更新</t>
    <rPh sb="0" eb="3">
      <t>ヘンアツキ</t>
    </rPh>
    <phoneticPr fontId="4"/>
  </si>
  <si>
    <t>対象の発熱量値、CO₂排出係数値を記入する。</t>
    <rPh sb="0" eb="2">
      <t>タイショウ</t>
    </rPh>
    <rPh sb="3" eb="5">
      <t>ハツネツ</t>
    </rPh>
    <rPh sb="5" eb="6">
      <t>リョウ</t>
    </rPh>
    <rPh sb="6" eb="7">
      <t>チ</t>
    </rPh>
    <rPh sb="11" eb="13">
      <t>ハイシュツ</t>
    </rPh>
    <rPh sb="13" eb="15">
      <t>ケイスウ</t>
    </rPh>
    <rPh sb="15" eb="16">
      <t>チ</t>
    </rPh>
    <rPh sb="17" eb="19">
      <t>キニュウ</t>
    </rPh>
    <phoneticPr fontId="3"/>
  </si>
  <si>
    <t>・カタログ上の定格ボイラ効率を記入する。潜熱回収型であれば有を選択する。</t>
    <rPh sb="5" eb="6">
      <t>ジョウ</t>
    </rPh>
    <rPh sb="7" eb="9">
      <t>テイカク</t>
    </rPh>
    <rPh sb="12" eb="14">
      <t>コウリツ</t>
    </rPh>
    <rPh sb="15" eb="17">
      <t>キニュウ</t>
    </rPh>
    <rPh sb="20" eb="22">
      <t>センネツ</t>
    </rPh>
    <rPh sb="22" eb="25">
      <t>カイシュウガタ</t>
    </rPh>
    <rPh sb="29" eb="30">
      <t>アリ</t>
    </rPh>
    <rPh sb="31" eb="33">
      <t>センタク</t>
    </rPh>
    <phoneticPr fontId="3"/>
  </si>
  <si>
    <t>・燃料が選択リストにない場合は右例のその他燃料表のように対象燃料の特性値を記入、</t>
    <rPh sb="1" eb="3">
      <t>ネンリョウ</t>
    </rPh>
    <rPh sb="4" eb="6">
      <t>センタク</t>
    </rPh>
    <rPh sb="12" eb="14">
      <t>バアイ</t>
    </rPh>
    <rPh sb="15" eb="16">
      <t>ウ</t>
    </rPh>
    <rPh sb="16" eb="17">
      <t>レイ</t>
    </rPh>
    <rPh sb="28" eb="30">
      <t>タイショウ</t>
    </rPh>
    <rPh sb="30" eb="32">
      <t>ネンリョウ</t>
    </rPh>
    <rPh sb="33" eb="36">
      <t>トクセイチ</t>
    </rPh>
    <rPh sb="37" eb="39">
      <t>キニュウ</t>
    </rPh>
    <phoneticPr fontId="3"/>
  </si>
  <si>
    <t>　記入後、改めて、表で燃料種類を選択する。</t>
    <rPh sb="16" eb="18">
      <t>センタク</t>
    </rPh>
    <phoneticPr fontId="3"/>
  </si>
  <si>
    <t>・更新前、更新後機種の容量、相数、無負荷損、負荷損を記入する。</t>
    <rPh sb="1" eb="3">
      <t>コウシン</t>
    </rPh>
    <rPh sb="3" eb="4">
      <t>マエ</t>
    </rPh>
    <rPh sb="5" eb="7">
      <t>コウシン</t>
    </rPh>
    <rPh sb="7" eb="8">
      <t>ゴ</t>
    </rPh>
    <rPh sb="8" eb="10">
      <t>キシュ</t>
    </rPh>
    <rPh sb="11" eb="13">
      <t>ヨウリョウ</t>
    </rPh>
    <rPh sb="14" eb="16">
      <t>ソウスウ</t>
    </rPh>
    <rPh sb="17" eb="20">
      <t>ムフカ</t>
    </rPh>
    <rPh sb="20" eb="21">
      <t>ゾン</t>
    </rPh>
    <rPh sb="22" eb="24">
      <t>フカ</t>
    </rPh>
    <rPh sb="24" eb="25">
      <t>ゾン</t>
    </rPh>
    <rPh sb="26" eb="28">
      <t>キニュウ</t>
    </rPh>
    <phoneticPr fontId="3"/>
  </si>
  <si>
    <t>・更新前の稼働日における1日の設備稼働時間と変圧器負荷率、設備非稼働（夜間や休日）</t>
    <rPh sb="1" eb="3">
      <t>コウシン</t>
    </rPh>
    <rPh sb="3" eb="4">
      <t>マエ</t>
    </rPh>
    <rPh sb="5" eb="7">
      <t>カドウ</t>
    </rPh>
    <rPh sb="7" eb="8">
      <t>ビ</t>
    </rPh>
    <rPh sb="13" eb="14">
      <t>ニチ</t>
    </rPh>
    <rPh sb="15" eb="17">
      <t>セツビ</t>
    </rPh>
    <rPh sb="17" eb="19">
      <t>カドウ</t>
    </rPh>
    <rPh sb="19" eb="21">
      <t>ジカン</t>
    </rPh>
    <rPh sb="22" eb="25">
      <t>ヘンアツキ</t>
    </rPh>
    <rPh sb="25" eb="27">
      <t>フカ</t>
    </rPh>
    <rPh sb="27" eb="28">
      <t>リツ</t>
    </rPh>
    <rPh sb="29" eb="31">
      <t>セツビ</t>
    </rPh>
    <rPh sb="31" eb="32">
      <t>ヒ</t>
    </rPh>
    <rPh sb="32" eb="34">
      <t>カドウ</t>
    </rPh>
    <rPh sb="35" eb="37">
      <t>ヤカン</t>
    </rPh>
    <rPh sb="38" eb="40">
      <t>キュウジツ</t>
    </rPh>
    <phoneticPr fontId="3"/>
  </si>
  <si>
    <t>　統合対象機は最大３台までとなっている。</t>
    <rPh sb="1" eb="3">
      <t>トウゴウ</t>
    </rPh>
    <rPh sb="3" eb="5">
      <t>タイショウ</t>
    </rPh>
    <rPh sb="5" eb="6">
      <t>キ</t>
    </rPh>
    <rPh sb="7" eb="9">
      <t>サイダイ</t>
    </rPh>
    <rPh sb="10" eb="11">
      <t>ダイ</t>
    </rPh>
    <phoneticPr fontId="3"/>
  </si>
  <si>
    <t>相数</t>
    <rPh sb="0" eb="1">
      <t>ソウ</t>
    </rPh>
    <rPh sb="1" eb="2">
      <t>スウ</t>
    </rPh>
    <phoneticPr fontId="4"/>
  </si>
  <si>
    <t>　の平均負荷率を記入する。</t>
    <rPh sb="2" eb="4">
      <t>ヘイキン</t>
    </rPh>
    <rPh sb="4" eb="6">
      <t>フカ</t>
    </rPh>
    <rPh sb="6" eb="7">
      <t>リツ</t>
    </rPh>
    <rPh sb="8" eb="10">
      <t>キニュウ</t>
    </rPh>
    <phoneticPr fontId="3"/>
  </si>
  <si>
    <t>・更新後、変圧器を統合する場合は、更新前の複数対象機に対し、更新後の統合対象機を</t>
    <rPh sb="1" eb="3">
      <t>コウシン</t>
    </rPh>
    <rPh sb="3" eb="4">
      <t>ゴ</t>
    </rPh>
    <rPh sb="5" eb="8">
      <t>ヘンアツキ</t>
    </rPh>
    <rPh sb="9" eb="11">
      <t>トウゴウ</t>
    </rPh>
    <rPh sb="13" eb="15">
      <t>バアイ</t>
    </rPh>
    <rPh sb="17" eb="19">
      <t>コウシン</t>
    </rPh>
    <rPh sb="19" eb="20">
      <t>マエ</t>
    </rPh>
    <rPh sb="21" eb="23">
      <t>フクスウ</t>
    </rPh>
    <rPh sb="23" eb="25">
      <t>タイショウ</t>
    </rPh>
    <rPh sb="25" eb="26">
      <t>キ</t>
    </rPh>
    <rPh sb="27" eb="28">
      <t>タイ</t>
    </rPh>
    <rPh sb="30" eb="32">
      <t>コウシン</t>
    </rPh>
    <rPh sb="32" eb="33">
      <t>ゴ</t>
    </rPh>
    <rPh sb="34" eb="36">
      <t>トウゴウ</t>
    </rPh>
    <rPh sb="36" eb="38">
      <t>タイショウ</t>
    </rPh>
    <rPh sb="38" eb="39">
      <t>キ</t>
    </rPh>
    <phoneticPr fontId="3"/>
  </si>
  <si>
    <t>・設備容量（定格能力や馬力等の呼称値でもよい）を記入する。更新後の容量と単位を同じ</t>
    <rPh sb="1" eb="3">
      <t>セツビ</t>
    </rPh>
    <rPh sb="3" eb="5">
      <t>ヨウリョウ</t>
    </rPh>
    <rPh sb="6" eb="8">
      <t>テイカク</t>
    </rPh>
    <rPh sb="8" eb="10">
      <t>ノウリョク</t>
    </rPh>
    <rPh sb="11" eb="13">
      <t>バリキ</t>
    </rPh>
    <rPh sb="13" eb="14">
      <t>トウ</t>
    </rPh>
    <rPh sb="15" eb="17">
      <t>コショウ</t>
    </rPh>
    <rPh sb="17" eb="18">
      <t>チ</t>
    </rPh>
    <rPh sb="24" eb="26">
      <t>キニュウ</t>
    </rPh>
    <rPh sb="29" eb="31">
      <t>コウシン</t>
    </rPh>
    <rPh sb="31" eb="32">
      <t>ゴ</t>
    </rPh>
    <rPh sb="33" eb="35">
      <t>ヨウリョウ</t>
    </rPh>
    <rPh sb="36" eb="38">
      <t>タンイ</t>
    </rPh>
    <rPh sb="39" eb="40">
      <t>オナ</t>
    </rPh>
    <phoneticPr fontId="3"/>
  </si>
  <si>
    <t>　にすること。</t>
    <phoneticPr fontId="3"/>
  </si>
  <si>
    <t>・年間の稼働時間と、間欠運転や負荷が変動する場合は負荷率を記入する。</t>
    <rPh sb="1" eb="3">
      <t>ネンカン</t>
    </rPh>
    <rPh sb="4" eb="6">
      <t>カドウ</t>
    </rPh>
    <rPh sb="6" eb="8">
      <t>ジカン</t>
    </rPh>
    <rPh sb="10" eb="12">
      <t>カンケツ</t>
    </rPh>
    <rPh sb="12" eb="14">
      <t>ウンテン</t>
    </rPh>
    <rPh sb="15" eb="17">
      <t>フカ</t>
    </rPh>
    <rPh sb="18" eb="20">
      <t>ヘンドウ</t>
    </rPh>
    <rPh sb="22" eb="24">
      <t>バアイ</t>
    </rPh>
    <rPh sb="25" eb="27">
      <t>フカ</t>
    </rPh>
    <rPh sb="27" eb="28">
      <t>リツ</t>
    </rPh>
    <rPh sb="29" eb="31">
      <t>キニュウ</t>
    </rPh>
    <phoneticPr fontId="3"/>
  </si>
  <si>
    <t>モータ規格</t>
    <rPh sb="3" eb="5">
      <t>キカク</t>
    </rPh>
    <phoneticPr fontId="4"/>
  </si>
  <si>
    <t>モーター</t>
  </si>
  <si>
    <t>モーター</t>
    <phoneticPr fontId="3"/>
  </si>
  <si>
    <t>ブロア</t>
    <phoneticPr fontId="3"/>
  </si>
  <si>
    <t>ファン</t>
    <phoneticPr fontId="3"/>
  </si>
  <si>
    <t>ポンプ</t>
    <phoneticPr fontId="3"/>
  </si>
  <si>
    <t>モーター設備の更新</t>
    <rPh sb="4" eb="6">
      <t>セツビ</t>
    </rPh>
    <phoneticPr fontId="4"/>
  </si>
  <si>
    <t>定格出力</t>
    <rPh sb="0" eb="2">
      <t>テイカク</t>
    </rPh>
    <rPh sb="2" eb="4">
      <t>シュツリョク</t>
    </rPh>
    <phoneticPr fontId="4"/>
  </si>
  <si>
    <t>年間稼働時間</t>
    <rPh sb="0" eb="2">
      <t>ネンカン</t>
    </rPh>
    <rPh sb="2" eb="6">
      <t>カドウジカン</t>
    </rPh>
    <phoneticPr fontId="4"/>
  </si>
  <si>
    <t>CO2排出量</t>
  </si>
  <si>
    <t>CO2排出量</t>
    <phoneticPr fontId="4"/>
  </si>
  <si>
    <t>*インバーター等での低減率</t>
    <rPh sb="7" eb="8">
      <t>トウ</t>
    </rPh>
    <rPh sb="10" eb="12">
      <t>テイゲン</t>
    </rPh>
    <rPh sb="12" eb="13">
      <t>リツ</t>
    </rPh>
    <phoneticPr fontId="4"/>
  </si>
  <si>
    <t>*低減率の根拠資料提示が必要</t>
    <rPh sb="1" eb="3">
      <t>テイゲン</t>
    </rPh>
    <rPh sb="3" eb="4">
      <t>リツ</t>
    </rPh>
    <rPh sb="5" eb="7">
      <t>コンキョ</t>
    </rPh>
    <rPh sb="7" eb="9">
      <t>シリョウ</t>
    </rPh>
    <rPh sb="9" eb="11">
      <t>テイジ</t>
    </rPh>
    <rPh sb="12" eb="14">
      <t>ヒツヨウ</t>
    </rPh>
    <phoneticPr fontId="3"/>
  </si>
  <si>
    <t>更新前</t>
    <rPh sb="0" eb="2">
      <t>コウシン</t>
    </rPh>
    <rPh sb="2" eb="3">
      <t>マエ</t>
    </rPh>
    <phoneticPr fontId="3"/>
  </si>
  <si>
    <t>更新後</t>
    <rPh sb="0" eb="2">
      <t>コウシン</t>
    </rPh>
    <rPh sb="2" eb="3">
      <t>ゴ</t>
    </rPh>
    <phoneticPr fontId="3"/>
  </si>
  <si>
    <r>
      <rPr>
        <sz val="11"/>
        <color rgb="FF000000"/>
        <rFont val="ＭＳ ゴシック"/>
        <family val="3"/>
        <charset val="128"/>
      </rPr>
      <t>※設備容量</t>
    </r>
    <r>
      <rPr>
        <sz val="11"/>
        <color rgb="FF000000"/>
        <rFont val="游ゴシック"/>
        <family val="3"/>
        <charset val="128"/>
      </rPr>
      <t>の増加は原則認められません</t>
    </r>
    <rPh sb="1" eb="3">
      <t>セツビ</t>
    </rPh>
    <rPh sb="3" eb="5">
      <t>ヨウリョウ</t>
    </rPh>
    <phoneticPr fontId="3"/>
  </si>
  <si>
    <t>電力削減量</t>
    <rPh sb="0" eb="2">
      <t>デンリョク</t>
    </rPh>
    <rPh sb="2" eb="5">
      <t>サクゲンリョウ</t>
    </rPh>
    <phoneticPr fontId="4"/>
  </si>
  <si>
    <t>CO2削減量</t>
    <rPh sb="3" eb="6">
      <t>サクゲンリョウ</t>
    </rPh>
    <phoneticPr fontId="4"/>
  </si>
  <si>
    <t>年式</t>
    <rPh sb="0" eb="1">
      <t>ネン</t>
    </rPh>
    <rPh sb="1" eb="2">
      <t>シキ</t>
    </rPh>
    <phoneticPr fontId="3"/>
  </si>
  <si>
    <t>kWh／年</t>
    <rPh sb="4" eb="5">
      <t>ネン</t>
    </rPh>
    <phoneticPr fontId="3"/>
  </si>
  <si>
    <t>日/年</t>
    <rPh sb="0" eb="1">
      <t>ヒ</t>
    </rPh>
    <rPh sb="2" eb="3">
      <t>ネン</t>
    </rPh>
    <phoneticPr fontId="4"/>
  </si>
  <si>
    <t>モジュール枚数</t>
    <rPh sb="5" eb="7">
      <t>マイスウ</t>
    </rPh>
    <phoneticPr fontId="4"/>
  </si>
  <si>
    <t>枚</t>
    <rPh sb="0" eb="1">
      <t>マイ</t>
    </rPh>
    <phoneticPr fontId="4"/>
  </si>
  <si>
    <t>結晶系</t>
    <rPh sb="0" eb="2">
      <t>ケッショウ</t>
    </rPh>
    <rPh sb="2" eb="3">
      <t>ケイ</t>
    </rPh>
    <phoneticPr fontId="3"/>
  </si>
  <si>
    <t>PERC</t>
    <phoneticPr fontId="3"/>
  </si>
  <si>
    <t>モジュール変換効率</t>
    <rPh sb="5" eb="7">
      <t>ヘンカン</t>
    </rPh>
    <rPh sb="7" eb="9">
      <t>コウリツ</t>
    </rPh>
    <phoneticPr fontId="3"/>
  </si>
  <si>
    <t>モジュール公称出力</t>
    <rPh sb="5" eb="7">
      <t>コウショウ</t>
    </rPh>
    <rPh sb="7" eb="9">
      <t>シュツリョク</t>
    </rPh>
    <phoneticPr fontId="4"/>
  </si>
  <si>
    <t>自家消費電力量</t>
    <rPh sb="0" eb="2">
      <t>ジカ</t>
    </rPh>
    <rPh sb="2" eb="4">
      <t>ショウヒ</t>
    </rPh>
    <rPh sb="4" eb="6">
      <t>デンリョク</t>
    </rPh>
    <rPh sb="6" eb="7">
      <t>リョウ</t>
    </rPh>
    <phoneticPr fontId="4"/>
  </si>
  <si>
    <t>CO2削減量③</t>
    <rPh sb="3" eb="5">
      <t>サクゲン</t>
    </rPh>
    <rPh sb="5" eb="6">
      <t>リョウ</t>
    </rPh>
    <phoneticPr fontId="4"/>
  </si>
  <si>
    <t>蓄電池</t>
    <rPh sb="0" eb="3">
      <t>チクデンチ</t>
    </rPh>
    <phoneticPr fontId="3"/>
  </si>
  <si>
    <t>h</t>
    <phoneticPr fontId="3"/>
  </si>
  <si>
    <t>年間操業日数</t>
    <rPh sb="0" eb="1">
      <t>ネン</t>
    </rPh>
    <rPh sb="1" eb="2">
      <t>カン</t>
    </rPh>
    <rPh sb="2" eb="4">
      <t>ソウギョウ</t>
    </rPh>
    <rPh sb="4" eb="6">
      <t>ニッスウ</t>
    </rPh>
    <phoneticPr fontId="3"/>
  </si>
  <si>
    <t>余剰電力処置</t>
    <rPh sb="0" eb="2">
      <t>ヨジョウ</t>
    </rPh>
    <rPh sb="2" eb="4">
      <t>デンリョク</t>
    </rPh>
    <rPh sb="4" eb="6">
      <t>ショチ</t>
    </rPh>
    <phoneticPr fontId="3"/>
  </si>
  <si>
    <t>系統連系</t>
    <rPh sb="0" eb="4">
      <t>ケイトウレンケイ</t>
    </rPh>
    <phoneticPr fontId="3"/>
  </si>
  <si>
    <t>独立（交流負荷）</t>
    <rPh sb="0" eb="2">
      <t>ドクリツ</t>
    </rPh>
    <rPh sb="3" eb="5">
      <t>コウリュウ</t>
    </rPh>
    <rPh sb="5" eb="7">
      <t>フカ</t>
    </rPh>
    <phoneticPr fontId="3"/>
  </si>
  <si>
    <t>独立（直流負荷）</t>
    <rPh sb="0" eb="2">
      <t>ドクリツ</t>
    </rPh>
    <rPh sb="3" eb="5">
      <t>チョクリュウ</t>
    </rPh>
    <rPh sb="5" eb="7">
      <t>フカ</t>
    </rPh>
    <phoneticPr fontId="3"/>
  </si>
  <si>
    <t>自家消費率</t>
    <rPh sb="0" eb="2">
      <t>ジカ</t>
    </rPh>
    <rPh sb="2" eb="4">
      <t>ショウヒ</t>
    </rPh>
    <rPh sb="4" eb="5">
      <t>リツ</t>
    </rPh>
    <phoneticPr fontId="3"/>
  </si>
  <si>
    <t>売電</t>
    <rPh sb="0" eb="2">
      <t>バイデン</t>
    </rPh>
    <phoneticPr fontId="3"/>
  </si>
  <si>
    <t>他</t>
    <rPh sb="0" eb="1">
      <t>ホカ</t>
    </rPh>
    <phoneticPr fontId="3"/>
  </si>
  <si>
    <t>年間電力使用量</t>
    <rPh sb="0" eb="1">
      <t>ネン</t>
    </rPh>
    <rPh sb="1" eb="2">
      <t>カン</t>
    </rPh>
    <rPh sb="2" eb="4">
      <t>デンリョク</t>
    </rPh>
    <rPh sb="4" eb="7">
      <t>シヨウリョウ</t>
    </rPh>
    <phoneticPr fontId="3"/>
  </si>
  <si>
    <t>CO2削減率</t>
    <rPh sb="3" eb="5">
      <t>サクゲン</t>
    </rPh>
    <rPh sb="5" eb="6">
      <t>リツ</t>
    </rPh>
    <phoneticPr fontId="4"/>
  </si>
  <si>
    <t>太陽光発電システム容量</t>
    <rPh sb="0" eb="3">
      <t>タイヨウコウ</t>
    </rPh>
    <rPh sb="3" eb="5">
      <t>ハツデン</t>
    </rPh>
    <rPh sb="9" eb="11">
      <t>ヨウリョウ</t>
    </rPh>
    <phoneticPr fontId="3"/>
  </si>
  <si>
    <t>蓄電容量(合計）</t>
    <rPh sb="0" eb="2">
      <t>チクデン</t>
    </rPh>
    <rPh sb="2" eb="4">
      <t>ヨウリョウ</t>
    </rPh>
    <rPh sb="5" eb="7">
      <t>ゴウケイ</t>
    </rPh>
    <phoneticPr fontId="4"/>
  </si>
  <si>
    <t>W</t>
    <phoneticPr fontId="3"/>
  </si>
  <si>
    <t>PCS出力（力率1.0）合計</t>
    <rPh sb="3" eb="5">
      <t>シュツリョク</t>
    </rPh>
    <rPh sb="6" eb="8">
      <t>リキリツ</t>
    </rPh>
    <rPh sb="12" eb="14">
      <t>ゴウケイ</t>
    </rPh>
    <phoneticPr fontId="4"/>
  </si>
  <si>
    <t>停電時昼間使用目安時間</t>
    <rPh sb="0" eb="2">
      <t>テイデン</t>
    </rPh>
    <rPh sb="2" eb="3">
      <t>ジ</t>
    </rPh>
    <rPh sb="3" eb="5">
      <t>ヒルマ</t>
    </rPh>
    <rPh sb="5" eb="7">
      <t>シヨウ</t>
    </rPh>
    <rPh sb="7" eb="9">
      <t>メヤス</t>
    </rPh>
    <rPh sb="9" eb="11">
      <t>ジカン</t>
    </rPh>
    <phoneticPr fontId="4"/>
  </si>
  <si>
    <t>停電時夜間使用目安時間</t>
    <rPh sb="0" eb="2">
      <t>テイデン</t>
    </rPh>
    <rPh sb="2" eb="3">
      <t>ジ</t>
    </rPh>
    <rPh sb="3" eb="5">
      <t>ヤカン</t>
    </rPh>
    <rPh sb="5" eb="7">
      <t>シヨウ</t>
    </rPh>
    <rPh sb="7" eb="9">
      <t>メヤス</t>
    </rPh>
    <rPh sb="9" eb="11">
      <t>ジカン</t>
    </rPh>
    <phoneticPr fontId="4"/>
  </si>
  <si>
    <t>年間発電量</t>
    <rPh sb="0" eb="1">
      <t>ネン</t>
    </rPh>
    <rPh sb="1" eb="2">
      <t>カン</t>
    </rPh>
    <rPh sb="2" eb="4">
      <t>ハツデン</t>
    </rPh>
    <rPh sb="4" eb="5">
      <t>リョウ</t>
    </rPh>
    <phoneticPr fontId="4"/>
  </si>
  <si>
    <t>年間電力使用量</t>
    <phoneticPr fontId="4"/>
  </si>
  <si>
    <t>電力量</t>
    <rPh sb="0" eb="2">
      <t>デンリョク</t>
    </rPh>
    <rPh sb="2" eb="3">
      <t>リョウ</t>
    </rPh>
    <phoneticPr fontId="3"/>
  </si>
  <si>
    <t>削減率</t>
    <rPh sb="0" eb="2">
      <t>サクゲン</t>
    </rPh>
    <rPh sb="2" eb="3">
      <t>リツ</t>
    </rPh>
    <phoneticPr fontId="3"/>
  </si>
  <si>
    <t>CO₂換算量</t>
    <rPh sb="3" eb="5">
      <t>カンサン</t>
    </rPh>
    <rPh sb="5" eb="6">
      <t>シュツリョウ</t>
    </rPh>
    <phoneticPr fontId="3"/>
  </si>
  <si>
    <t>原油換算エネルギー換算量</t>
    <rPh sb="0" eb="4">
      <t>ゲンユカンザン</t>
    </rPh>
    <rPh sb="9" eb="11">
      <t>カンサン</t>
    </rPh>
    <rPh sb="11" eb="12">
      <t>リョウ</t>
    </rPh>
    <phoneticPr fontId="4"/>
  </si>
  <si>
    <t>太陽光設備</t>
    <rPh sb="0" eb="3">
      <t>タイヨウコウ</t>
    </rPh>
    <rPh sb="3" eb="5">
      <t>セツビ</t>
    </rPh>
    <phoneticPr fontId="4"/>
  </si>
  <si>
    <t>記入数値の適否</t>
    <rPh sb="0" eb="2">
      <t>キニュウ</t>
    </rPh>
    <rPh sb="2" eb="4">
      <t>スウチ</t>
    </rPh>
    <rPh sb="5" eb="7">
      <t>テキヒ</t>
    </rPh>
    <phoneticPr fontId="4"/>
  </si>
  <si>
    <t>３．効果判定</t>
    <rPh sb="2" eb="4">
      <t>コウカ</t>
    </rPh>
    <rPh sb="4" eb="6">
      <t>ハンテイ</t>
    </rPh>
    <phoneticPr fontId="3"/>
  </si>
  <si>
    <t>太陽光発電・蓄電池</t>
    <rPh sb="0" eb="3">
      <t>タイヨウコウ</t>
    </rPh>
    <rPh sb="3" eb="5">
      <t>ハツデン</t>
    </rPh>
    <rPh sb="6" eb="8">
      <t>チクデン</t>
    </rPh>
    <rPh sb="8" eb="9">
      <t>イケ</t>
    </rPh>
    <phoneticPr fontId="4"/>
  </si>
  <si>
    <t>太陽光発電・蓄電池</t>
    <rPh sb="0" eb="3">
      <t>タイヨウコウ</t>
    </rPh>
    <rPh sb="3" eb="5">
      <t>ハツデン</t>
    </rPh>
    <rPh sb="6" eb="9">
      <t>チクデンチ</t>
    </rPh>
    <phoneticPr fontId="4"/>
  </si>
  <si>
    <t>系統側</t>
    <rPh sb="0" eb="2">
      <t>ケイトウ</t>
    </rPh>
    <rPh sb="2" eb="3">
      <t>ガワ</t>
    </rPh>
    <phoneticPr fontId="3"/>
  </si>
  <si>
    <t>発電設備側</t>
    <rPh sb="0" eb="2">
      <t>ハツデン</t>
    </rPh>
    <rPh sb="2" eb="4">
      <t>セツビ</t>
    </rPh>
    <rPh sb="4" eb="5">
      <t>ガワ</t>
    </rPh>
    <phoneticPr fontId="3"/>
  </si>
  <si>
    <t>設置位置（PCS位置に対し）</t>
    <rPh sb="0" eb="2">
      <t>セッチ</t>
    </rPh>
    <rPh sb="2" eb="4">
      <t>イチ</t>
    </rPh>
    <rPh sb="8" eb="10">
      <t>イチ</t>
    </rPh>
    <rPh sb="11" eb="12">
      <t>タイ</t>
    </rPh>
    <phoneticPr fontId="3"/>
  </si>
  <si>
    <t>・太陽光モジュールの仕様、設置枚数、PCS特性値を記入する。</t>
    <rPh sb="1" eb="4">
      <t>タイヨウコウ</t>
    </rPh>
    <rPh sb="10" eb="12">
      <t>シヨウ</t>
    </rPh>
    <rPh sb="13" eb="15">
      <t>セッチ</t>
    </rPh>
    <rPh sb="15" eb="17">
      <t>マイスウ</t>
    </rPh>
    <rPh sb="21" eb="24">
      <t>トクセイチ</t>
    </rPh>
    <rPh sb="25" eb="27">
      <t>キニュウ</t>
    </rPh>
    <phoneticPr fontId="3"/>
  </si>
  <si>
    <t>・自家消費する年間の操業日数を記入する。余剰電力の処置方法を選択する。</t>
    <rPh sb="1" eb="3">
      <t>ジカ</t>
    </rPh>
    <rPh sb="3" eb="5">
      <t>ショウヒ</t>
    </rPh>
    <rPh sb="7" eb="9">
      <t>ネンカン</t>
    </rPh>
    <rPh sb="10" eb="12">
      <t>ソウギョウ</t>
    </rPh>
    <rPh sb="12" eb="14">
      <t>ニッスウ</t>
    </rPh>
    <rPh sb="15" eb="17">
      <t>キニュウ</t>
    </rPh>
    <rPh sb="20" eb="22">
      <t>ヨジョウ</t>
    </rPh>
    <rPh sb="22" eb="24">
      <t>デンリョク</t>
    </rPh>
    <rPh sb="25" eb="27">
      <t>ショチ</t>
    </rPh>
    <rPh sb="27" eb="29">
      <t>ホウホウ</t>
    </rPh>
    <rPh sb="30" eb="32">
      <t>センタク</t>
    </rPh>
    <phoneticPr fontId="3"/>
  </si>
  <si>
    <t>＊年間発電電力量</t>
    <rPh sb="1" eb="2">
      <t>ネン</t>
    </rPh>
    <rPh sb="2" eb="3">
      <t>カン</t>
    </rPh>
    <rPh sb="3" eb="5">
      <t>ハツデン</t>
    </rPh>
    <rPh sb="5" eb="7">
      <t>デンリョク</t>
    </rPh>
    <rPh sb="7" eb="8">
      <t>リョウ</t>
    </rPh>
    <phoneticPr fontId="4"/>
  </si>
  <si>
    <t>＊自家消費電力量</t>
    <rPh sb="1" eb="3">
      <t>ジカ</t>
    </rPh>
    <rPh sb="3" eb="5">
      <t>ショウヒ</t>
    </rPh>
    <rPh sb="5" eb="7">
      <t>デンリョク</t>
    </rPh>
    <rPh sb="7" eb="8">
      <t>リョウ</t>
    </rPh>
    <phoneticPr fontId="4"/>
  </si>
  <si>
    <t>＊ シミュレーションや計算結果からの数値を記載</t>
    <rPh sb="11" eb="13">
      <t>ケイサン</t>
    </rPh>
    <rPh sb="13" eb="15">
      <t>ケッカ</t>
    </rPh>
    <rPh sb="18" eb="20">
      <t>スウチ</t>
    </rPh>
    <rPh sb="21" eb="23">
      <t>キサイ</t>
    </rPh>
    <phoneticPr fontId="3"/>
  </si>
  <si>
    <t>（２）出力判定での警告</t>
    <rPh sb="3" eb="5">
      <t>シュツリョク</t>
    </rPh>
    <rPh sb="5" eb="7">
      <t>ハンテイ</t>
    </rPh>
    <rPh sb="9" eb="11">
      <t>ケイコク</t>
    </rPh>
    <phoneticPr fontId="3"/>
  </si>
  <si>
    <t>（１）記入上の注意点</t>
    <rPh sb="3" eb="5">
      <t>キニュウ</t>
    </rPh>
    <rPh sb="5" eb="6">
      <t>ジョウ</t>
    </rPh>
    <rPh sb="7" eb="10">
      <t>チュウイテン</t>
    </rPh>
    <phoneticPr fontId="3"/>
  </si>
  <si>
    <t xml:space="preserve"> 複数でグループ運転している場合はそれぞれの（推定）比率を記入する。</t>
    <rPh sb="1" eb="3">
      <t>フクスウ</t>
    </rPh>
    <rPh sb="8" eb="10">
      <t>ウンテン</t>
    </rPh>
    <rPh sb="14" eb="16">
      <t>バアイ</t>
    </rPh>
    <rPh sb="23" eb="25">
      <t>スイテイ</t>
    </rPh>
    <rPh sb="26" eb="28">
      <t>ヒリツ</t>
    </rPh>
    <rPh sb="29" eb="31">
      <t>キニュウ</t>
    </rPh>
    <phoneticPr fontId="3"/>
  </si>
  <si>
    <t>・更新前の冷暖房の定格能力値、消費電力値を銘板や取説の仕様から記入する。</t>
    <rPh sb="1" eb="3">
      <t>コウシン</t>
    </rPh>
    <rPh sb="3" eb="4">
      <t>マエ</t>
    </rPh>
    <rPh sb="5" eb="8">
      <t>レイダンボウ</t>
    </rPh>
    <rPh sb="9" eb="11">
      <t>テイカク</t>
    </rPh>
    <rPh sb="11" eb="13">
      <t>ノウリョク</t>
    </rPh>
    <rPh sb="13" eb="14">
      <t>チ</t>
    </rPh>
    <rPh sb="15" eb="17">
      <t>ショウヒ</t>
    </rPh>
    <rPh sb="17" eb="19">
      <t>デンリョク</t>
    </rPh>
    <rPh sb="19" eb="20">
      <t>チ</t>
    </rPh>
    <rPh sb="21" eb="23">
      <t>メイバン</t>
    </rPh>
    <rPh sb="24" eb="26">
      <t>トリセツ</t>
    </rPh>
    <rPh sb="27" eb="29">
      <t>シヨウ</t>
    </rPh>
    <rPh sb="31" eb="33">
      <t>キニュウ</t>
    </rPh>
    <phoneticPr fontId="3"/>
  </si>
  <si>
    <t>　インバータ制御方式の場合はインバータを選択する。</t>
    <rPh sb="6" eb="8">
      <t>セイギョ</t>
    </rPh>
    <rPh sb="8" eb="10">
      <t>ホウシキ</t>
    </rPh>
    <rPh sb="11" eb="13">
      <t>バアイ</t>
    </rPh>
    <rPh sb="20" eb="22">
      <t>センタク</t>
    </rPh>
    <phoneticPr fontId="3"/>
  </si>
  <si>
    <t>・ここでの負荷率は対象コンプレッサーのエアー吐出能力に対するエアー消費比率とする。</t>
    <rPh sb="5" eb="7">
      <t>フカ</t>
    </rPh>
    <rPh sb="7" eb="8">
      <t>リツ</t>
    </rPh>
    <rPh sb="9" eb="11">
      <t>タイショウ</t>
    </rPh>
    <rPh sb="22" eb="24">
      <t>トシュツ</t>
    </rPh>
    <rPh sb="24" eb="26">
      <t>ノウリョク</t>
    </rPh>
    <rPh sb="27" eb="28">
      <t>タイ</t>
    </rPh>
    <rPh sb="33" eb="35">
      <t>ショウヒ</t>
    </rPh>
    <rPh sb="35" eb="37">
      <t>ヒリツ</t>
    </rPh>
    <phoneticPr fontId="3"/>
  </si>
  <si>
    <t>・ここでの計算では経時劣化は考慮されない。</t>
    <phoneticPr fontId="3"/>
  </si>
  <si>
    <t>1日当たり稼働時間</t>
    <rPh sb="1" eb="2">
      <t>ニチ</t>
    </rPh>
    <rPh sb="2" eb="3">
      <t>ア</t>
    </rPh>
    <rPh sb="5" eb="7">
      <t>カドウ</t>
    </rPh>
    <rPh sb="7" eb="9">
      <t>ジカン</t>
    </rPh>
    <phoneticPr fontId="3"/>
  </si>
  <si>
    <t>h/日</t>
    <rPh sb="2" eb="3">
      <t>ヒ</t>
    </rPh>
    <phoneticPr fontId="3"/>
  </si>
  <si>
    <t>日/年</t>
    <rPh sb="0" eb="1">
      <t>ヒ</t>
    </rPh>
    <rPh sb="2" eb="3">
      <t>ネン</t>
    </rPh>
    <phoneticPr fontId="3"/>
  </si>
  <si>
    <t>年間操業日数</t>
    <rPh sb="0" eb="1">
      <t>ネン</t>
    </rPh>
    <rPh sb="1" eb="2">
      <t>カン</t>
    </rPh>
    <rPh sb="2" eb="4">
      <t>ソウギョウ</t>
    </rPh>
    <rPh sb="4" eb="6">
      <t>ニッスウ</t>
    </rPh>
    <phoneticPr fontId="3"/>
  </si>
  <si>
    <t>年間稼働日</t>
    <rPh sb="0" eb="1">
      <t>ネン</t>
    </rPh>
    <rPh sb="1" eb="2">
      <t>カン</t>
    </rPh>
    <rPh sb="2" eb="5">
      <t>カドウビ</t>
    </rPh>
    <phoneticPr fontId="3"/>
  </si>
  <si>
    <t>仕様書、カタログ等から制御方式を選択。不明な場合は”ロード・アンロード”を選択する。</t>
    <rPh sb="0" eb="3">
      <t>シヨウショ</t>
    </rPh>
    <rPh sb="8" eb="9">
      <t>トウ</t>
    </rPh>
    <rPh sb="11" eb="13">
      <t>セイギョ</t>
    </rPh>
    <rPh sb="13" eb="15">
      <t>ホウシキ</t>
    </rPh>
    <rPh sb="16" eb="18">
      <t>センタク</t>
    </rPh>
    <rPh sb="19" eb="21">
      <t>フメイ</t>
    </rPh>
    <rPh sb="22" eb="24">
      <t>バアイ</t>
    </rPh>
    <rPh sb="37" eb="39">
      <t>センタク</t>
    </rPh>
    <phoneticPr fontId="3"/>
  </si>
  <si>
    <t>・削減効果の燃料削減量は燃転した場合や、複数での使用燃料が異なる場合は、数値や</t>
    <rPh sb="1" eb="3">
      <t>サクゲン</t>
    </rPh>
    <rPh sb="3" eb="5">
      <t>コウカ</t>
    </rPh>
    <rPh sb="6" eb="8">
      <t>ネンリョウ</t>
    </rPh>
    <rPh sb="8" eb="10">
      <t>サクゲン</t>
    </rPh>
    <rPh sb="10" eb="11">
      <t>リョウ</t>
    </rPh>
    <rPh sb="12" eb="13">
      <t>ネン</t>
    </rPh>
    <rPh sb="13" eb="14">
      <t>テン</t>
    </rPh>
    <rPh sb="16" eb="18">
      <t>バアイ</t>
    </rPh>
    <rPh sb="20" eb="22">
      <t>フクスウ</t>
    </rPh>
    <rPh sb="24" eb="26">
      <t>シヨウ</t>
    </rPh>
    <rPh sb="26" eb="28">
      <t>ネンリョウ</t>
    </rPh>
    <rPh sb="29" eb="30">
      <t>コト</t>
    </rPh>
    <rPh sb="32" eb="34">
      <t>バアイ</t>
    </rPh>
    <rPh sb="36" eb="38">
      <t>スウチ</t>
    </rPh>
    <phoneticPr fontId="3"/>
  </si>
  <si>
    <t>　単位が正しく表示されない。</t>
    <rPh sb="1" eb="3">
      <t>タンイ</t>
    </rPh>
    <rPh sb="4" eb="5">
      <t>タダ</t>
    </rPh>
    <rPh sb="7" eb="9">
      <t>ヒョウジ</t>
    </rPh>
    <phoneticPr fontId="3"/>
  </si>
  <si>
    <t>統合する場合は更新前の対象機を識別するため、欄を空ける。</t>
    <rPh sb="0" eb="2">
      <t>トウゴウ</t>
    </rPh>
    <rPh sb="4" eb="6">
      <t>バアイ</t>
    </rPh>
    <rPh sb="7" eb="9">
      <t>コウシン</t>
    </rPh>
    <rPh sb="9" eb="10">
      <t>マエ</t>
    </rPh>
    <rPh sb="11" eb="13">
      <t>タイショウ</t>
    </rPh>
    <rPh sb="13" eb="14">
      <t>キ</t>
    </rPh>
    <rPh sb="15" eb="17">
      <t>シキベツ</t>
    </rPh>
    <rPh sb="22" eb="23">
      <t>ラン</t>
    </rPh>
    <rPh sb="24" eb="25">
      <t>ア</t>
    </rPh>
    <phoneticPr fontId="3"/>
  </si>
  <si>
    <t>・対象機器の銘板等に記載されているモーター規格を選択する。更新前の規格がわからない</t>
    <rPh sb="1" eb="3">
      <t>タイショウ</t>
    </rPh>
    <rPh sb="3" eb="5">
      <t>キキ</t>
    </rPh>
    <rPh sb="6" eb="8">
      <t>メイバン</t>
    </rPh>
    <rPh sb="8" eb="9">
      <t>トウ</t>
    </rPh>
    <rPh sb="10" eb="12">
      <t>キサイ</t>
    </rPh>
    <rPh sb="21" eb="23">
      <t>キカク</t>
    </rPh>
    <rPh sb="24" eb="26">
      <t>センタク</t>
    </rPh>
    <rPh sb="29" eb="31">
      <t>コウシン</t>
    </rPh>
    <rPh sb="31" eb="32">
      <t>マエ</t>
    </rPh>
    <rPh sb="33" eb="35">
      <t>キカク</t>
    </rPh>
    <phoneticPr fontId="3"/>
  </si>
  <si>
    <t>　場合はIE1を選択する。更新後の機種は必ず調査し、該当の規格を選択すること。</t>
    <rPh sb="13" eb="15">
      <t>コウシン</t>
    </rPh>
    <rPh sb="15" eb="16">
      <t>ゴ</t>
    </rPh>
    <rPh sb="17" eb="19">
      <t>キシュ</t>
    </rPh>
    <rPh sb="20" eb="21">
      <t>カナラ</t>
    </rPh>
    <rPh sb="22" eb="24">
      <t>チョウサ</t>
    </rPh>
    <rPh sb="26" eb="28">
      <t>ガイトウ</t>
    </rPh>
    <rPh sb="29" eb="31">
      <t>キカク</t>
    </rPh>
    <rPh sb="32" eb="34">
      <t>センタク</t>
    </rPh>
    <phoneticPr fontId="3"/>
  </si>
  <si>
    <t>馬力</t>
    <rPh sb="0" eb="2">
      <t>バリキ</t>
    </rPh>
    <phoneticPr fontId="3"/>
  </si>
  <si>
    <t>・自家消費率（65%以下）やCO₂削減率(5%以下）が一定の指標より少ない場合等で警告が</t>
    <rPh sb="1" eb="3">
      <t>ジカ</t>
    </rPh>
    <rPh sb="3" eb="5">
      <t>ショウヒ</t>
    </rPh>
    <rPh sb="5" eb="6">
      <t>リツ</t>
    </rPh>
    <rPh sb="10" eb="12">
      <t>イカ</t>
    </rPh>
    <rPh sb="17" eb="19">
      <t>サクゲン</t>
    </rPh>
    <rPh sb="19" eb="20">
      <t>リツ</t>
    </rPh>
    <rPh sb="23" eb="25">
      <t>イカ</t>
    </rPh>
    <rPh sb="27" eb="29">
      <t>イッテイ</t>
    </rPh>
    <rPh sb="30" eb="32">
      <t>シヒョウ</t>
    </rPh>
    <rPh sb="34" eb="35">
      <t>スク</t>
    </rPh>
    <rPh sb="37" eb="39">
      <t>バアイ</t>
    </rPh>
    <rPh sb="39" eb="40">
      <t>トウ</t>
    </rPh>
    <rPh sb="41" eb="43">
      <t>ケイコク</t>
    </rPh>
    <phoneticPr fontId="3"/>
  </si>
  <si>
    <t xml:space="preserve">  表示される。 ３．効果判定に警告が表示された場合は、記入数値を確認し、変更無ければ、</t>
    <rPh sb="2" eb="4">
      <t>ヒョウジ</t>
    </rPh>
    <rPh sb="11" eb="13">
      <t>コウカ</t>
    </rPh>
    <rPh sb="13" eb="15">
      <t>ハンテイ</t>
    </rPh>
    <rPh sb="16" eb="18">
      <t>ケイコク</t>
    </rPh>
    <rPh sb="19" eb="21">
      <t>ヒョウジ</t>
    </rPh>
    <rPh sb="24" eb="26">
      <t>バアイ</t>
    </rPh>
    <rPh sb="28" eb="30">
      <t>キニュウ</t>
    </rPh>
    <rPh sb="30" eb="32">
      <t>スウチ</t>
    </rPh>
    <rPh sb="33" eb="35">
      <t>カクニン</t>
    </rPh>
    <rPh sb="37" eb="39">
      <t>ヘンコウ</t>
    </rPh>
    <rPh sb="39" eb="40">
      <t>ナ</t>
    </rPh>
    <phoneticPr fontId="3"/>
  </si>
  <si>
    <t>・制御方式は仕様書やカタログ等から対象のものを選択する。</t>
    <rPh sb="1" eb="3">
      <t>セイギョ</t>
    </rPh>
    <rPh sb="3" eb="5">
      <t>ホウシキ</t>
    </rPh>
    <rPh sb="6" eb="8">
      <t>シヨウ</t>
    </rPh>
    <rPh sb="8" eb="9">
      <t>ショ</t>
    </rPh>
    <rPh sb="14" eb="15">
      <t>トウ</t>
    </rPh>
    <rPh sb="17" eb="19">
      <t>タイショウ</t>
    </rPh>
    <rPh sb="23" eb="25">
      <t>センタク</t>
    </rPh>
    <phoneticPr fontId="3"/>
  </si>
  <si>
    <t>・更新前より出力（合計）が超過すると、警告が表示される。</t>
    <rPh sb="1" eb="3">
      <t>コウシン</t>
    </rPh>
    <rPh sb="3" eb="4">
      <t>マエ</t>
    </rPh>
    <rPh sb="6" eb="8">
      <t>シュツリョク</t>
    </rPh>
    <rPh sb="9" eb="11">
      <t>ゴウケイ</t>
    </rPh>
    <rPh sb="13" eb="15">
      <t>チョウカ</t>
    </rPh>
    <rPh sb="19" eb="21">
      <t>ケイコク</t>
    </rPh>
    <rPh sb="22" eb="24">
      <t>ヒョウジ</t>
    </rPh>
    <phoneticPr fontId="3"/>
  </si>
  <si>
    <t>c年間操業日数</t>
    <rPh sb="1" eb="2">
      <t>ネン</t>
    </rPh>
    <rPh sb="2" eb="3">
      <t>カン</t>
    </rPh>
    <rPh sb="3" eb="5">
      <t>ソウギョウ</t>
    </rPh>
    <rPh sb="5" eb="7">
      <t>ニッスウ</t>
    </rPh>
    <phoneticPr fontId="3"/>
  </si>
  <si>
    <t>d1日当たり稼働時間</t>
    <rPh sb="2" eb="3">
      <t>ニチ</t>
    </rPh>
    <rPh sb="3" eb="4">
      <t>ア</t>
    </rPh>
    <rPh sb="6" eb="8">
      <t>カドウ</t>
    </rPh>
    <rPh sb="8" eb="10">
      <t>ジカン</t>
    </rPh>
    <phoneticPr fontId="3"/>
  </si>
  <si>
    <t>e負荷率</t>
    <rPh sb="1" eb="3">
      <t>フカ</t>
    </rPh>
    <rPh sb="3" eb="4">
      <t>リツ</t>
    </rPh>
    <phoneticPr fontId="3"/>
  </si>
  <si>
    <t>主要エネルギー削減
量（①ｰ④）</t>
    <rPh sb="0" eb="2">
      <t>シュヨウ</t>
    </rPh>
    <rPh sb="7" eb="9">
      <t>サクゲン</t>
    </rPh>
    <rPh sb="10" eb="11">
      <t>リョウ</t>
    </rPh>
    <phoneticPr fontId="4"/>
  </si>
  <si>
    <t>主要エネルギー消費量（実績）
例：g×a×c×ｄ×e①</t>
    <rPh sb="0" eb="2">
      <t>シュヨウ</t>
    </rPh>
    <rPh sb="7" eb="9">
      <t>ショウヒ</t>
    </rPh>
    <rPh sb="9" eb="10">
      <t>リョウ</t>
    </rPh>
    <rPh sb="11" eb="13">
      <t>ジッセキ</t>
    </rPh>
    <phoneticPr fontId="4"/>
  </si>
  <si>
    <t>g×b×c×d
補助電力消費量②</t>
    <rPh sb="8" eb="10">
      <t>ホジョ</t>
    </rPh>
    <rPh sb="10" eb="12">
      <t>デンリョク</t>
    </rPh>
    <rPh sb="12" eb="14">
      <t>ショウヒ</t>
    </rPh>
    <rPh sb="14" eb="15">
      <t>リョウ</t>
    </rPh>
    <phoneticPr fontId="4"/>
  </si>
  <si>
    <t>h×p×c×d×e  補助電力消費量⑤</t>
    <rPh sb="11" eb="13">
      <t>ホジョ</t>
    </rPh>
    <rPh sb="13" eb="15">
      <t>デンリョク</t>
    </rPh>
    <rPh sb="15" eb="17">
      <t>ショウヒ</t>
    </rPh>
    <rPh sb="17" eb="18">
      <t>リョウ</t>
    </rPh>
    <phoneticPr fontId="4"/>
  </si>
  <si>
    <t>補助力削減量（②－⑤）</t>
    <rPh sb="0" eb="2">
      <t>ホジョ</t>
    </rPh>
    <rPh sb="2" eb="3">
      <t>リョク</t>
    </rPh>
    <rPh sb="3" eb="5">
      <t>サクゲン</t>
    </rPh>
    <rPh sb="5" eb="6">
      <t>リョウ</t>
    </rPh>
    <phoneticPr fontId="3"/>
  </si>
  <si>
    <t>CO2削減量
（③-⑥）</t>
    <rPh sb="3" eb="6">
      <t>サクゲンリョウ</t>
    </rPh>
    <phoneticPr fontId="4"/>
  </si>
  <si>
    <t>％</t>
    <phoneticPr fontId="3"/>
  </si>
  <si>
    <t>主要エネルギー消費量例：h×o×c×ｄ×e×（1-n)④</t>
    <rPh sb="0" eb="2">
      <t>シュヨウ</t>
    </rPh>
    <rPh sb="7" eb="9">
      <t>ショウヒ</t>
    </rPh>
    <rPh sb="9" eb="10">
      <t>リョウ</t>
    </rPh>
    <phoneticPr fontId="4"/>
  </si>
  <si>
    <t>*ｎ 低減率</t>
    <rPh sb="3" eb="5">
      <t>テイゲン</t>
    </rPh>
    <rPh sb="5" eb="6">
      <t>リツ</t>
    </rPh>
    <phoneticPr fontId="3"/>
  </si>
  <si>
    <t>・GHPの場合はガス消費量（kW）と定格消費電力(kW)も記入する。</t>
    <rPh sb="5" eb="7">
      <t>バアイ</t>
    </rPh>
    <rPh sb="10" eb="13">
      <t>ショウヒリョウ</t>
    </rPh>
    <rPh sb="18" eb="20">
      <t>テイカク</t>
    </rPh>
    <rPh sb="20" eb="22">
      <t>ショウヒ</t>
    </rPh>
    <rPh sb="22" eb="24">
      <t>デンリョク</t>
    </rPh>
    <rPh sb="29" eb="31">
      <t>キニュウ</t>
    </rPh>
    <phoneticPr fontId="3"/>
  </si>
  <si>
    <t>・この表はエネルギーが自動計算ではないので、結果の計算方法がわかる書類等を提示する。</t>
    <rPh sb="3" eb="4">
      <t>ヒョウ</t>
    </rPh>
    <rPh sb="11" eb="13">
      <t>ジドウ</t>
    </rPh>
    <rPh sb="13" eb="15">
      <t>ケイサン</t>
    </rPh>
    <rPh sb="22" eb="24">
      <t>ケッカ</t>
    </rPh>
    <rPh sb="25" eb="27">
      <t>ケイサン</t>
    </rPh>
    <rPh sb="27" eb="29">
      <t>ホウホウ</t>
    </rPh>
    <rPh sb="33" eb="35">
      <t>ショルイ</t>
    </rPh>
    <rPh sb="35" eb="36">
      <t>トウ</t>
    </rPh>
    <rPh sb="37" eb="39">
      <t>テイジ</t>
    </rPh>
    <phoneticPr fontId="3"/>
  </si>
  <si>
    <t>・ここでは経時劣化の影響は計算結果には加味していない。負荷率と制御方式に基づき</t>
    <rPh sb="5" eb="7">
      <t>ケイジ</t>
    </rPh>
    <rPh sb="7" eb="9">
      <t>レッカ</t>
    </rPh>
    <rPh sb="10" eb="12">
      <t>エイキョウ</t>
    </rPh>
    <rPh sb="13" eb="15">
      <t>ケイサン</t>
    </rPh>
    <rPh sb="15" eb="17">
      <t>ケッカ</t>
    </rPh>
    <rPh sb="19" eb="21">
      <t>カミ</t>
    </rPh>
    <rPh sb="27" eb="29">
      <t>フカ</t>
    </rPh>
    <rPh sb="29" eb="30">
      <t>リツ</t>
    </rPh>
    <rPh sb="31" eb="33">
      <t>セイギョ</t>
    </rPh>
    <rPh sb="33" eb="35">
      <t>ホウシキ</t>
    </rPh>
    <rPh sb="36" eb="37">
      <t>モト</t>
    </rPh>
    <phoneticPr fontId="3"/>
  </si>
  <si>
    <t>W</t>
    <phoneticPr fontId="3"/>
  </si>
  <si>
    <t>＊エネルギー消費効率</t>
    <rPh sb="6" eb="8">
      <t>ショウヒ</t>
    </rPh>
    <rPh sb="8" eb="10">
      <t>コウリツ</t>
    </rPh>
    <phoneticPr fontId="3"/>
  </si>
  <si>
    <t>各エネルギーの排出係数</t>
    <rPh sb="0" eb="1">
      <t>カク</t>
    </rPh>
    <rPh sb="7" eb="11">
      <t>ハイシュツケイスウ</t>
    </rPh>
    <phoneticPr fontId="15"/>
  </si>
  <si>
    <t>高位発熱量</t>
    <rPh sb="0" eb="2">
      <t>コウイ</t>
    </rPh>
    <phoneticPr fontId="4"/>
  </si>
  <si>
    <t>低位発熱量</t>
    <rPh sb="0" eb="2">
      <t>テイイ</t>
    </rPh>
    <rPh sb="2" eb="4">
      <t>ハツネツ</t>
    </rPh>
    <rPh sb="4" eb="5">
      <t>リョウ</t>
    </rPh>
    <phoneticPr fontId="3"/>
  </si>
  <si>
    <t>N㎥</t>
  </si>
  <si>
    <t>N㎥</t>
    <phoneticPr fontId="4"/>
  </si>
  <si>
    <t>都市ガス</t>
    <rPh sb="0" eb="2">
      <t>トシ</t>
    </rPh>
    <phoneticPr fontId="15"/>
  </si>
  <si>
    <t>　消費量は例示の計算式、もしくはメーカー提示の標準年間エネルギー消費量を記入して</t>
    <rPh sb="1" eb="4">
      <t>ショウヒリョウ</t>
    </rPh>
    <rPh sb="5" eb="7">
      <t>レイジ</t>
    </rPh>
    <rPh sb="8" eb="11">
      <t>ケイサンシキ</t>
    </rPh>
    <rPh sb="20" eb="22">
      <t>テイジ</t>
    </rPh>
    <rPh sb="23" eb="25">
      <t>ヒョウジュン</t>
    </rPh>
    <rPh sb="25" eb="27">
      <t>ネンカン</t>
    </rPh>
    <rPh sb="32" eb="35">
      <t>ショウヒリョウ</t>
    </rPh>
    <rPh sb="36" eb="38">
      <t>キニュウ</t>
    </rPh>
    <phoneticPr fontId="3"/>
  </si>
  <si>
    <t>　業者シミュレーションや計算からの数値を記入し、</t>
    <rPh sb="1" eb="3">
      <t>ギョウシャ</t>
    </rPh>
    <rPh sb="12" eb="14">
      <t>ケイサン</t>
    </rPh>
    <rPh sb="17" eb="19">
      <t>スウチ</t>
    </rPh>
    <rPh sb="20" eb="22">
      <t>キニュウ</t>
    </rPh>
    <phoneticPr fontId="3"/>
  </si>
  <si>
    <t>　根拠資料を提示する。</t>
    <rPh sb="1" eb="3">
      <t>コンキョ</t>
    </rPh>
    <rPh sb="3" eb="5">
      <t>シリョウ</t>
    </rPh>
    <rPh sb="6" eb="8">
      <t>テイジ</t>
    </rPh>
    <phoneticPr fontId="3"/>
  </si>
  <si>
    <t>右表リストに無い燃料の場合は下例にように表に</t>
    <rPh sb="0" eb="1">
      <t>ミギ</t>
    </rPh>
    <rPh sb="1" eb="2">
      <t>ヒョウ</t>
    </rPh>
    <rPh sb="6" eb="7">
      <t>ナ</t>
    </rPh>
    <rPh sb="8" eb="10">
      <t>ネンリョウ</t>
    </rPh>
    <rPh sb="11" eb="13">
      <t>バアイ</t>
    </rPh>
    <rPh sb="14" eb="15">
      <t>シタ</t>
    </rPh>
    <rPh sb="15" eb="16">
      <t>レイ</t>
    </rPh>
    <rPh sb="20" eb="21">
      <t>ヒョウ</t>
    </rPh>
    <phoneticPr fontId="3"/>
  </si>
  <si>
    <t>対象の燃料種別を選択し、種類を記入する。</t>
    <rPh sb="0" eb="2">
      <t>タイショウ</t>
    </rPh>
    <rPh sb="8" eb="10">
      <t>センタク</t>
    </rPh>
    <rPh sb="12" eb="14">
      <t>シュルイ</t>
    </rPh>
    <rPh sb="15" eb="17">
      <t>キニュウ</t>
    </rPh>
    <phoneticPr fontId="3"/>
  </si>
  <si>
    <t>対象設備が潜熱回収型である場合に、”有”を選択する。（･･･発熱量計算値に影響する。）</t>
    <rPh sb="0" eb="2">
      <t>タイショウ</t>
    </rPh>
    <rPh sb="2" eb="4">
      <t>セツビ</t>
    </rPh>
    <rPh sb="5" eb="7">
      <t>センネツ</t>
    </rPh>
    <rPh sb="7" eb="10">
      <t>カイシュウガタ</t>
    </rPh>
    <rPh sb="13" eb="15">
      <t>バアイ</t>
    </rPh>
    <rPh sb="18" eb="19">
      <t>アリ</t>
    </rPh>
    <rPh sb="21" eb="23">
      <t>センタク</t>
    </rPh>
    <rPh sb="30" eb="32">
      <t>ハツネツ</t>
    </rPh>
    <rPh sb="32" eb="33">
      <t>リョウ</t>
    </rPh>
    <rPh sb="33" eb="35">
      <t>ケイサン</t>
    </rPh>
    <rPh sb="35" eb="36">
      <t>チ</t>
    </rPh>
    <rPh sb="37" eb="39">
      <t>エイキョウ</t>
    </rPh>
    <phoneticPr fontId="3"/>
  </si>
  <si>
    <t>＊</t>
    <phoneticPr fontId="3"/>
  </si>
  <si>
    <t>・更新後の設備の定格能力や設備容量が、更新前の機種より</t>
    <rPh sb="1" eb="3">
      <t>コウシン</t>
    </rPh>
    <rPh sb="3" eb="4">
      <t>ゴ</t>
    </rPh>
    <rPh sb="5" eb="7">
      <t>セツビ</t>
    </rPh>
    <rPh sb="8" eb="10">
      <t>テイカク</t>
    </rPh>
    <rPh sb="10" eb="12">
      <t>ノウリョク</t>
    </rPh>
    <rPh sb="13" eb="15">
      <t>セツビ</t>
    </rPh>
    <rPh sb="15" eb="17">
      <t>ヨウリョウ</t>
    </rPh>
    <rPh sb="19" eb="21">
      <t>コウシン</t>
    </rPh>
    <rPh sb="21" eb="22">
      <t>マエ</t>
    </rPh>
    <rPh sb="23" eb="25">
      <t>キシュ</t>
    </rPh>
    <phoneticPr fontId="3"/>
  </si>
  <si>
    <t>消費電力比③</t>
    <rPh sb="0" eb="2">
      <t>ショウヒ</t>
    </rPh>
    <rPh sb="2" eb="4">
      <t>デンリョク</t>
    </rPh>
    <rPh sb="4" eb="5">
      <t>ヒ</t>
    </rPh>
    <phoneticPr fontId="3"/>
  </si>
  <si>
    <t>消費電力比⑦</t>
    <rPh sb="0" eb="2">
      <t>ショウヒ</t>
    </rPh>
    <rPh sb="2" eb="4">
      <t>デンリョク</t>
    </rPh>
    <rPh sb="4" eb="5">
      <t>ヒ</t>
    </rPh>
    <phoneticPr fontId="3"/>
  </si>
  <si>
    <t>計算方法：</t>
    <rPh sb="0" eb="2">
      <t>ケイサン</t>
    </rPh>
    <rPh sb="2" eb="4">
      <t>ホウホウ</t>
    </rPh>
    <phoneticPr fontId="4"/>
  </si>
  <si>
    <t>*標準負荷率は埼玉県での外気温における事務所・店舗での空調平均負荷率（東京・前橋</t>
    <rPh sb="1" eb="3">
      <t>ヒョウジュン</t>
    </rPh>
    <rPh sb="3" eb="5">
      <t>フカ</t>
    </rPh>
    <rPh sb="5" eb="6">
      <t>リツ</t>
    </rPh>
    <rPh sb="7" eb="10">
      <t>サイタマケン</t>
    </rPh>
    <rPh sb="12" eb="15">
      <t>ガイキオン</t>
    </rPh>
    <rPh sb="19" eb="21">
      <t>ジム</t>
    </rPh>
    <rPh sb="21" eb="22">
      <t>ショ</t>
    </rPh>
    <rPh sb="23" eb="25">
      <t>テンポ</t>
    </rPh>
    <rPh sb="27" eb="29">
      <t>クウチョウ</t>
    </rPh>
    <rPh sb="29" eb="31">
      <t>ヘイキン</t>
    </rPh>
    <rPh sb="31" eb="33">
      <t>フカ</t>
    </rPh>
    <rPh sb="33" eb="34">
      <t>リツ</t>
    </rPh>
    <rPh sb="35" eb="37">
      <t>トウキョウ</t>
    </rPh>
    <rPh sb="38" eb="40">
      <t>マエバシ</t>
    </rPh>
    <phoneticPr fontId="3"/>
  </si>
  <si>
    <t>・更新後の設備は更新前の同じ負荷率で年式を考慮したテーブルで計算される。</t>
    <rPh sb="1" eb="3">
      <t>コウシン</t>
    </rPh>
    <rPh sb="3" eb="4">
      <t>ゴ</t>
    </rPh>
    <rPh sb="5" eb="7">
      <t>セツビ</t>
    </rPh>
    <rPh sb="8" eb="10">
      <t>コウシン</t>
    </rPh>
    <rPh sb="10" eb="11">
      <t>マエ</t>
    </rPh>
    <rPh sb="12" eb="13">
      <t>オナ</t>
    </rPh>
    <rPh sb="14" eb="16">
      <t>フカ</t>
    </rPh>
    <rPh sb="16" eb="17">
      <t>リツ</t>
    </rPh>
    <rPh sb="18" eb="19">
      <t>ネン</t>
    </rPh>
    <rPh sb="19" eb="20">
      <t>シキ</t>
    </rPh>
    <rPh sb="21" eb="23">
      <t>コウリョ</t>
    </rPh>
    <rPh sb="30" eb="32">
      <t>ケイサン</t>
    </rPh>
    <phoneticPr fontId="3"/>
  </si>
  <si>
    <t>　データからの推定値）と部分負荷での年式別COP比から算出した県の標準テーブル値を引用。</t>
    <rPh sb="27" eb="29">
      <t>サンシュツ</t>
    </rPh>
    <rPh sb="31" eb="32">
      <t>ケン</t>
    </rPh>
    <rPh sb="33" eb="35">
      <t>ヒョウジュン</t>
    </rPh>
    <rPh sb="39" eb="40">
      <t>チ</t>
    </rPh>
    <rPh sb="41" eb="43">
      <t>インヨウ</t>
    </rPh>
    <phoneticPr fontId="3"/>
  </si>
  <si>
    <t>年間電力消費量 ＝ 定格出力×年間稼働時間×消費電力比</t>
    <rPh sb="2" eb="4">
      <t>デンリョク</t>
    </rPh>
    <rPh sb="4" eb="6">
      <t>ショウヒ</t>
    </rPh>
    <rPh sb="12" eb="14">
      <t>シュツリョク</t>
    </rPh>
    <rPh sb="17" eb="19">
      <t>カドウ</t>
    </rPh>
    <rPh sb="19" eb="21">
      <t>ジカン</t>
    </rPh>
    <rPh sb="22" eb="24">
      <t>ショウヒ</t>
    </rPh>
    <rPh sb="24" eb="26">
      <t>デンリョク</t>
    </rPh>
    <rPh sb="26" eb="27">
      <t>ヒ</t>
    </rPh>
    <phoneticPr fontId="4"/>
  </si>
  <si>
    <t>　グラフ線図から消費電力比を計算する。 更新機の効果計算も記入した負荷率で計算される。</t>
    <rPh sb="4" eb="5">
      <t>セン</t>
    </rPh>
    <rPh sb="5" eb="6">
      <t>ズ</t>
    </rPh>
    <rPh sb="8" eb="10">
      <t>ショウヒ</t>
    </rPh>
    <rPh sb="10" eb="12">
      <t>デンリョク</t>
    </rPh>
    <rPh sb="12" eb="13">
      <t>ヒ</t>
    </rPh>
    <rPh sb="14" eb="16">
      <t>ケイサン</t>
    </rPh>
    <phoneticPr fontId="3"/>
  </si>
  <si>
    <t>年間CO₂排出量　＝　年間電力消費量　×　電力CO₂排出係数</t>
    <rPh sb="0" eb="1">
      <t>ネン</t>
    </rPh>
    <rPh sb="1" eb="2">
      <t>カン</t>
    </rPh>
    <rPh sb="5" eb="7">
      <t>ハイシュツ</t>
    </rPh>
    <rPh sb="7" eb="8">
      <t>リョウ</t>
    </rPh>
    <rPh sb="11" eb="12">
      <t>ネン</t>
    </rPh>
    <rPh sb="12" eb="13">
      <t>カン</t>
    </rPh>
    <rPh sb="13" eb="15">
      <t>デンリョク</t>
    </rPh>
    <rPh sb="15" eb="18">
      <t>ショウヒリョウ</t>
    </rPh>
    <rPh sb="21" eb="23">
      <t>デンリョク</t>
    </rPh>
    <rPh sb="26" eb="28">
      <t>ハイシュツ</t>
    </rPh>
    <rPh sb="28" eb="30">
      <t>ケイスウ</t>
    </rPh>
    <phoneticPr fontId="4"/>
  </si>
  <si>
    <t>年間CO₂排出量　＝　年間燃料消費量　×　燃料CO₂排出係数、　　　　　　　　　　　　*単位発熱量は低位発熱量値を使用、潜熱回収型では高位発熱量値を使用</t>
    <rPh sb="0" eb="2">
      <t>ネンカン</t>
    </rPh>
    <rPh sb="5" eb="7">
      <t>ハイシュツ</t>
    </rPh>
    <rPh sb="7" eb="8">
      <t>リョウ</t>
    </rPh>
    <rPh sb="11" eb="12">
      <t>ネン</t>
    </rPh>
    <rPh sb="12" eb="13">
      <t>カン</t>
    </rPh>
    <rPh sb="13" eb="15">
      <t>ネンリョウ</t>
    </rPh>
    <rPh sb="15" eb="18">
      <t>ショウヒリョウ</t>
    </rPh>
    <rPh sb="21" eb="23">
      <t>ネンリョウ</t>
    </rPh>
    <rPh sb="26" eb="28">
      <t>ハイシュツ</t>
    </rPh>
    <rPh sb="28" eb="30">
      <t>ケイスウ</t>
    </rPh>
    <rPh sb="44" eb="46">
      <t>タンイ</t>
    </rPh>
    <rPh sb="46" eb="48">
      <t>ハツネツ</t>
    </rPh>
    <rPh sb="48" eb="49">
      <t>リョウ</t>
    </rPh>
    <rPh sb="50" eb="52">
      <t>テイイ</t>
    </rPh>
    <rPh sb="52" eb="54">
      <t>ハツネツ</t>
    </rPh>
    <rPh sb="54" eb="55">
      <t>リョウ</t>
    </rPh>
    <rPh sb="55" eb="56">
      <t>チ</t>
    </rPh>
    <rPh sb="57" eb="59">
      <t>シヨウ</t>
    </rPh>
    <rPh sb="60" eb="62">
      <t>センネツ</t>
    </rPh>
    <rPh sb="62" eb="64">
      <t>カイシュウ</t>
    </rPh>
    <rPh sb="64" eb="65">
      <t>カタ</t>
    </rPh>
    <rPh sb="67" eb="69">
      <t>コウイ</t>
    </rPh>
    <rPh sb="69" eb="71">
      <t>ハツネツ</t>
    </rPh>
    <rPh sb="71" eb="72">
      <t>リョウ</t>
    </rPh>
    <rPh sb="72" eb="73">
      <t>チ</t>
    </rPh>
    <rPh sb="74" eb="76">
      <t>シヨウ</t>
    </rPh>
    <phoneticPr fontId="4"/>
  </si>
  <si>
    <t>年間CO₂排出量　＝　年間電力消費量　×　電力CO₂排出係数、　　　　　　　　　　　　</t>
    <rPh sb="0" eb="1">
      <t>ネン</t>
    </rPh>
    <rPh sb="1" eb="2">
      <t>カン</t>
    </rPh>
    <rPh sb="5" eb="7">
      <t>ハイシュツ</t>
    </rPh>
    <rPh sb="7" eb="8">
      <t>リョウ</t>
    </rPh>
    <rPh sb="11" eb="12">
      <t>ネン</t>
    </rPh>
    <rPh sb="12" eb="13">
      <t>カン</t>
    </rPh>
    <rPh sb="13" eb="15">
      <t>デンリョク</t>
    </rPh>
    <rPh sb="15" eb="18">
      <t>ショウヒリョウ</t>
    </rPh>
    <rPh sb="21" eb="23">
      <t>デンリョク</t>
    </rPh>
    <rPh sb="26" eb="28">
      <t>ハイシュツ</t>
    </rPh>
    <rPh sb="28" eb="30">
      <t>ケイスウ</t>
    </rPh>
    <phoneticPr fontId="4"/>
  </si>
  <si>
    <t>年間消費電力量 ＝ 無負荷損値×8760時間　＋　負荷損値×稼働時間×負荷率の2乗</t>
    <rPh sb="0" eb="1">
      <t>ネン</t>
    </rPh>
    <rPh sb="2" eb="4">
      <t>ショウヒ</t>
    </rPh>
    <rPh sb="4" eb="6">
      <t>デンリョク</t>
    </rPh>
    <rPh sb="6" eb="7">
      <t>リョウ</t>
    </rPh>
    <rPh sb="10" eb="13">
      <t>ムフカ</t>
    </rPh>
    <rPh sb="13" eb="14">
      <t>ゾン</t>
    </rPh>
    <rPh sb="14" eb="15">
      <t>チ</t>
    </rPh>
    <rPh sb="20" eb="22">
      <t>ジカン</t>
    </rPh>
    <rPh sb="25" eb="27">
      <t>フカ</t>
    </rPh>
    <rPh sb="27" eb="28">
      <t>ゾン</t>
    </rPh>
    <rPh sb="28" eb="29">
      <t>チ</t>
    </rPh>
    <rPh sb="30" eb="32">
      <t>カドウ</t>
    </rPh>
    <rPh sb="32" eb="34">
      <t>ジカン</t>
    </rPh>
    <rPh sb="35" eb="37">
      <t>フカ</t>
    </rPh>
    <rPh sb="37" eb="38">
      <t>リツ</t>
    </rPh>
    <rPh sb="40" eb="41">
      <t>ジョウ</t>
    </rPh>
    <phoneticPr fontId="4"/>
  </si>
  <si>
    <t>年間CO₂排出量　＝　年間主要エネルギー消費量　×　CO₂排出係数　（＋　補助電力消費量　×　電力CO₂排出係数）　　　　　　　　　　　　</t>
    <rPh sb="0" eb="1">
      <t>ネン</t>
    </rPh>
    <rPh sb="1" eb="2">
      <t>カン</t>
    </rPh>
    <rPh sb="5" eb="7">
      <t>ハイシュツ</t>
    </rPh>
    <rPh sb="7" eb="8">
      <t>リョウ</t>
    </rPh>
    <rPh sb="11" eb="12">
      <t>ネン</t>
    </rPh>
    <rPh sb="12" eb="13">
      <t>カン</t>
    </rPh>
    <rPh sb="13" eb="15">
      <t>シュヨウ</t>
    </rPh>
    <rPh sb="20" eb="23">
      <t>ショウヒリョウ</t>
    </rPh>
    <rPh sb="29" eb="31">
      <t>ハイシュツ</t>
    </rPh>
    <rPh sb="31" eb="33">
      <t>ケイスウ</t>
    </rPh>
    <rPh sb="37" eb="39">
      <t>ホジョ</t>
    </rPh>
    <rPh sb="39" eb="41">
      <t>デンリョク</t>
    </rPh>
    <rPh sb="41" eb="44">
      <t>ショウヒリョウ</t>
    </rPh>
    <rPh sb="47" eb="49">
      <t>デンリョク</t>
    </rPh>
    <rPh sb="52" eb="54">
      <t>ハイシュツ</t>
    </rPh>
    <rPh sb="54" eb="56">
      <t>ケイスウ</t>
    </rPh>
    <phoneticPr fontId="4"/>
  </si>
  <si>
    <t>年間CO₂削減量　＝　自家消費電力量　×　電力CO₂排出係数　　</t>
    <rPh sb="0" eb="1">
      <t>ネン</t>
    </rPh>
    <rPh sb="1" eb="2">
      <t>カン</t>
    </rPh>
    <rPh sb="5" eb="7">
      <t>サクゲン</t>
    </rPh>
    <rPh sb="7" eb="8">
      <t>リョウ</t>
    </rPh>
    <rPh sb="8" eb="9">
      <t>シュツリョウ</t>
    </rPh>
    <rPh sb="11" eb="13">
      <t>ジカ</t>
    </rPh>
    <rPh sb="13" eb="15">
      <t>ショウヒ</t>
    </rPh>
    <rPh sb="15" eb="17">
      <t>デンリョク</t>
    </rPh>
    <rPh sb="17" eb="18">
      <t>リョウ</t>
    </rPh>
    <rPh sb="21" eb="23">
      <t>デンリョク</t>
    </rPh>
    <rPh sb="26" eb="28">
      <t>ハイシュツ</t>
    </rPh>
    <rPh sb="28" eb="30">
      <t>ケイスウ</t>
    </rPh>
    <phoneticPr fontId="4"/>
  </si>
  <si>
    <t>・年間の稼働時間、間欠運転や負荷が変動する場合は負荷率を記入。主要エネルギー</t>
    <rPh sb="1" eb="3">
      <t>ネンカン</t>
    </rPh>
    <rPh sb="4" eb="6">
      <t>カドウ</t>
    </rPh>
    <rPh sb="6" eb="8">
      <t>ジカン</t>
    </rPh>
    <rPh sb="9" eb="11">
      <t>カンケツ</t>
    </rPh>
    <rPh sb="11" eb="13">
      <t>ウンテン</t>
    </rPh>
    <rPh sb="14" eb="16">
      <t>フカ</t>
    </rPh>
    <rPh sb="17" eb="19">
      <t>ヘンドウ</t>
    </rPh>
    <rPh sb="21" eb="23">
      <t>バアイ</t>
    </rPh>
    <rPh sb="24" eb="26">
      <t>フカ</t>
    </rPh>
    <rPh sb="26" eb="27">
      <t>リツ</t>
    </rPh>
    <rPh sb="28" eb="30">
      <t>キニュウ</t>
    </rPh>
    <rPh sb="31" eb="33">
      <t>シュヨウ</t>
    </rPh>
    <phoneticPr fontId="3"/>
  </si>
  <si>
    <t>燃転した場合や複数の燃料種類がある場合は削減量値や単位は正しく表示されない。</t>
    <rPh sb="25" eb="27">
      <t>タンイ</t>
    </rPh>
    <phoneticPr fontId="3"/>
  </si>
  <si>
    <t>　認定申請書等の設備出力として届け出た値）を記入する。</t>
    <rPh sb="3" eb="6">
      <t>シンセイショ</t>
    </rPh>
    <rPh sb="6" eb="7">
      <t>トウ</t>
    </rPh>
    <rPh sb="8" eb="10">
      <t>セツビ</t>
    </rPh>
    <rPh sb="10" eb="12">
      <t>シュツリョク</t>
    </rPh>
    <rPh sb="15" eb="16">
      <t>トド</t>
    </rPh>
    <rPh sb="17" eb="18">
      <t>デ</t>
    </rPh>
    <rPh sb="19" eb="20">
      <t>アタイ</t>
    </rPh>
    <rPh sb="22" eb="24">
      <t>キニュウ</t>
    </rPh>
    <phoneticPr fontId="3"/>
  </si>
  <si>
    <t>・太陽光発電システム容量（太陽光合計出力もしくはPCS合計出力の小さい方の値（設置</t>
    <rPh sb="1" eb="4">
      <t>タイヨウコウ</t>
    </rPh>
    <rPh sb="4" eb="6">
      <t>ハツデン</t>
    </rPh>
    <rPh sb="10" eb="12">
      <t>ヨウリョウ</t>
    </rPh>
    <rPh sb="13" eb="16">
      <t>タイヨウコウ</t>
    </rPh>
    <rPh sb="16" eb="18">
      <t>ゴウケイ</t>
    </rPh>
    <rPh sb="18" eb="20">
      <t>シュツリョク</t>
    </rPh>
    <rPh sb="27" eb="29">
      <t>ゴウケイ</t>
    </rPh>
    <rPh sb="29" eb="31">
      <t>シュツリョク</t>
    </rPh>
    <rPh sb="32" eb="33">
      <t>チイ</t>
    </rPh>
    <rPh sb="35" eb="36">
      <t>ホウ</t>
    </rPh>
    <rPh sb="37" eb="38">
      <t>チ</t>
    </rPh>
    <phoneticPr fontId="3"/>
  </si>
  <si>
    <t>・シミュレーション結果、あるいは計算での予想発電量を記入し、根拠資料を提示する。</t>
    <rPh sb="9" eb="11">
      <t>ケッカ</t>
    </rPh>
    <rPh sb="16" eb="18">
      <t>ケイサン</t>
    </rPh>
    <rPh sb="20" eb="22">
      <t>ヨソウ</t>
    </rPh>
    <rPh sb="22" eb="24">
      <t>ハツデン</t>
    </rPh>
    <rPh sb="24" eb="25">
      <t>リョウ</t>
    </rPh>
    <rPh sb="26" eb="28">
      <t>キニュウ</t>
    </rPh>
    <rPh sb="30" eb="32">
      <t>コンキョ</t>
    </rPh>
    <rPh sb="32" eb="34">
      <t>シリョウ</t>
    </rPh>
    <rPh sb="35" eb="37">
      <t>テイジ</t>
    </rPh>
    <phoneticPr fontId="3"/>
  </si>
  <si>
    <t>・PCSを基準に系統での蓄電池設置位置を選択する。
・蓄電池の容量、停電時の最大出力を記入する。
・停電時の中間、夜間(休日）での使用時間の目安値を記入する。</t>
    <rPh sb="5" eb="7">
      <t>キジュン</t>
    </rPh>
    <rPh sb="8" eb="10">
      <t>ケイトウ</t>
    </rPh>
    <rPh sb="12" eb="15">
      <t>チクデンチ</t>
    </rPh>
    <rPh sb="15" eb="17">
      <t>セッチ</t>
    </rPh>
    <rPh sb="17" eb="19">
      <t>イチ</t>
    </rPh>
    <rPh sb="20" eb="22">
      <t>センタク</t>
    </rPh>
    <phoneticPr fontId="3"/>
  </si>
  <si>
    <t>前年度の事業所の電力消費実績値を記入</t>
    <rPh sb="0" eb="3">
      <t>ゼンネンド</t>
    </rPh>
    <rPh sb="4" eb="7">
      <t>ジギョウショ</t>
    </rPh>
    <rPh sb="8" eb="10">
      <t>デンリョク</t>
    </rPh>
    <rPh sb="10" eb="12">
      <t>ショウヒ</t>
    </rPh>
    <rPh sb="12" eb="14">
      <t>ジッセキ</t>
    </rPh>
    <rPh sb="14" eb="15">
      <t>チ</t>
    </rPh>
    <rPh sb="16" eb="18">
      <t>キニュウ</t>
    </rPh>
    <phoneticPr fontId="3"/>
  </si>
  <si>
    <t>高位発熱量：燃料を燃焼させた時の単位発熱量</t>
    <rPh sb="0" eb="2">
      <t>コウイ</t>
    </rPh>
    <rPh sb="2" eb="4">
      <t>ハツネツ</t>
    </rPh>
    <rPh sb="4" eb="5">
      <t>リョウ</t>
    </rPh>
    <rPh sb="6" eb="8">
      <t>ネンリョウ</t>
    </rPh>
    <rPh sb="9" eb="11">
      <t>ネンショウ</t>
    </rPh>
    <rPh sb="14" eb="15">
      <t>トキ</t>
    </rPh>
    <rPh sb="16" eb="18">
      <t>タンイ</t>
    </rPh>
    <rPh sb="18" eb="20">
      <t>ハツネツ</t>
    </rPh>
    <rPh sb="20" eb="21">
      <t>リョウ</t>
    </rPh>
    <phoneticPr fontId="3"/>
  </si>
  <si>
    <t>低発熱量：燃料の単位発熱量から水蒸気の潜熱量を除外した発熱量。潜熱回収しない場合はこちらを引用</t>
    <rPh sb="0" eb="3">
      <t>テイハツネツ</t>
    </rPh>
    <rPh sb="3" eb="4">
      <t>リョウ</t>
    </rPh>
    <rPh sb="5" eb="7">
      <t>ネンリョウ</t>
    </rPh>
    <rPh sb="8" eb="10">
      <t>タンイ</t>
    </rPh>
    <rPh sb="10" eb="12">
      <t>ハツネツ</t>
    </rPh>
    <rPh sb="12" eb="13">
      <t>リョウ</t>
    </rPh>
    <rPh sb="15" eb="18">
      <t>スイジョウキ</t>
    </rPh>
    <rPh sb="19" eb="21">
      <t>センネツ</t>
    </rPh>
    <rPh sb="21" eb="22">
      <t>リョウ</t>
    </rPh>
    <rPh sb="23" eb="25">
      <t>ジョガイ</t>
    </rPh>
    <rPh sb="27" eb="29">
      <t>ハツネツ</t>
    </rPh>
    <rPh sb="29" eb="30">
      <t>リョウ</t>
    </rPh>
    <rPh sb="31" eb="33">
      <t>センネツ</t>
    </rPh>
    <rPh sb="33" eb="35">
      <t>カイシュウ</t>
    </rPh>
    <rPh sb="38" eb="40">
      <t>バアイ</t>
    </rPh>
    <rPh sb="45" eb="47">
      <t>インヨウ</t>
    </rPh>
    <phoneticPr fontId="3"/>
  </si>
  <si>
    <t>*ボイラ計算では低位発熱量も引用。</t>
    <rPh sb="4" eb="6">
      <t>ケイサン</t>
    </rPh>
    <rPh sb="8" eb="10">
      <t>テイイ</t>
    </rPh>
    <rPh sb="10" eb="12">
      <t>ハツネツ</t>
    </rPh>
    <rPh sb="12" eb="13">
      <t>リョウ</t>
    </rPh>
    <rPh sb="14" eb="16">
      <t>インヨウ</t>
    </rPh>
    <phoneticPr fontId="3"/>
  </si>
  <si>
    <t>色のついたエネルギーについては自動計算の係数としてシート内で引用している。</t>
    <rPh sb="0" eb="1">
      <t>イロ</t>
    </rPh>
    <rPh sb="15" eb="17">
      <t>ジドウ</t>
    </rPh>
    <rPh sb="17" eb="19">
      <t>ケイサン</t>
    </rPh>
    <rPh sb="20" eb="22">
      <t>ケイスウ</t>
    </rPh>
    <rPh sb="28" eb="29">
      <t>ナイ</t>
    </rPh>
    <rPh sb="30" eb="32">
      <t>インヨウ</t>
    </rPh>
    <phoneticPr fontId="3"/>
  </si>
  <si>
    <t>･･･（　）内はGHP時</t>
    <rPh sb="6" eb="7">
      <t>ナイ</t>
    </rPh>
    <rPh sb="11" eb="12">
      <t>ジ</t>
    </rPh>
    <phoneticPr fontId="3"/>
  </si>
  <si>
    <t>年間電力消費量 ＝ ｛冷房時定格消費電力（＋冷房時定格消費ガス量）｝×年間冷房時間×標準負荷率*＋｛暖房時定格消費電力（＋暖房時定格消費ガス量）｝×年間暖房時間×標準負荷率*</t>
    <rPh sb="2" eb="4">
      <t>デンリョク</t>
    </rPh>
    <rPh sb="4" eb="6">
      <t>ショウヒ</t>
    </rPh>
    <rPh sb="11" eb="13">
      <t>レイボウ</t>
    </rPh>
    <rPh sb="13" eb="14">
      <t>ジ</t>
    </rPh>
    <rPh sb="16" eb="18">
      <t>ショウヒ</t>
    </rPh>
    <rPh sb="18" eb="20">
      <t>デンリョク</t>
    </rPh>
    <rPh sb="22" eb="24">
      <t>レイボウ</t>
    </rPh>
    <rPh sb="24" eb="25">
      <t>ジ</t>
    </rPh>
    <rPh sb="25" eb="27">
      <t>テイカク</t>
    </rPh>
    <rPh sb="27" eb="29">
      <t>ショウヒ</t>
    </rPh>
    <rPh sb="31" eb="32">
      <t>リョウ</t>
    </rPh>
    <rPh sb="52" eb="53">
      <t>ジ</t>
    </rPh>
    <rPh sb="61" eb="63">
      <t>ダンボウ</t>
    </rPh>
    <rPh sb="63" eb="64">
      <t>ジ</t>
    </rPh>
    <phoneticPr fontId="4"/>
  </si>
  <si>
    <t>　上例のように上段に記入し以降の欄は記入しない。更新機に●を選択する。</t>
    <rPh sb="1" eb="2">
      <t>ウエ</t>
    </rPh>
    <rPh sb="2" eb="3">
      <t>レイ</t>
    </rPh>
    <rPh sb="7" eb="9">
      <t>ジョウダン</t>
    </rPh>
    <rPh sb="10" eb="12">
      <t>キニュウ</t>
    </rPh>
    <rPh sb="13" eb="15">
      <t>イコウ</t>
    </rPh>
    <rPh sb="16" eb="17">
      <t>ラン</t>
    </rPh>
    <rPh sb="18" eb="20">
      <t>キニュウ</t>
    </rPh>
    <rPh sb="24" eb="26">
      <t>コウシン</t>
    </rPh>
    <rPh sb="26" eb="27">
      <t>キ</t>
    </rPh>
    <rPh sb="30" eb="32">
      <t>センタク</t>
    </rPh>
    <phoneticPr fontId="3"/>
  </si>
  <si>
    <t>・規格、定格出力を記入すると、効率は規定テーブルより表示される。</t>
    <rPh sb="1" eb="3">
      <t>キカク</t>
    </rPh>
    <rPh sb="4" eb="6">
      <t>テイカク</t>
    </rPh>
    <rPh sb="6" eb="8">
      <t>シュツリョク</t>
    </rPh>
    <rPh sb="9" eb="10">
      <t>キ</t>
    </rPh>
    <rPh sb="15" eb="17">
      <t>コウリツ</t>
    </rPh>
    <rPh sb="18" eb="20">
      <t>キテイ</t>
    </rPh>
    <rPh sb="26" eb="28">
      <t>ヒョウジ</t>
    </rPh>
    <phoneticPr fontId="3"/>
  </si>
  <si>
    <t>年間消費電力量 ＝ 定格出力÷効率×年間稼働時間×（負荷率）×（インバータ等での低減）</t>
    <rPh sb="0" eb="1">
      <t>ネン</t>
    </rPh>
    <rPh sb="2" eb="4">
      <t>ショウヒ</t>
    </rPh>
    <rPh sb="4" eb="6">
      <t>デンリョク</t>
    </rPh>
    <rPh sb="6" eb="7">
      <t>リョウ</t>
    </rPh>
    <rPh sb="10" eb="12">
      <t>テイカク</t>
    </rPh>
    <rPh sb="12" eb="14">
      <t>シュツリョク</t>
    </rPh>
    <rPh sb="15" eb="17">
      <t>コウリツ</t>
    </rPh>
    <rPh sb="18" eb="20">
      <t>ネンカン</t>
    </rPh>
    <rPh sb="20" eb="22">
      <t>カドウ</t>
    </rPh>
    <rPh sb="22" eb="24">
      <t>ジカン</t>
    </rPh>
    <rPh sb="26" eb="28">
      <t>フカ</t>
    </rPh>
    <rPh sb="28" eb="29">
      <t>リツ</t>
    </rPh>
    <rPh sb="37" eb="38">
      <t>トウ</t>
    </rPh>
    <rPh sb="40" eb="42">
      <t>テイゲン</t>
    </rPh>
    <phoneticPr fontId="4"/>
  </si>
  <si>
    <t>右表リストに無い燃料の場合は下例ように表に</t>
    <rPh sb="0" eb="1">
      <t>ミギ</t>
    </rPh>
    <rPh sb="1" eb="2">
      <t>ヒョウ</t>
    </rPh>
    <rPh sb="6" eb="7">
      <t>ナ</t>
    </rPh>
    <rPh sb="8" eb="10">
      <t>ネンリョウ</t>
    </rPh>
    <rPh sb="11" eb="13">
      <t>バアイ</t>
    </rPh>
    <rPh sb="14" eb="15">
      <t>シタ</t>
    </rPh>
    <rPh sb="15" eb="16">
      <t>レイ</t>
    </rPh>
    <rPh sb="19" eb="20">
      <t>ヒョウ</t>
    </rPh>
    <phoneticPr fontId="3"/>
  </si>
  <si>
    <t>　更新後のボイラでの年間燃料使用量は更新前の発熱出力から換算される。</t>
    <rPh sb="1" eb="3">
      <t>コウシン</t>
    </rPh>
    <rPh sb="3" eb="4">
      <t>ゴ</t>
    </rPh>
    <rPh sb="10" eb="12">
      <t>ネンカン</t>
    </rPh>
    <rPh sb="12" eb="14">
      <t>ネンリョウ</t>
    </rPh>
    <rPh sb="14" eb="17">
      <t>シヨウリョウ</t>
    </rPh>
    <rPh sb="18" eb="20">
      <t>コウシン</t>
    </rPh>
    <rPh sb="20" eb="21">
      <t>マエ</t>
    </rPh>
    <rPh sb="22" eb="24">
      <t>ハツネツ</t>
    </rPh>
    <rPh sb="24" eb="26">
      <t>シュツリョク</t>
    </rPh>
    <rPh sb="28" eb="30">
      <t>カンサン</t>
    </rPh>
    <phoneticPr fontId="4"/>
  </si>
  <si>
    <t xml:space="preserve">  負荷率は保安点検記録等からの平均負荷率を記入する。</t>
    <rPh sb="2" eb="4">
      <t>フカ</t>
    </rPh>
    <rPh sb="4" eb="5">
      <t>リツ</t>
    </rPh>
    <rPh sb="6" eb="8">
      <t>ホアン</t>
    </rPh>
    <rPh sb="8" eb="10">
      <t>テンケン</t>
    </rPh>
    <rPh sb="10" eb="12">
      <t>キロク</t>
    </rPh>
    <rPh sb="12" eb="13">
      <t>トウ</t>
    </rPh>
    <rPh sb="16" eb="18">
      <t>ヘイキン</t>
    </rPh>
    <rPh sb="18" eb="20">
      <t>フカ</t>
    </rPh>
    <rPh sb="20" eb="21">
      <t>リツ</t>
    </rPh>
    <rPh sb="22" eb="24">
      <t>キニュウ</t>
    </rPh>
    <phoneticPr fontId="3"/>
  </si>
  <si>
    <t>インバータやバルブ等による流量調整効果がある場合はその削減率を記入する。</t>
    <rPh sb="9" eb="10">
      <t>トウ</t>
    </rPh>
    <rPh sb="13" eb="15">
      <t>リュウリョウ</t>
    </rPh>
    <rPh sb="15" eb="17">
      <t>チョウセイ</t>
    </rPh>
    <rPh sb="17" eb="19">
      <t>コウカ</t>
    </rPh>
    <rPh sb="22" eb="24">
      <t>バアイ</t>
    </rPh>
    <rPh sb="27" eb="29">
      <t>サクゲン</t>
    </rPh>
    <rPh sb="29" eb="30">
      <t>リツ</t>
    </rPh>
    <rPh sb="31" eb="33">
      <t>キニュウ</t>
    </rPh>
    <phoneticPr fontId="3"/>
  </si>
  <si>
    <t>・インバータや流量制御等で低減されている場合はその数値（％）を記入する。</t>
    <rPh sb="7" eb="9">
      <t>リュウリョウ</t>
    </rPh>
    <rPh sb="9" eb="11">
      <t>セイギョ</t>
    </rPh>
    <rPh sb="11" eb="12">
      <t>トウ</t>
    </rPh>
    <rPh sb="13" eb="15">
      <t>テイゲン</t>
    </rPh>
    <rPh sb="20" eb="22">
      <t>バアイ</t>
    </rPh>
    <rPh sb="25" eb="27">
      <t>スウチ</t>
    </rPh>
    <rPh sb="31" eb="33">
      <t>キニュウ</t>
    </rPh>
    <phoneticPr fontId="3"/>
  </si>
  <si>
    <t>　もよい。</t>
    <phoneticPr fontId="3"/>
  </si>
  <si>
    <t>　事由の説明を記載する。</t>
    <rPh sb="1" eb="3">
      <t>ジユウ</t>
    </rPh>
    <rPh sb="4" eb="6">
      <t>セツメイ</t>
    </rPh>
    <rPh sb="7" eb="9">
      <t>キサイ</t>
    </rPh>
    <phoneticPr fontId="3"/>
  </si>
  <si>
    <t>＊規定負荷率における全損失値</t>
    <rPh sb="1" eb="3">
      <t>キテイ</t>
    </rPh>
    <rPh sb="3" eb="5">
      <t>フカ</t>
    </rPh>
    <rPh sb="5" eb="6">
      <t>リツ</t>
    </rPh>
    <rPh sb="10" eb="11">
      <t>ゼン</t>
    </rPh>
    <rPh sb="11" eb="13">
      <t>ソンシツ</t>
    </rPh>
    <rPh sb="13" eb="14">
      <t>チ</t>
    </rPh>
    <phoneticPr fontId="3"/>
  </si>
  <si>
    <t>LPGの産気率はGHPではプロパン502m³/kg、　ブタン355m³/kg、　その他482m³/kgを引用。ボイラ他シートではその他482m³/kgを引用</t>
    <rPh sb="58" eb="59">
      <t>ホカ</t>
    </rPh>
    <rPh sb="66" eb="67">
      <t>タ</t>
    </rPh>
    <rPh sb="76" eb="78">
      <t>インヨウ</t>
    </rPh>
    <phoneticPr fontId="3"/>
  </si>
  <si>
    <t>エネルギー種別</t>
    <rPh sb="5" eb="7">
      <t>シュベツ</t>
    </rPh>
    <phoneticPr fontId="4"/>
  </si>
  <si>
    <t>エネルギー種類</t>
    <rPh sb="5" eb="7">
      <t>シュルイ</t>
    </rPh>
    <rPh sb="6" eb="7">
      <t>シュルイ</t>
    </rPh>
    <phoneticPr fontId="4"/>
  </si>
  <si>
    <t>エネルギー種類</t>
    <rPh sb="5" eb="7">
      <t>シュルイ</t>
    </rPh>
    <phoneticPr fontId="3"/>
  </si>
  <si>
    <t>対象のエネルギー種別を選択し、種類を記入する。</t>
    <rPh sb="0" eb="2">
      <t>タイショウ</t>
    </rPh>
    <rPh sb="8" eb="10">
      <t>シュベツ</t>
    </rPh>
    <rPh sb="11" eb="13">
      <t>センタク</t>
    </rPh>
    <rPh sb="15" eb="17">
      <t>シュルイ</t>
    </rPh>
    <rPh sb="18" eb="20">
      <t>キニュウ</t>
    </rPh>
    <phoneticPr fontId="3"/>
  </si>
  <si>
    <t>を選択する。（誤記入に注意）</t>
    <rPh sb="1" eb="3">
      <t>センタク</t>
    </rPh>
    <rPh sb="7" eb="10">
      <t>ゴキニュウ</t>
    </rPh>
    <rPh sb="11" eb="13">
      <t>チュウイ</t>
    </rPh>
    <phoneticPr fontId="3"/>
  </si>
  <si>
    <t>エネルギー種類により単位が異なるので、適切な単位</t>
    <rPh sb="5" eb="7">
      <t>シュルイ</t>
    </rPh>
    <rPh sb="10" eb="12">
      <t>タンイ</t>
    </rPh>
    <rPh sb="13" eb="14">
      <t>コト</t>
    </rPh>
    <rPh sb="19" eb="21">
      <t>テキセツ</t>
    </rPh>
    <rPh sb="22" eb="24">
      <t>タンイ</t>
    </rPh>
    <phoneticPr fontId="3"/>
  </si>
  <si>
    <t>・更新前の燃料種別⇒種類を選択し、定格の燃料消費量を記入する。LPGにはm³とｋｇ購入</t>
    <rPh sb="1" eb="3">
      <t>コウシン</t>
    </rPh>
    <rPh sb="3" eb="4">
      <t>マエ</t>
    </rPh>
    <rPh sb="5" eb="7">
      <t>ネンリョウ</t>
    </rPh>
    <rPh sb="7" eb="9">
      <t>シュベツ</t>
    </rPh>
    <rPh sb="10" eb="12">
      <t>シュルイ</t>
    </rPh>
    <rPh sb="13" eb="15">
      <t>センタク</t>
    </rPh>
    <rPh sb="17" eb="19">
      <t>テイカク</t>
    </rPh>
    <rPh sb="20" eb="22">
      <t>ネンリョウ</t>
    </rPh>
    <rPh sb="22" eb="25">
      <t>ショウヒリョウ</t>
    </rPh>
    <rPh sb="26" eb="28">
      <t>キニュウ</t>
    </rPh>
    <rPh sb="41" eb="43">
      <t>コウニュウ</t>
    </rPh>
    <phoneticPr fontId="3"/>
  </si>
  <si>
    <t xml:space="preserve">  での選択があるので注意する。消費量値は表示された単位の通り記入する。</t>
    <rPh sb="16" eb="18">
      <t>ショウヒ</t>
    </rPh>
    <rPh sb="18" eb="19">
      <t>リョウ</t>
    </rPh>
    <rPh sb="19" eb="20">
      <t>チ</t>
    </rPh>
    <rPh sb="21" eb="23">
      <t>ヒョウジ</t>
    </rPh>
    <rPh sb="26" eb="28">
      <t>タンイ</t>
    </rPh>
    <rPh sb="29" eb="30">
      <t>トオ</t>
    </rPh>
    <rPh sb="31" eb="33">
      <t>キニュウ</t>
    </rPh>
    <phoneticPr fontId="3"/>
  </si>
  <si>
    <t>その他</t>
    <rPh sb="2" eb="3">
      <t>タ</t>
    </rPh>
    <phoneticPr fontId="3"/>
  </si>
  <si>
    <t>設備種類</t>
    <rPh sb="0" eb="2">
      <t>セツビ</t>
    </rPh>
    <rPh sb="2" eb="4">
      <t>シュルイ</t>
    </rPh>
    <phoneticPr fontId="3"/>
  </si>
  <si>
    <r>
      <t xml:space="preserve">効率*
</t>
    </r>
    <r>
      <rPr>
        <sz val="8"/>
        <color theme="1"/>
        <rFont val="ＭＳ Ｐゴシック"/>
        <family val="3"/>
        <charset val="128"/>
      </rPr>
      <t>（任意記入の効率値が優先）</t>
    </r>
    <rPh sb="0" eb="2">
      <t>コウリツ</t>
    </rPh>
    <rPh sb="5" eb="7">
      <t>ニンイ</t>
    </rPh>
    <rPh sb="7" eb="9">
      <t>キニュウ</t>
    </rPh>
    <rPh sb="10" eb="12">
      <t>コウリツ</t>
    </rPh>
    <rPh sb="12" eb="13">
      <t>チ</t>
    </rPh>
    <rPh sb="14" eb="16">
      <t>ユウセン</t>
    </rPh>
    <phoneticPr fontId="4"/>
  </si>
  <si>
    <t>*任意記載の効率は根拠資料が必要</t>
    <rPh sb="1" eb="3">
      <t>ニンイ</t>
    </rPh>
    <rPh sb="3" eb="5">
      <t>キサイ</t>
    </rPh>
    <rPh sb="6" eb="8">
      <t>コウリツ</t>
    </rPh>
    <rPh sb="9" eb="11">
      <t>コンキョ</t>
    </rPh>
    <rPh sb="11" eb="13">
      <t>シリョウ</t>
    </rPh>
    <rPh sb="14" eb="16">
      <t>ヒツヨウ</t>
    </rPh>
    <phoneticPr fontId="3"/>
  </si>
  <si>
    <t>・更新対象設備の種類を選択する。"その他"を選択した場合は３．出力判定の特記事項欄に</t>
    <rPh sb="1" eb="3">
      <t>コウシン</t>
    </rPh>
    <rPh sb="3" eb="5">
      <t>タイショウ</t>
    </rPh>
    <rPh sb="5" eb="7">
      <t>セツビ</t>
    </rPh>
    <rPh sb="8" eb="10">
      <t>シュルイ</t>
    </rPh>
    <rPh sb="11" eb="13">
      <t>センタク</t>
    </rPh>
    <rPh sb="19" eb="20">
      <t>タ</t>
    </rPh>
    <rPh sb="22" eb="24">
      <t>センタク</t>
    </rPh>
    <rPh sb="26" eb="28">
      <t>バアイ</t>
    </rPh>
    <rPh sb="31" eb="33">
      <t>シュツリョク</t>
    </rPh>
    <rPh sb="33" eb="35">
      <t>ハンテイ</t>
    </rPh>
    <rPh sb="36" eb="38">
      <t>トッキ</t>
    </rPh>
    <rPh sb="38" eb="40">
      <t>ジコウ</t>
    </rPh>
    <rPh sb="40" eb="41">
      <t>ラン</t>
    </rPh>
    <phoneticPr fontId="3"/>
  </si>
  <si>
    <t>　設備の説明を記入する。</t>
    <rPh sb="1" eb="3">
      <t>セツビ</t>
    </rPh>
    <rPh sb="4" eb="6">
      <t>セツメイ</t>
    </rPh>
    <rPh sb="7" eb="9">
      <t>キニュウ</t>
    </rPh>
    <phoneticPr fontId="3"/>
  </si>
  <si>
    <t>・更新前・後のそれぞれの定格出力値をカタログや銘板などから記入する。効率値を任意記載</t>
    <rPh sb="1" eb="3">
      <t>コウシン</t>
    </rPh>
    <rPh sb="3" eb="4">
      <t>マエ</t>
    </rPh>
    <rPh sb="5" eb="6">
      <t>ゴ</t>
    </rPh>
    <rPh sb="12" eb="14">
      <t>テイカク</t>
    </rPh>
    <rPh sb="14" eb="16">
      <t>シュツリョク</t>
    </rPh>
    <rPh sb="16" eb="17">
      <t>チ</t>
    </rPh>
    <rPh sb="23" eb="25">
      <t>メイバン</t>
    </rPh>
    <rPh sb="29" eb="31">
      <t>キニュウ</t>
    </rPh>
    <rPh sb="34" eb="36">
      <t>コウリツ</t>
    </rPh>
    <rPh sb="36" eb="37">
      <t>チ</t>
    </rPh>
    <rPh sb="38" eb="40">
      <t>ニンイ</t>
    </rPh>
    <rPh sb="40" eb="42">
      <t>キサイ</t>
    </rPh>
    <phoneticPr fontId="3"/>
  </si>
  <si>
    <t>　する場合は根拠資料を提示する。</t>
    <rPh sb="3" eb="5">
      <t>バアイ</t>
    </rPh>
    <rPh sb="6" eb="8">
      <t>コンキョ</t>
    </rPh>
    <rPh sb="8" eb="10">
      <t>シリョウ</t>
    </rPh>
    <rPh sb="11" eb="13">
      <t>テイジ</t>
    </rPh>
    <phoneticPr fontId="3"/>
  </si>
  <si>
    <t>・更新対象設備の一般名称を選択する。"その他"を選択した場合は３．出力判定の特記</t>
    <rPh sb="1" eb="3">
      <t>コウシン</t>
    </rPh>
    <rPh sb="3" eb="5">
      <t>タイショウ</t>
    </rPh>
    <rPh sb="5" eb="7">
      <t>セツビ</t>
    </rPh>
    <rPh sb="8" eb="10">
      <t>イッパン</t>
    </rPh>
    <rPh sb="10" eb="12">
      <t>メイショウ</t>
    </rPh>
    <rPh sb="13" eb="15">
      <t>センタク</t>
    </rPh>
    <rPh sb="21" eb="22">
      <t>タ</t>
    </rPh>
    <rPh sb="24" eb="26">
      <t>センタク</t>
    </rPh>
    <rPh sb="28" eb="30">
      <t>バアイ</t>
    </rPh>
    <rPh sb="33" eb="35">
      <t>シュツリョク</t>
    </rPh>
    <rPh sb="35" eb="37">
      <t>ハンテイ</t>
    </rPh>
    <rPh sb="38" eb="40">
      <t>トッキ</t>
    </rPh>
    <phoneticPr fontId="3"/>
  </si>
  <si>
    <t>　事項欄に設備の説明を記入する。</t>
    <rPh sb="5" eb="7">
      <t>セツビ</t>
    </rPh>
    <rPh sb="8" eb="10">
      <t>セツメイ</t>
    </rPh>
    <rPh sb="11" eb="13">
      <t>キニュウ</t>
    </rPh>
    <phoneticPr fontId="3"/>
  </si>
  <si>
    <t>・使用エネルギーの種類、定格消費量値、補助電力（欄が白くない場合は記入不要）を記入</t>
    <rPh sb="1" eb="3">
      <t>シヨウ</t>
    </rPh>
    <rPh sb="9" eb="11">
      <t>シュルイ</t>
    </rPh>
    <rPh sb="12" eb="14">
      <t>テイカク</t>
    </rPh>
    <rPh sb="14" eb="17">
      <t>ショウヒリョウ</t>
    </rPh>
    <rPh sb="17" eb="18">
      <t>チ</t>
    </rPh>
    <rPh sb="19" eb="21">
      <t>ホジョ</t>
    </rPh>
    <rPh sb="21" eb="23">
      <t>デンリョク</t>
    </rPh>
    <rPh sb="24" eb="25">
      <t>ラン</t>
    </rPh>
    <rPh sb="26" eb="27">
      <t>シロ</t>
    </rPh>
    <rPh sb="30" eb="32">
      <t>バアイ</t>
    </rPh>
    <rPh sb="33" eb="35">
      <t>キニュウ</t>
    </rPh>
    <rPh sb="35" eb="37">
      <t>フヨウ</t>
    </rPh>
    <rPh sb="39" eb="41">
      <t>キニュウ</t>
    </rPh>
    <phoneticPr fontId="3"/>
  </si>
  <si>
    <t>　する。</t>
    <phoneticPr fontId="3"/>
  </si>
  <si>
    <t>＊低減率の根拠資料が必要です。</t>
    <rPh sb="1" eb="3">
      <t>テイゲン</t>
    </rPh>
    <rPh sb="3" eb="4">
      <t>リツ</t>
    </rPh>
    <rPh sb="5" eb="7">
      <t>コンキョ</t>
    </rPh>
    <rPh sb="7" eb="9">
      <t>シリョウ</t>
    </rPh>
    <rPh sb="10" eb="12">
      <t>ヒツヨウ</t>
    </rPh>
    <phoneticPr fontId="3"/>
  </si>
  <si>
    <t>合計</t>
    <rPh sb="0" eb="2">
      <t>ゴウケイ</t>
    </rPh>
    <phoneticPr fontId="3"/>
  </si>
  <si>
    <t>潜熱回収の有無＊</t>
    <rPh sb="0" eb="2">
      <t>センネツ</t>
    </rPh>
    <rPh sb="2" eb="4">
      <t>カイシュウ</t>
    </rPh>
    <rPh sb="5" eb="7">
      <t>ウム</t>
    </rPh>
    <phoneticPr fontId="3"/>
  </si>
  <si>
    <t>（停電時）最大出力</t>
    <rPh sb="1" eb="3">
      <t>テイデン</t>
    </rPh>
    <rPh sb="3" eb="4">
      <t>ジ</t>
    </rPh>
    <rPh sb="5" eb="7">
      <t>サイダイ</t>
    </rPh>
    <rPh sb="7" eb="9">
      <t>シュツリョク</t>
    </rPh>
    <phoneticPr fontId="3"/>
  </si>
  <si>
    <t>（民間事業者）</t>
  </si>
  <si>
    <t>所在地　</t>
  </si>
  <si>
    <t>団体名　</t>
  </si>
  <si>
    <t>役職名・代表者名　　　　　　　　　　　　　　　　　　</t>
    <rPh sb="2" eb="3">
      <t>メイ</t>
    </rPh>
    <phoneticPr fontId="4"/>
  </si>
  <si>
    <t>（リース事業者）</t>
  </si>
  <si>
    <t>役職名・代表者名　　　　　　　　　　　　　　　　</t>
    <rPh sb="2" eb="3">
      <t>メイ</t>
    </rPh>
    <phoneticPr fontId="4"/>
  </si>
  <si>
    <t>（別紙　CO₂削減量算定シート）</t>
    <rPh sb="1" eb="3">
      <t>ベッシ</t>
    </rPh>
    <rPh sb="7" eb="10">
      <t>サクゲンリョウ</t>
    </rPh>
    <rPh sb="10" eb="12">
      <t>サンテイ</t>
    </rPh>
    <phoneticPr fontId="4"/>
  </si>
  <si>
    <t>照明</t>
    <rPh sb="0" eb="2">
      <t>ショウメイ</t>
    </rPh>
    <phoneticPr fontId="15"/>
  </si>
  <si>
    <t>蛍光灯</t>
    <rPh sb="0" eb="3">
      <t>ケイコウトウ</t>
    </rPh>
    <phoneticPr fontId="15"/>
  </si>
  <si>
    <t>水銀灯</t>
    <rPh sb="0" eb="3">
      <t>スイギントウ</t>
    </rPh>
    <phoneticPr fontId="15"/>
  </si>
  <si>
    <t>LED</t>
    <phoneticPr fontId="15"/>
  </si>
  <si>
    <t>按分比（0～1.0)</t>
    <rPh sb="0" eb="2">
      <t>アンブン</t>
    </rPh>
    <rPh sb="2" eb="3">
      <t>ヒ</t>
    </rPh>
    <phoneticPr fontId="3"/>
  </si>
  <si>
    <t>燃転した場合や複数の燃料種類がある場合</t>
    <phoneticPr fontId="3"/>
  </si>
  <si>
    <t>対象に◎or○</t>
    <rPh sb="0" eb="2">
      <t>タイショウ</t>
    </rPh>
    <phoneticPr fontId="3"/>
  </si>
  <si>
    <t>◎出力</t>
    <rPh sb="1" eb="3">
      <t>シュツリョク</t>
    </rPh>
    <phoneticPr fontId="3"/>
  </si>
  <si>
    <t>○出力</t>
    <rPh sb="1" eb="3">
      <t>シュツリョク</t>
    </rPh>
    <phoneticPr fontId="3"/>
  </si>
  <si>
    <t>・設備能力に対する負荷率を記入する。燃料実績から想定でもよい。</t>
    <rPh sb="1" eb="3">
      <t>セツビ</t>
    </rPh>
    <rPh sb="3" eb="5">
      <t>ノウリョク</t>
    </rPh>
    <rPh sb="6" eb="7">
      <t>タイ</t>
    </rPh>
    <rPh sb="9" eb="11">
      <t>フカ</t>
    </rPh>
    <rPh sb="11" eb="12">
      <t>リツ</t>
    </rPh>
    <rPh sb="13" eb="15">
      <t>キニュウ</t>
    </rPh>
    <rPh sb="18" eb="20">
      <t>ネンリョウ</t>
    </rPh>
    <rPh sb="20" eb="22">
      <t>ジッセキ</t>
    </rPh>
    <rPh sb="24" eb="26">
      <t>ソウテイ</t>
    </rPh>
    <phoneticPr fontId="3"/>
  </si>
  <si>
    <t>・更新前後の機種が1行で記入できない場合、グループとして同じ印をつけ、按分比を記入する。</t>
    <rPh sb="1" eb="3">
      <t>コウシン</t>
    </rPh>
    <rPh sb="3" eb="5">
      <t>ゼンゴ</t>
    </rPh>
    <rPh sb="6" eb="8">
      <t>キシュ</t>
    </rPh>
    <rPh sb="10" eb="11">
      <t>ギョウ</t>
    </rPh>
    <rPh sb="12" eb="14">
      <t>キニュウ</t>
    </rPh>
    <rPh sb="18" eb="20">
      <t>バアイ</t>
    </rPh>
    <rPh sb="28" eb="29">
      <t>オナ</t>
    </rPh>
    <rPh sb="30" eb="31">
      <t>シルシ</t>
    </rPh>
    <rPh sb="35" eb="37">
      <t>アンブン</t>
    </rPh>
    <rPh sb="37" eb="38">
      <t>ヒ</t>
    </rPh>
    <rPh sb="39" eb="41">
      <t>キニュウ</t>
    </rPh>
    <phoneticPr fontId="3"/>
  </si>
  <si>
    <t>　（◎、○で2グループまで設定可能）</t>
    <rPh sb="13" eb="15">
      <t>セッテイ</t>
    </rPh>
    <rPh sb="15" eb="17">
      <t>カノウ</t>
    </rPh>
    <phoneticPr fontId="3"/>
  </si>
  <si>
    <t>GHPは年式補正しない！</t>
    <rPh sb="4" eb="5">
      <t>ネン</t>
    </rPh>
    <rPh sb="5" eb="6">
      <t>シキ</t>
    </rPh>
    <rPh sb="6" eb="8">
      <t>ホセイ</t>
    </rPh>
    <phoneticPr fontId="3"/>
  </si>
  <si>
    <t>定格出力</t>
    <rPh sb="0" eb="2">
      <t>テイカク</t>
    </rPh>
    <rPh sb="2" eb="4">
      <t>シュツリョク</t>
    </rPh>
    <phoneticPr fontId="3"/>
  </si>
  <si>
    <t>種類</t>
    <rPh sb="0" eb="2">
      <t>シュルイ</t>
    </rPh>
    <phoneticPr fontId="3"/>
  </si>
  <si>
    <t>容量</t>
    <rPh sb="0" eb="2">
      <t>ヨウリョウ</t>
    </rPh>
    <phoneticPr fontId="3"/>
  </si>
  <si>
    <t>前</t>
    <rPh sb="0" eb="1">
      <t>マエ</t>
    </rPh>
    <phoneticPr fontId="3"/>
  </si>
  <si>
    <t>後</t>
    <rPh sb="0" eb="1">
      <t>アト</t>
    </rPh>
    <phoneticPr fontId="3"/>
  </si>
  <si>
    <t>ｴﾈﾙｷﾞｰ</t>
    <phoneticPr fontId="3"/>
  </si>
  <si>
    <t>更新前能力</t>
    <rPh sb="0" eb="2">
      <t>コウシン</t>
    </rPh>
    <rPh sb="2" eb="3">
      <t>マエ</t>
    </rPh>
    <rPh sb="3" eb="5">
      <t>ノウリョク</t>
    </rPh>
    <phoneticPr fontId="3"/>
  </si>
  <si>
    <t>更新後能力</t>
    <rPh sb="0" eb="2">
      <t>コウシン</t>
    </rPh>
    <rPh sb="2" eb="3">
      <t>ゴ</t>
    </rPh>
    <rPh sb="3" eb="5">
      <t>ノウリョク</t>
    </rPh>
    <phoneticPr fontId="3"/>
  </si>
  <si>
    <t>その他エネ</t>
    <rPh sb="2" eb="3">
      <t>タ</t>
    </rPh>
    <phoneticPr fontId="3"/>
  </si>
  <si>
    <t>補助電力有無</t>
    <rPh sb="0" eb="2">
      <t>ホジョ</t>
    </rPh>
    <rPh sb="2" eb="4">
      <t>デンリョク</t>
    </rPh>
    <rPh sb="4" eb="6">
      <t>ウム</t>
    </rPh>
    <phoneticPr fontId="3"/>
  </si>
  <si>
    <t>負荷率テーブル</t>
    <rPh sb="0" eb="2">
      <t>フカ</t>
    </rPh>
    <rPh sb="2" eb="3">
      <t>リツ</t>
    </rPh>
    <phoneticPr fontId="3"/>
  </si>
  <si>
    <t>赤字はR4年までの数値を変更（稼働率は無視）</t>
    <rPh sb="0" eb="2">
      <t>アカジ</t>
    </rPh>
    <rPh sb="5" eb="6">
      <t>ネン</t>
    </rPh>
    <rPh sb="9" eb="11">
      <t>スウチ</t>
    </rPh>
    <rPh sb="12" eb="14">
      <t>ヘンコウ</t>
    </rPh>
    <rPh sb="15" eb="17">
      <t>カドウ</t>
    </rPh>
    <rPh sb="17" eb="18">
      <t>リツ</t>
    </rPh>
    <rPh sb="19" eb="21">
      <t>ムシ</t>
    </rPh>
    <phoneticPr fontId="3"/>
  </si>
  <si>
    <t>更新前後のグループの対象機に同じ印をつけ、</t>
    <rPh sb="0" eb="2">
      <t>コウシン</t>
    </rPh>
    <rPh sb="2" eb="3">
      <t>マエ</t>
    </rPh>
    <rPh sb="3" eb="4">
      <t>アト</t>
    </rPh>
    <rPh sb="10" eb="12">
      <t>タイショウ</t>
    </rPh>
    <rPh sb="12" eb="13">
      <t>キ</t>
    </rPh>
    <phoneticPr fontId="3"/>
  </si>
  <si>
    <t>更新後の負担割合い合計1.0として比率を按分する。</t>
    <phoneticPr fontId="3"/>
  </si>
  <si>
    <t>更新前の定格効率～稼働時間（負荷率）の欄には数値を記入する。</t>
    <rPh sb="0" eb="2">
      <t>コウシン</t>
    </rPh>
    <rPh sb="2" eb="3">
      <t>マエ</t>
    </rPh>
    <rPh sb="4" eb="6">
      <t>テイカク</t>
    </rPh>
    <rPh sb="6" eb="8">
      <t>コウリツ</t>
    </rPh>
    <rPh sb="9" eb="11">
      <t>カドウ</t>
    </rPh>
    <rPh sb="11" eb="13">
      <t>ジカン</t>
    </rPh>
    <rPh sb="14" eb="16">
      <t>フカ</t>
    </rPh>
    <rPh sb="16" eb="17">
      <t>リツ</t>
    </rPh>
    <rPh sb="19" eb="20">
      <t>ラン</t>
    </rPh>
    <rPh sb="22" eb="24">
      <t>スウチ</t>
    </rPh>
    <rPh sb="25" eb="27">
      <t>キニュウ</t>
    </rPh>
    <phoneticPr fontId="3"/>
  </si>
  <si>
    <t>設備種類</t>
    <rPh sb="0" eb="2">
      <t>セツビ</t>
    </rPh>
    <rPh sb="2" eb="4">
      <t>シュルイ</t>
    </rPh>
    <phoneticPr fontId="3"/>
  </si>
  <si>
    <t>容量判定</t>
    <rPh sb="0" eb="2">
      <t>ヨウリョウ</t>
    </rPh>
    <rPh sb="2" eb="4">
      <t>ハンテイ</t>
    </rPh>
    <phoneticPr fontId="3"/>
  </si>
  <si>
    <t>単位</t>
    <rPh sb="0" eb="2">
      <t>タンイ</t>
    </rPh>
    <phoneticPr fontId="3"/>
  </si>
  <si>
    <t>更新後の年間燃料消費量 ＝ 発熱出力　÷　燃料の単位発熱量* ÷　更新後効率　、　　　　　発熱出力＝更新前定格燃料消費量×定格効率×燃料単位発熱量×年間稼働時間×負荷率</t>
    <rPh sb="0" eb="2">
      <t>コウシン</t>
    </rPh>
    <rPh sb="2" eb="3">
      <t>ゴ</t>
    </rPh>
    <rPh sb="6" eb="8">
      <t>ネンリョウ</t>
    </rPh>
    <rPh sb="8" eb="10">
      <t>ショウヒ</t>
    </rPh>
    <rPh sb="14" eb="16">
      <t>ハツネツ</t>
    </rPh>
    <rPh sb="16" eb="18">
      <t>シュツリョク</t>
    </rPh>
    <rPh sb="21" eb="23">
      <t>ネンリョウ</t>
    </rPh>
    <rPh sb="24" eb="26">
      <t>タンイ</t>
    </rPh>
    <rPh sb="26" eb="28">
      <t>ハツネツ</t>
    </rPh>
    <rPh sb="28" eb="29">
      <t>リョウ</t>
    </rPh>
    <rPh sb="33" eb="35">
      <t>コウシン</t>
    </rPh>
    <rPh sb="35" eb="36">
      <t>ゴ</t>
    </rPh>
    <rPh sb="36" eb="38">
      <t>コウリツ</t>
    </rPh>
    <rPh sb="45" eb="47">
      <t>ハツネツ</t>
    </rPh>
    <rPh sb="47" eb="49">
      <t>シュツリョク</t>
    </rPh>
    <rPh sb="50" eb="52">
      <t>コウシン</t>
    </rPh>
    <rPh sb="52" eb="53">
      <t>マエ</t>
    </rPh>
    <rPh sb="53" eb="55">
      <t>テイカク</t>
    </rPh>
    <rPh sb="55" eb="57">
      <t>ネンリョウ</t>
    </rPh>
    <rPh sb="57" eb="60">
      <t>ショウヒリョウ</t>
    </rPh>
    <rPh sb="61" eb="63">
      <t>テイカク</t>
    </rPh>
    <rPh sb="63" eb="65">
      <t>コウリツ</t>
    </rPh>
    <rPh sb="66" eb="68">
      <t>ネンリョウ</t>
    </rPh>
    <rPh sb="68" eb="70">
      <t>タンイ</t>
    </rPh>
    <rPh sb="70" eb="72">
      <t>ハツネツ</t>
    </rPh>
    <rPh sb="72" eb="73">
      <t>リョウ</t>
    </rPh>
    <rPh sb="74" eb="76">
      <t>ネンカン</t>
    </rPh>
    <rPh sb="76" eb="78">
      <t>カドウ</t>
    </rPh>
    <rPh sb="78" eb="80">
      <t>ジカン</t>
    </rPh>
    <rPh sb="81" eb="83">
      <t>フカ</t>
    </rPh>
    <rPh sb="83" eb="84">
      <t>リツ</t>
    </rPh>
    <phoneticPr fontId="4"/>
  </si>
  <si>
    <t>年間CO₂排出量　＝　年間電力消費量　×　電力CO₂排出係数　＋（年間消費ガス量　×ガスＣＯ₂排出係数）</t>
    <rPh sb="0" eb="1">
      <t>ネン</t>
    </rPh>
    <rPh sb="1" eb="2">
      <t>カン</t>
    </rPh>
    <rPh sb="5" eb="7">
      <t>ハイシュツ</t>
    </rPh>
    <rPh sb="7" eb="8">
      <t>リョウ</t>
    </rPh>
    <rPh sb="11" eb="12">
      <t>ネン</t>
    </rPh>
    <rPh sb="12" eb="13">
      <t>カン</t>
    </rPh>
    <rPh sb="13" eb="15">
      <t>デンリョク</t>
    </rPh>
    <rPh sb="15" eb="18">
      <t>ショウヒリョウ</t>
    </rPh>
    <rPh sb="33" eb="35">
      <t>ネンカン</t>
    </rPh>
    <rPh sb="35" eb="37">
      <t>ショウヒ</t>
    </rPh>
    <rPh sb="39" eb="40">
      <t>リョウ</t>
    </rPh>
    <rPh sb="47" eb="49">
      <t>ハイシュツ</t>
    </rPh>
    <rPh sb="49" eb="51">
      <t>ケイスウ</t>
    </rPh>
    <phoneticPr fontId="4"/>
  </si>
  <si>
    <t>定格
出力②</t>
    <rPh sb="0" eb="2">
      <t>テイカク</t>
    </rPh>
    <rPh sb="3" eb="5">
      <t>シュツリョク</t>
    </rPh>
    <phoneticPr fontId="4"/>
  </si>
  <si>
    <t>定格
出力⑥</t>
    <rPh sb="0" eb="2">
      <t>テイカク</t>
    </rPh>
    <rPh sb="3" eb="5">
      <t>シュツリョク</t>
    </rPh>
    <phoneticPr fontId="4"/>
  </si>
  <si>
    <t>比動力比</t>
    <rPh sb="0" eb="1">
      <t>ヒ</t>
    </rPh>
    <rPh sb="1" eb="3">
      <t>ドウリョク</t>
    </rPh>
    <rPh sb="3" eb="4">
      <t>ヒ</t>
    </rPh>
    <phoneticPr fontId="3"/>
  </si>
  <si>
    <t>改善率**</t>
    <rPh sb="0" eb="2">
      <t>カイゼン</t>
    </rPh>
    <rPh sb="2" eb="3">
      <t>リツ</t>
    </rPh>
    <phoneticPr fontId="3"/>
  </si>
  <si>
    <t>＊負荷率：機種の最大吐出量に対する実際の使用空気量の割合</t>
    <rPh sb="1" eb="3">
      <t>フカ</t>
    </rPh>
    <rPh sb="3" eb="4">
      <t>リツ</t>
    </rPh>
    <rPh sb="5" eb="7">
      <t>キシュ</t>
    </rPh>
    <rPh sb="8" eb="10">
      <t>サイダイ</t>
    </rPh>
    <rPh sb="10" eb="12">
      <t>トシュツ</t>
    </rPh>
    <rPh sb="12" eb="13">
      <t>リョウ</t>
    </rPh>
    <rPh sb="14" eb="15">
      <t>タイ</t>
    </rPh>
    <rPh sb="17" eb="19">
      <t>ジッサイ</t>
    </rPh>
    <rPh sb="20" eb="22">
      <t>シヨウ</t>
    </rPh>
    <rPh sb="22" eb="24">
      <t>クウキ</t>
    </rPh>
    <rPh sb="24" eb="25">
      <t>リョウ</t>
    </rPh>
    <rPh sb="26" eb="28">
      <t>ワリアイ</t>
    </rPh>
    <phoneticPr fontId="3"/>
  </si>
  <si>
    <t>＊潜熱回収型の場合"有"を選択</t>
    <rPh sb="1" eb="3">
      <t>センネツ</t>
    </rPh>
    <rPh sb="3" eb="6">
      <t>カイシュウガタ</t>
    </rPh>
    <rPh sb="7" eb="9">
      <t>バアイ</t>
    </rPh>
    <rPh sb="10" eb="11">
      <t>ア</t>
    </rPh>
    <rPh sb="13" eb="15">
      <t>センタク</t>
    </rPh>
    <phoneticPr fontId="3"/>
  </si>
  <si>
    <t>**グループで更新する場合、対象に同じ印をつける</t>
    <rPh sb="7" eb="9">
      <t>コウシン</t>
    </rPh>
    <rPh sb="11" eb="13">
      <t>バアイ</t>
    </rPh>
    <rPh sb="14" eb="16">
      <t>タイショウ</t>
    </rPh>
    <rPh sb="17" eb="18">
      <t>オナ</t>
    </rPh>
    <rPh sb="19" eb="20">
      <t>シルシ</t>
    </rPh>
    <phoneticPr fontId="3"/>
  </si>
  <si>
    <t>グループ**</t>
    <phoneticPr fontId="3"/>
  </si>
  <si>
    <t>同一型番。空調機の性能向上</t>
    <rPh sb="0" eb="2">
      <t>ドウイツ</t>
    </rPh>
    <rPh sb="2" eb="4">
      <t>カタバン</t>
    </rPh>
    <rPh sb="5" eb="7">
      <t>クウチョウ</t>
    </rPh>
    <rPh sb="7" eb="8">
      <t>キ</t>
    </rPh>
    <rPh sb="9" eb="11">
      <t>セイノウ</t>
    </rPh>
    <rPh sb="11" eb="13">
      <t>コウジョウ</t>
    </rPh>
    <phoneticPr fontId="3"/>
  </si>
  <si>
    <t>CO2排出量更新前</t>
  </si>
  <si>
    <t>CO2排出量更新前</t>
    <rPh sb="3" eb="5">
      <t>ハイシュツ</t>
    </rPh>
    <rPh sb="5" eb="6">
      <t>リョウ</t>
    </rPh>
    <rPh sb="6" eb="8">
      <t>コウシン</t>
    </rPh>
    <rPh sb="8" eb="9">
      <t>マエ</t>
    </rPh>
    <phoneticPr fontId="4"/>
  </si>
  <si>
    <t>更新後</t>
  </si>
  <si>
    <t>更新後</t>
    <rPh sb="0" eb="2">
      <t>コウシン</t>
    </rPh>
    <rPh sb="2" eb="3">
      <t>ゴ</t>
    </rPh>
    <phoneticPr fontId="3"/>
  </si>
  <si>
    <t>削減量</t>
    <rPh sb="0" eb="2">
      <t>サクゲン</t>
    </rPh>
    <rPh sb="2" eb="3">
      <t>リョウ</t>
    </rPh>
    <phoneticPr fontId="3"/>
  </si>
  <si>
    <t>削減率</t>
  </si>
  <si>
    <t>削減率</t>
    <rPh sb="0" eb="2">
      <t>サクゲン</t>
    </rPh>
    <rPh sb="2" eb="3">
      <t>リツ</t>
    </rPh>
    <phoneticPr fontId="3"/>
  </si>
  <si>
    <t>ｋL更新前</t>
  </si>
  <si>
    <t>ｋL更新前</t>
    <rPh sb="2" eb="4">
      <t>コウシン</t>
    </rPh>
    <rPh sb="4" eb="5">
      <t>マエ</t>
    </rPh>
    <phoneticPr fontId="3"/>
  </si>
  <si>
    <t>出力判定</t>
  </si>
  <si>
    <t>出力判定</t>
    <rPh sb="0" eb="2">
      <t>シュツリョク</t>
    </rPh>
    <rPh sb="2" eb="4">
      <t>ハンテイ</t>
    </rPh>
    <phoneticPr fontId="3"/>
  </si>
  <si>
    <t>特記事項</t>
  </si>
  <si>
    <t>特記事項</t>
    <rPh sb="0" eb="2">
      <t>トッキ</t>
    </rPh>
    <rPh sb="2" eb="4">
      <t>ジコウ</t>
    </rPh>
    <phoneticPr fontId="3"/>
  </si>
  <si>
    <t>電力</t>
    <rPh sb="0" eb="2">
      <t>デンリョク</t>
    </rPh>
    <phoneticPr fontId="3"/>
  </si>
  <si>
    <t>ガス</t>
    <phoneticPr fontId="3"/>
  </si>
  <si>
    <t>ボイラ</t>
    <phoneticPr fontId="3"/>
  </si>
  <si>
    <t>空調EHP</t>
    <rPh sb="0" eb="2">
      <t>クウチョウ</t>
    </rPh>
    <phoneticPr fontId="3"/>
  </si>
  <si>
    <t>空調GHP</t>
    <rPh sb="0" eb="2">
      <t>クウチョウ</t>
    </rPh>
    <phoneticPr fontId="3"/>
  </si>
  <si>
    <t>コンプレッサー</t>
    <phoneticPr fontId="3"/>
  </si>
  <si>
    <t>全体</t>
    <rPh sb="0" eb="2">
      <t>ゼンタイ</t>
    </rPh>
    <phoneticPr fontId="3"/>
  </si>
  <si>
    <t>変圧器</t>
    <rPh sb="0" eb="3">
      <t>ヘンアツキ</t>
    </rPh>
    <phoneticPr fontId="3"/>
  </si>
  <si>
    <t>太陽光・蓄電池</t>
    <rPh sb="0" eb="3">
      <t>タイヨウコウ</t>
    </rPh>
    <rPh sb="4" eb="7">
      <t>チクデンチ</t>
    </rPh>
    <phoneticPr fontId="3"/>
  </si>
  <si>
    <t>その他設備</t>
    <rPh sb="2" eb="3">
      <t>タ</t>
    </rPh>
    <rPh sb="3" eb="5">
      <t>セツビ</t>
    </rPh>
    <phoneticPr fontId="3"/>
  </si>
  <si>
    <t>更新前P列計算式修正　効率除算削除</t>
    <rPh sb="0" eb="2">
      <t>コウシン</t>
    </rPh>
    <rPh sb="2" eb="3">
      <t>マエ</t>
    </rPh>
    <rPh sb="4" eb="5">
      <t>レツ</t>
    </rPh>
    <rPh sb="5" eb="8">
      <t>ケイサンシキ</t>
    </rPh>
    <rPh sb="8" eb="10">
      <t>シュウセイ</t>
    </rPh>
    <rPh sb="11" eb="13">
      <t>コウリツ</t>
    </rPh>
    <rPh sb="13" eb="15">
      <t>ジョザン</t>
    </rPh>
    <rPh sb="15" eb="17">
      <t>サクジョ</t>
    </rPh>
    <phoneticPr fontId="3"/>
  </si>
  <si>
    <t>セルS21　警告式修正</t>
    <rPh sb="6" eb="8">
      <t>ケイコク</t>
    </rPh>
    <rPh sb="8" eb="9">
      <t>シキ</t>
    </rPh>
    <rPh sb="9" eb="11">
      <t>シュウセイ</t>
    </rPh>
    <phoneticPr fontId="3"/>
  </si>
  <si>
    <t>マクロ集計用で各算定シートの上に２行追加</t>
    <rPh sb="3" eb="6">
      <t>シュウケイヨウ</t>
    </rPh>
    <rPh sb="7" eb="8">
      <t>カク</t>
    </rPh>
    <rPh sb="8" eb="10">
      <t>サンテイ</t>
    </rPh>
    <rPh sb="14" eb="15">
      <t>ウエ</t>
    </rPh>
    <rPh sb="17" eb="18">
      <t>ギョウ</t>
    </rPh>
    <rPh sb="18" eb="20">
      <t>ツイカ</t>
    </rPh>
    <phoneticPr fontId="3"/>
  </si>
  <si>
    <t>使用条件（稼働日、稼働時間、負荷率）セル位置を列移動</t>
    <rPh sb="0" eb="2">
      <t>シヨウ</t>
    </rPh>
    <rPh sb="2" eb="4">
      <t>ジョウケン</t>
    </rPh>
    <rPh sb="5" eb="8">
      <t>カドウビ</t>
    </rPh>
    <rPh sb="9" eb="11">
      <t>カドウ</t>
    </rPh>
    <rPh sb="11" eb="13">
      <t>ジカン</t>
    </rPh>
    <rPh sb="14" eb="16">
      <t>フカ</t>
    </rPh>
    <rPh sb="16" eb="17">
      <t>リツ</t>
    </rPh>
    <rPh sb="20" eb="22">
      <t>イチ</t>
    </rPh>
    <rPh sb="23" eb="24">
      <t>レツ</t>
    </rPh>
    <rPh sb="24" eb="26">
      <t>イドウ</t>
    </rPh>
    <phoneticPr fontId="3"/>
  </si>
  <si>
    <t>1．削減結果表のセル位置変更</t>
    <rPh sb="2" eb="4">
      <t>サクゲン</t>
    </rPh>
    <rPh sb="4" eb="6">
      <t>ケッカ</t>
    </rPh>
    <rPh sb="6" eb="7">
      <t>ヒョウ</t>
    </rPh>
    <rPh sb="10" eb="12">
      <t>イチ</t>
    </rPh>
    <rPh sb="12" eb="14">
      <t>ヘンコウ</t>
    </rPh>
    <phoneticPr fontId="3"/>
  </si>
  <si>
    <t>1．削減結果表のセル位置変更（行位置のみ）</t>
    <rPh sb="2" eb="4">
      <t>サクゲン</t>
    </rPh>
    <rPh sb="4" eb="6">
      <t>ケッカ</t>
    </rPh>
    <rPh sb="6" eb="7">
      <t>ヒョウ</t>
    </rPh>
    <rPh sb="10" eb="12">
      <t>イチ</t>
    </rPh>
    <rPh sb="12" eb="14">
      <t>ヘンコウ</t>
    </rPh>
    <rPh sb="15" eb="18">
      <t>ギョウイチ</t>
    </rPh>
    <phoneticPr fontId="3"/>
  </si>
  <si>
    <t>更新後表に改善率記入用の列挿入</t>
    <rPh sb="0" eb="2">
      <t>コウシン</t>
    </rPh>
    <rPh sb="2" eb="3">
      <t>ゴ</t>
    </rPh>
    <rPh sb="3" eb="4">
      <t>ヒョウ</t>
    </rPh>
    <rPh sb="5" eb="7">
      <t>カイゼン</t>
    </rPh>
    <rPh sb="7" eb="8">
      <t>リツ</t>
    </rPh>
    <rPh sb="8" eb="10">
      <t>キニュウ</t>
    </rPh>
    <rPh sb="10" eb="11">
      <t>ヨウ</t>
    </rPh>
    <rPh sb="12" eb="13">
      <t>レツ</t>
    </rPh>
    <rPh sb="13" eb="15">
      <t>ソウニュウ</t>
    </rPh>
    <phoneticPr fontId="3"/>
  </si>
  <si>
    <t>按分時の</t>
    <rPh sb="0" eb="2">
      <t>アンブン</t>
    </rPh>
    <rPh sb="2" eb="3">
      <t>ジ</t>
    </rPh>
    <phoneticPr fontId="3"/>
  </si>
  <si>
    <t>更新機の</t>
    <rPh sb="0" eb="2">
      <t>コウシン</t>
    </rPh>
    <rPh sb="2" eb="3">
      <t>キ</t>
    </rPh>
    <phoneticPr fontId="3"/>
  </si>
  <si>
    <t>按分用</t>
    <rPh sb="0" eb="2">
      <t>アンブン</t>
    </rPh>
    <rPh sb="2" eb="3">
      <t>ヨウ</t>
    </rPh>
    <phoneticPr fontId="3"/>
  </si>
  <si>
    <t>発熱出力ＭＪ</t>
    <rPh sb="0" eb="2">
      <t>ハツネツ</t>
    </rPh>
    <rPh sb="2" eb="4">
      <t>シュツリョク</t>
    </rPh>
    <phoneticPr fontId="3"/>
  </si>
  <si>
    <t>発熱出力性能ＭＪ</t>
    <rPh sb="0" eb="2">
      <t>ハツネツ</t>
    </rPh>
    <rPh sb="2" eb="4">
      <t>シュツリョク</t>
    </rPh>
    <rPh sb="4" eb="6">
      <t>セイノウ</t>
    </rPh>
    <phoneticPr fontId="3"/>
  </si>
  <si>
    <t>AX,AY列容量判定式修正</t>
    <rPh sb="5" eb="6">
      <t>レツ</t>
    </rPh>
    <rPh sb="6" eb="8">
      <t>ヨウリョウ</t>
    </rPh>
    <rPh sb="8" eb="10">
      <t>ハンテイ</t>
    </rPh>
    <rPh sb="10" eb="11">
      <t>シキ</t>
    </rPh>
    <rPh sb="11" eb="13">
      <t>シュウセイ</t>
    </rPh>
    <phoneticPr fontId="3"/>
  </si>
  <si>
    <t>更新前後</t>
    <rPh sb="0" eb="2">
      <t>コウシン</t>
    </rPh>
    <rPh sb="2" eb="4">
      <t>ゼンゴ</t>
    </rPh>
    <phoneticPr fontId="3"/>
  </si>
  <si>
    <t>引用負荷率</t>
    <rPh sb="0" eb="2">
      <t>インヨウ</t>
    </rPh>
    <rPh sb="2" eb="4">
      <t>フカ</t>
    </rPh>
    <rPh sb="4" eb="5">
      <t>リツ</t>
    </rPh>
    <phoneticPr fontId="3"/>
  </si>
  <si>
    <t>平均使用時間</t>
  </si>
  <si>
    <t>ｈ/日</t>
  </si>
  <si>
    <t>ｈ/日</t>
    <phoneticPr fontId="3"/>
  </si>
  <si>
    <t>燃料種判定</t>
    <rPh sb="0" eb="2">
      <t>ネンリョウ</t>
    </rPh>
    <rPh sb="2" eb="3">
      <t>シュ</t>
    </rPh>
    <rPh sb="3" eb="5">
      <t>ハンテイ</t>
    </rPh>
    <phoneticPr fontId="3"/>
  </si>
  <si>
    <t>EHP</t>
    <phoneticPr fontId="3"/>
  </si>
  <si>
    <t>年式制限を２００８⇒２００９年に変更</t>
    <rPh sb="0" eb="1">
      <t>ネン</t>
    </rPh>
    <rPh sb="1" eb="2">
      <t>シキ</t>
    </rPh>
    <rPh sb="2" eb="4">
      <t>セイゲン</t>
    </rPh>
    <rPh sb="14" eb="15">
      <t>ネン</t>
    </rPh>
    <rPh sb="16" eb="18">
      <t>ヘンコウ</t>
    </rPh>
    <phoneticPr fontId="3"/>
  </si>
  <si>
    <t>セル位置を集計マクロに合わせ変更</t>
    <rPh sb="2" eb="4">
      <t>イチ</t>
    </rPh>
    <rPh sb="5" eb="7">
      <t>シュウケイ</t>
    </rPh>
    <rPh sb="11" eb="12">
      <t>ア</t>
    </rPh>
    <rPh sb="14" eb="16">
      <t>ヘンコウ</t>
    </rPh>
    <phoneticPr fontId="3"/>
  </si>
  <si>
    <t>改善率列を追加</t>
    <rPh sb="0" eb="2">
      <t>カイゼン</t>
    </rPh>
    <rPh sb="2" eb="3">
      <t>リツ</t>
    </rPh>
    <rPh sb="3" eb="4">
      <t>レツ</t>
    </rPh>
    <rPh sb="5" eb="7">
      <t>ツイカ</t>
    </rPh>
    <phoneticPr fontId="3"/>
  </si>
  <si>
    <t>日量使用時間列を追加</t>
    <rPh sb="0" eb="2">
      <t>ニチリョウ</t>
    </rPh>
    <rPh sb="2" eb="4">
      <t>シヨウ</t>
    </rPh>
    <rPh sb="4" eb="6">
      <t>ジカン</t>
    </rPh>
    <rPh sb="6" eb="7">
      <t>レツ</t>
    </rPh>
    <rPh sb="8" eb="10">
      <t>ツイカ</t>
    </rPh>
    <phoneticPr fontId="3"/>
  </si>
  <si>
    <t>燃転など、使用燃料種や単位の異なる場合は燃料量を表記しない。</t>
    <rPh sb="0" eb="2">
      <t>ネンテン</t>
    </rPh>
    <rPh sb="5" eb="7">
      <t>シヨウ</t>
    </rPh>
    <rPh sb="7" eb="9">
      <t>ネンリョウ</t>
    </rPh>
    <rPh sb="9" eb="10">
      <t>シュ</t>
    </rPh>
    <rPh sb="11" eb="13">
      <t>タンイ</t>
    </rPh>
    <rPh sb="14" eb="15">
      <t>コト</t>
    </rPh>
    <rPh sb="17" eb="19">
      <t>バアイ</t>
    </rPh>
    <rPh sb="20" eb="22">
      <t>ネンリョウ</t>
    </rPh>
    <rPh sb="22" eb="23">
      <t>リョウ</t>
    </rPh>
    <rPh sb="24" eb="26">
      <t>ヒョウキ</t>
    </rPh>
    <phoneticPr fontId="3"/>
  </si>
  <si>
    <t>負荷損
(b)</t>
    <rPh sb="0" eb="3">
      <t>フカゾン</t>
    </rPh>
    <phoneticPr fontId="4"/>
  </si>
  <si>
    <t>1995年以前</t>
    <rPh sb="4" eb="5">
      <t>ネン</t>
    </rPh>
    <rPh sb="5" eb="7">
      <t>イゼン</t>
    </rPh>
    <phoneticPr fontId="3"/>
  </si>
  <si>
    <t>1996年</t>
    <rPh sb="4" eb="5">
      <t>ネン</t>
    </rPh>
    <phoneticPr fontId="3"/>
  </si>
  <si>
    <t>1997年</t>
    <rPh sb="4" eb="5">
      <t>ネン</t>
    </rPh>
    <phoneticPr fontId="3"/>
  </si>
  <si>
    <t>1998年</t>
    <rPh sb="4" eb="5">
      <t>ネン</t>
    </rPh>
    <phoneticPr fontId="3"/>
  </si>
  <si>
    <t>1999年</t>
    <rPh sb="4" eb="5">
      <t>ネン</t>
    </rPh>
    <phoneticPr fontId="3"/>
  </si>
  <si>
    <t>2000年</t>
    <rPh sb="4" eb="5">
      <t>ネン</t>
    </rPh>
    <phoneticPr fontId="3"/>
  </si>
  <si>
    <t>2001年</t>
    <rPh sb="4" eb="5">
      <t>ネン</t>
    </rPh>
    <phoneticPr fontId="3"/>
  </si>
  <si>
    <t>2002年</t>
    <rPh sb="4" eb="5">
      <t>ネン</t>
    </rPh>
    <phoneticPr fontId="3"/>
  </si>
  <si>
    <t>2003年</t>
    <rPh sb="4" eb="5">
      <t>ネン</t>
    </rPh>
    <phoneticPr fontId="3"/>
  </si>
  <si>
    <t>2004年</t>
    <rPh sb="4" eb="5">
      <t>ネン</t>
    </rPh>
    <phoneticPr fontId="3"/>
  </si>
  <si>
    <t>2005年</t>
    <rPh sb="4" eb="5">
      <t>ネン</t>
    </rPh>
    <phoneticPr fontId="3"/>
  </si>
  <si>
    <t>2006年</t>
    <rPh sb="4" eb="5">
      <t>ネン</t>
    </rPh>
    <phoneticPr fontId="3"/>
  </si>
  <si>
    <t>2007年</t>
    <rPh sb="4" eb="5">
      <t>ネン</t>
    </rPh>
    <phoneticPr fontId="3"/>
  </si>
  <si>
    <t>2008年</t>
    <rPh sb="4" eb="5">
      <t>ネン</t>
    </rPh>
    <phoneticPr fontId="3"/>
  </si>
  <si>
    <t>2009年</t>
    <rPh sb="4" eb="5">
      <t>ネン</t>
    </rPh>
    <phoneticPr fontId="3"/>
  </si>
  <si>
    <t>AAABB</t>
    <phoneticPr fontId="4"/>
  </si>
  <si>
    <t>太陽光</t>
    <rPh sb="0" eb="3">
      <t>タイヨウコウ</t>
    </rPh>
    <phoneticPr fontId="3"/>
  </si>
  <si>
    <t>C31警告用計算式変更</t>
    <rPh sb="3" eb="5">
      <t>ケイコク</t>
    </rPh>
    <rPh sb="5" eb="6">
      <t>ヨウ</t>
    </rPh>
    <rPh sb="6" eb="9">
      <t>ケイサンシキ</t>
    </rPh>
    <rPh sb="9" eb="11">
      <t>ヘンコウ</t>
    </rPh>
    <phoneticPr fontId="3"/>
  </si>
  <si>
    <t>設備種適合判定</t>
    <rPh sb="0" eb="2">
      <t>セツビ</t>
    </rPh>
    <rPh sb="2" eb="3">
      <t>シュ</t>
    </rPh>
    <rPh sb="3" eb="5">
      <t>テキゴウ</t>
    </rPh>
    <rPh sb="5" eb="7">
      <t>ハンテイ</t>
    </rPh>
    <phoneticPr fontId="3"/>
  </si>
  <si>
    <t>全体の概要</t>
    <rPh sb="0" eb="2">
      <t>ゼンタイ</t>
    </rPh>
    <rPh sb="3" eb="5">
      <t>ガイヨウ</t>
    </rPh>
    <phoneticPr fontId="3"/>
  </si>
  <si>
    <t>・更新前・後での削減効果は一部のシートを除いて、規定の標準テーブルで計算される。</t>
    <rPh sb="1" eb="3">
      <t>コウシン</t>
    </rPh>
    <rPh sb="3" eb="4">
      <t>ゼン</t>
    </rPh>
    <rPh sb="5" eb="6">
      <t>アト</t>
    </rPh>
    <rPh sb="8" eb="10">
      <t>サクゲン</t>
    </rPh>
    <rPh sb="10" eb="12">
      <t>コウカ</t>
    </rPh>
    <rPh sb="13" eb="15">
      <t>イチブ</t>
    </rPh>
    <rPh sb="20" eb="21">
      <t>ノゾ</t>
    </rPh>
    <rPh sb="24" eb="26">
      <t>キテイ</t>
    </rPh>
    <rPh sb="27" eb="29">
      <t>ヒョウジュン</t>
    </rPh>
    <rPh sb="34" eb="36">
      <t>ケイサン</t>
    </rPh>
    <phoneticPr fontId="3"/>
  </si>
  <si>
    <r>
      <t>・各シートで</t>
    </r>
    <r>
      <rPr>
        <u/>
        <sz val="11"/>
        <color theme="1"/>
        <rFont val="ＭＳ Ｐゴシック"/>
        <family val="3"/>
        <charset val="128"/>
      </rPr>
      <t>白色</t>
    </r>
    <r>
      <rPr>
        <sz val="11"/>
        <color theme="1"/>
        <rFont val="ＭＳ Ｐゴシック"/>
        <family val="2"/>
        <charset val="128"/>
      </rPr>
      <t>の枠内に記入する。。</t>
    </r>
    <r>
      <rPr>
        <sz val="11"/>
        <color rgb="FF00B0F0"/>
        <rFont val="ＭＳ Ｐゴシック"/>
        <family val="3"/>
        <charset val="128"/>
      </rPr>
      <t>水色</t>
    </r>
    <r>
      <rPr>
        <sz val="11"/>
        <color theme="1"/>
        <rFont val="ＭＳ Ｐゴシック"/>
        <family val="2"/>
        <charset val="128"/>
      </rPr>
      <t>欄は任意記載。</t>
    </r>
    <r>
      <rPr>
        <u/>
        <sz val="11"/>
        <color theme="1"/>
        <rFont val="ＭＳ Ｐゴシック"/>
        <family val="3"/>
        <charset val="128"/>
      </rPr>
      <t>その他色のついた欄は記載不要、記入不可である。</t>
    </r>
    <rPh sb="1" eb="2">
      <t>カク</t>
    </rPh>
    <rPh sb="12" eb="14">
      <t>キニュウ</t>
    </rPh>
    <rPh sb="42" eb="44">
      <t>キニュウ</t>
    </rPh>
    <rPh sb="44" eb="46">
      <t>フカ</t>
    </rPh>
    <phoneticPr fontId="3"/>
  </si>
  <si>
    <t>・エネルギー種類を選択するシートでは、選択したエネルギー種類固有の係数値を自動電引用して計算結果が得られる。一部のシートで事例にないエネルギーは記入できる。</t>
    <rPh sb="6" eb="8">
      <t>シュルイ</t>
    </rPh>
    <rPh sb="9" eb="11">
      <t>センタク</t>
    </rPh>
    <rPh sb="19" eb="21">
      <t>センタク</t>
    </rPh>
    <rPh sb="28" eb="30">
      <t>シュルイ</t>
    </rPh>
    <rPh sb="30" eb="32">
      <t>コユウ</t>
    </rPh>
    <rPh sb="33" eb="35">
      <t>ケイスウ</t>
    </rPh>
    <rPh sb="35" eb="36">
      <t>チ</t>
    </rPh>
    <rPh sb="37" eb="39">
      <t>ジドウ</t>
    </rPh>
    <rPh sb="39" eb="40">
      <t>デン</t>
    </rPh>
    <rPh sb="40" eb="42">
      <t>インヨウ</t>
    </rPh>
    <rPh sb="44" eb="46">
      <t>ケイサン</t>
    </rPh>
    <rPh sb="46" eb="48">
      <t>ケッカ</t>
    </rPh>
    <rPh sb="49" eb="50">
      <t>エ</t>
    </rPh>
    <rPh sb="54" eb="56">
      <t>イチブ</t>
    </rPh>
    <rPh sb="61" eb="63">
      <t>ジレイ</t>
    </rPh>
    <rPh sb="72" eb="74">
      <t>キニュウ</t>
    </rPh>
    <phoneticPr fontId="3"/>
  </si>
  <si>
    <t>・導入する設備の該当シートが無い場合は、「その他設備」シートを利用する。</t>
    <rPh sb="1" eb="3">
      <t>ドウニュウ</t>
    </rPh>
    <rPh sb="5" eb="7">
      <t>セツビ</t>
    </rPh>
    <rPh sb="8" eb="10">
      <t>ガイトウ</t>
    </rPh>
    <rPh sb="14" eb="15">
      <t>ナ</t>
    </rPh>
    <rPh sb="16" eb="18">
      <t>バアイ</t>
    </rPh>
    <rPh sb="23" eb="24">
      <t>タ</t>
    </rPh>
    <rPh sb="24" eb="26">
      <t>セツビ</t>
    </rPh>
    <rPh sb="31" eb="33">
      <t>リヨウ</t>
    </rPh>
    <phoneticPr fontId="3"/>
  </si>
  <si>
    <t xml:space="preserve">　超過した場合や、記入内容に疑義がある場合、出力判定に警告が表示される。 </t>
    <rPh sb="5" eb="7">
      <t>バアイ</t>
    </rPh>
    <rPh sb="9" eb="11">
      <t>キニュウ</t>
    </rPh>
    <rPh sb="11" eb="13">
      <t>ナイヨウ</t>
    </rPh>
    <rPh sb="14" eb="16">
      <t>ギギ</t>
    </rPh>
    <rPh sb="19" eb="21">
      <t>バアイ</t>
    </rPh>
    <rPh sb="22" eb="24">
      <t>シュツリョク</t>
    </rPh>
    <rPh sb="24" eb="26">
      <t>ハンテイ</t>
    </rPh>
    <rPh sb="27" eb="29">
      <t>ケイコク</t>
    </rPh>
    <phoneticPr fontId="3"/>
  </si>
  <si>
    <t>　････セルに赤字が表示される。（右図参照）</t>
    <rPh sb="8" eb="10">
      <t>アカジ</t>
    </rPh>
    <rPh sb="18" eb="20">
      <t>ウズ</t>
    </rPh>
    <rPh sb="20" eb="22">
      <t>サンショウ</t>
    </rPh>
    <phoneticPr fontId="3"/>
  </si>
  <si>
    <t>・原則、更新後の設備が更新前の能力を超過する場合は交付対象とならない。</t>
    <rPh sb="1" eb="3">
      <t>ゲンソク</t>
    </rPh>
    <rPh sb="4" eb="6">
      <t>コウシン</t>
    </rPh>
    <rPh sb="6" eb="7">
      <t>ゴ</t>
    </rPh>
    <rPh sb="8" eb="10">
      <t>セツビ</t>
    </rPh>
    <rPh sb="11" eb="13">
      <t>コウシン</t>
    </rPh>
    <rPh sb="13" eb="14">
      <t>マエ</t>
    </rPh>
    <rPh sb="15" eb="17">
      <t>ノウリョク</t>
    </rPh>
    <rPh sb="18" eb="20">
      <t>チョウカ</t>
    </rPh>
    <rPh sb="22" eb="24">
      <t>バアイ</t>
    </rPh>
    <rPh sb="25" eb="27">
      <t>コウフ</t>
    </rPh>
    <rPh sb="27" eb="29">
      <t>タイショウ</t>
    </rPh>
    <phoneticPr fontId="3"/>
  </si>
  <si>
    <t>　しかし、メーカー型式変更などの合理的な事由等がある場合はその旨を記載する。</t>
    <rPh sb="9" eb="11">
      <t>カタシキ</t>
    </rPh>
    <rPh sb="11" eb="13">
      <t>ヘンコウ</t>
    </rPh>
    <rPh sb="16" eb="19">
      <t>ゴウリテキ</t>
    </rPh>
    <rPh sb="20" eb="22">
      <t>ジユウ</t>
    </rPh>
    <rPh sb="22" eb="23">
      <t>トウ</t>
    </rPh>
    <rPh sb="26" eb="28">
      <t>バアイ</t>
    </rPh>
    <phoneticPr fontId="3"/>
  </si>
  <si>
    <t>＊更新前</t>
    <rPh sb="1" eb="3">
      <t>コウシン</t>
    </rPh>
    <rPh sb="3" eb="4">
      <t>マエ</t>
    </rPh>
    <phoneticPr fontId="3"/>
  </si>
  <si>
    <t>＊更新後</t>
    <rPh sb="1" eb="3">
      <t>コウシン</t>
    </rPh>
    <rPh sb="3" eb="4">
      <t>ゴ</t>
    </rPh>
    <phoneticPr fontId="3"/>
  </si>
  <si>
    <r>
      <t>更新後の燃料転換</t>
    </r>
    <r>
      <rPr>
        <sz val="9"/>
        <color rgb="FFFF0000"/>
        <rFont val="游ゴシック"/>
        <family val="3"/>
        <charset val="128"/>
        <scheme val="minor"/>
      </rPr>
      <t>（する場合はチェックを入れる）</t>
    </r>
    <rPh sb="0" eb="2">
      <t>コウシン</t>
    </rPh>
    <rPh sb="2" eb="3">
      <t>ゴ</t>
    </rPh>
    <rPh sb="4" eb="6">
      <t>ネンリョウ</t>
    </rPh>
    <rPh sb="6" eb="8">
      <t>テンカン</t>
    </rPh>
    <rPh sb="11" eb="13">
      <t>バアイ</t>
    </rPh>
    <rPh sb="19" eb="20">
      <t>イ</t>
    </rPh>
    <phoneticPr fontId="3"/>
  </si>
  <si>
    <t>・改善率とは、制御方式を除き、更新機に対する機器の性能向上（比動力（軸動力kW÷エアー吐出量m³/分）の改善率や、モータ効率差など）メーカー提示の省エネ性能向上率を指す。数値が無ければ未記入でよい。記入した場合、根拠資料の添付が必要となる。</t>
    <rPh sb="1" eb="3">
      <t>カイゼン</t>
    </rPh>
    <rPh sb="3" eb="4">
      <t>リツ</t>
    </rPh>
    <rPh sb="17" eb="18">
      <t>キ</t>
    </rPh>
    <rPh sb="19" eb="20">
      <t>タイ</t>
    </rPh>
    <rPh sb="22" eb="24">
      <t>キキ</t>
    </rPh>
    <rPh sb="25" eb="27">
      <t>セイノウ</t>
    </rPh>
    <rPh sb="27" eb="29">
      <t>コウジョウ</t>
    </rPh>
    <rPh sb="34" eb="35">
      <t>ジク</t>
    </rPh>
    <rPh sb="35" eb="37">
      <t>ドウリョク</t>
    </rPh>
    <rPh sb="43" eb="44">
      <t>ト</t>
    </rPh>
    <rPh sb="44" eb="46">
      <t>シュツリョウ</t>
    </rPh>
    <rPh sb="49" eb="50">
      <t>フン</t>
    </rPh>
    <rPh sb="52" eb="54">
      <t>カイゼン</t>
    </rPh>
    <rPh sb="54" eb="55">
      <t>リツ</t>
    </rPh>
    <rPh sb="60" eb="62">
      <t>コウリツ</t>
    </rPh>
    <rPh sb="62" eb="63">
      <t>サ</t>
    </rPh>
    <rPh sb="82" eb="83">
      <t>サ</t>
    </rPh>
    <rPh sb="85" eb="87">
      <t>スウチ</t>
    </rPh>
    <rPh sb="88" eb="89">
      <t>ナ</t>
    </rPh>
    <rPh sb="92" eb="95">
      <t>ミキニュウ</t>
    </rPh>
    <rPh sb="99" eb="101">
      <t>キニュウ</t>
    </rPh>
    <rPh sb="103" eb="105">
      <t>バアイ</t>
    </rPh>
    <rPh sb="106" eb="108">
      <t>コンキョ</t>
    </rPh>
    <rPh sb="108" eb="110">
      <t>シリョウ</t>
    </rPh>
    <rPh sb="111" eb="113">
      <t>テンプ</t>
    </rPh>
    <rPh sb="114" eb="116">
      <t>ヒツヨウ</t>
    </rPh>
    <phoneticPr fontId="3"/>
  </si>
  <si>
    <r>
      <t>**特になければ、未記入でよい。更新前後での</t>
    </r>
    <r>
      <rPr>
        <b/>
        <u/>
        <sz val="8"/>
        <color rgb="FFFF0000"/>
        <rFont val="ＭＳ Ｐゴシック"/>
        <family val="3"/>
        <charset val="128"/>
      </rPr>
      <t>制御方式が同じ場合、</t>
    </r>
    <r>
      <rPr>
        <sz val="8"/>
        <color rgb="FFFF0000"/>
        <rFont val="ＭＳ Ｐゴシック"/>
        <family val="3"/>
        <charset val="128"/>
      </rPr>
      <t>モータ効率や比動力率(%)などのメーカー提示の性能向上率。 記入した場合は根拠資料の添付が必要。</t>
    </r>
    <rPh sb="2" eb="3">
      <t>トク</t>
    </rPh>
    <rPh sb="9" eb="12">
      <t>ミキニュウ</t>
    </rPh>
    <rPh sb="16" eb="18">
      <t>コウシン</t>
    </rPh>
    <rPh sb="18" eb="20">
      <t>ゼンゴ</t>
    </rPh>
    <rPh sb="22" eb="24">
      <t>セイギョ</t>
    </rPh>
    <rPh sb="24" eb="26">
      <t>ホウシキ</t>
    </rPh>
    <rPh sb="27" eb="28">
      <t>オナ</t>
    </rPh>
    <rPh sb="29" eb="31">
      <t>バアイ</t>
    </rPh>
    <rPh sb="35" eb="37">
      <t>コウリツ</t>
    </rPh>
    <rPh sb="41" eb="42">
      <t>リツ</t>
    </rPh>
    <rPh sb="55" eb="57">
      <t>セイノウ</t>
    </rPh>
    <rPh sb="57" eb="59">
      <t>コウジョウ</t>
    </rPh>
    <rPh sb="59" eb="60">
      <t>リツ</t>
    </rPh>
    <rPh sb="62" eb="64">
      <t>キニュウ</t>
    </rPh>
    <rPh sb="66" eb="68">
      <t>バアイ</t>
    </rPh>
    <rPh sb="69" eb="71">
      <t>コンキョ</t>
    </rPh>
    <rPh sb="71" eb="73">
      <t>シリョウ</t>
    </rPh>
    <rPh sb="74" eb="76">
      <t>テンプ</t>
    </rPh>
    <rPh sb="77" eb="79">
      <t>ヒツヨウ</t>
    </rPh>
    <phoneticPr fontId="3"/>
  </si>
  <si>
    <t>記入する行は詰めないで空欄とする。（統廃合の場合のみ適用）</t>
    <rPh sb="0" eb="2">
      <t>キニュウ</t>
    </rPh>
    <rPh sb="4" eb="5">
      <t>ギョウ</t>
    </rPh>
    <rPh sb="6" eb="7">
      <t>ツ</t>
    </rPh>
    <rPh sb="11" eb="13">
      <t>クウラン</t>
    </rPh>
    <rPh sb="18" eb="21">
      <t>トウハイゴウ</t>
    </rPh>
    <rPh sb="22" eb="24">
      <t>バアイ</t>
    </rPh>
    <rPh sb="26" eb="28">
      <t>テキヨウ</t>
    </rPh>
    <phoneticPr fontId="3"/>
  </si>
  <si>
    <t>燃料判定</t>
    <rPh sb="0" eb="2">
      <t>ネンリョウ</t>
    </rPh>
    <rPh sb="2" eb="4">
      <t>ハンテイ</t>
    </rPh>
    <phoneticPr fontId="3"/>
  </si>
  <si>
    <r>
      <t>・更新前の対象機は原則（燃転を除き）、</t>
    </r>
    <r>
      <rPr>
        <u val="double"/>
        <sz val="11"/>
        <color theme="1"/>
        <rFont val="ＭＳ Ｐゴシック"/>
        <family val="3"/>
        <charset val="128"/>
      </rPr>
      <t>2009年製まで</t>
    </r>
    <r>
      <rPr>
        <sz val="11"/>
        <color theme="1"/>
        <rFont val="ＭＳ Ｐゴシック"/>
        <family val="2"/>
        <charset val="128"/>
      </rPr>
      <t>で、それ以降の設備の更新は対象外です。</t>
    </r>
    <rPh sb="1" eb="3">
      <t>コウシン</t>
    </rPh>
    <rPh sb="3" eb="4">
      <t>マエ</t>
    </rPh>
    <rPh sb="5" eb="7">
      <t>タイショウ</t>
    </rPh>
    <rPh sb="7" eb="8">
      <t>キ</t>
    </rPh>
    <rPh sb="9" eb="11">
      <t>ゲンソク</t>
    </rPh>
    <rPh sb="12" eb="14">
      <t>ネンテン</t>
    </rPh>
    <rPh sb="15" eb="16">
      <t>ノゾ</t>
    </rPh>
    <rPh sb="23" eb="24">
      <t>ネン</t>
    </rPh>
    <rPh sb="24" eb="25">
      <t>セイ</t>
    </rPh>
    <rPh sb="31" eb="33">
      <t>イコウ</t>
    </rPh>
    <rPh sb="34" eb="36">
      <t>セツビ</t>
    </rPh>
    <rPh sb="37" eb="39">
      <t>コウシン</t>
    </rPh>
    <rPh sb="40" eb="43">
      <t>タイショウガイ</t>
    </rPh>
    <phoneticPr fontId="3"/>
  </si>
  <si>
    <t>シートの記入方法の説明　《緊急枠用》</t>
    <rPh sb="4" eb="6">
      <t>キニュウ</t>
    </rPh>
    <rPh sb="6" eb="8">
      <t>ホウホウ</t>
    </rPh>
    <rPh sb="9" eb="11">
      <t>セツメイ</t>
    </rPh>
    <rPh sb="13" eb="15">
      <t>キンキュウ</t>
    </rPh>
    <rPh sb="15" eb="16">
      <t>ワク</t>
    </rPh>
    <rPh sb="16" eb="17">
      <t>ヨウ</t>
    </rPh>
    <phoneticPr fontId="3"/>
  </si>
  <si>
    <t>・更新機の定格出力値を記入、制御方式を選択する。</t>
  </si>
  <si>
    <t>燃転での利用を可能にした</t>
    <rPh sb="0" eb="1">
      <t>ネン</t>
    </rPh>
    <rPh sb="1" eb="2">
      <t>テン</t>
    </rPh>
    <rPh sb="4" eb="6">
      <t>リヨウ</t>
    </rPh>
    <rPh sb="7" eb="9">
      <t>カノウ</t>
    </rPh>
    <phoneticPr fontId="3"/>
  </si>
  <si>
    <t>燃転計算の場合消費量にインタロック式追加</t>
    <rPh sb="0" eb="2">
      <t>ネンテン</t>
    </rPh>
    <rPh sb="2" eb="4">
      <t>ケイサン</t>
    </rPh>
    <rPh sb="5" eb="7">
      <t>バアイ</t>
    </rPh>
    <rPh sb="7" eb="10">
      <t>ショウヒリョウ</t>
    </rPh>
    <rPh sb="17" eb="18">
      <t>シキ</t>
    </rPh>
    <rPh sb="18" eb="20">
      <t>ツイカ</t>
    </rPh>
    <phoneticPr fontId="3"/>
  </si>
  <si>
    <t>燃転計算、燃料種類単位違いの場合消費量にインタロック式追加</t>
    <rPh sb="0" eb="2">
      <t>ネンテン</t>
    </rPh>
    <rPh sb="2" eb="4">
      <t>ケイサン</t>
    </rPh>
    <rPh sb="5" eb="7">
      <t>ネンリョウ</t>
    </rPh>
    <rPh sb="7" eb="9">
      <t>シュルイ</t>
    </rPh>
    <rPh sb="9" eb="11">
      <t>タンイ</t>
    </rPh>
    <rPh sb="11" eb="12">
      <t>チガ</t>
    </rPh>
    <rPh sb="14" eb="16">
      <t>バアイ</t>
    </rPh>
    <rPh sb="16" eb="19">
      <t>ショウヒリョウ</t>
    </rPh>
    <rPh sb="26" eb="27">
      <t>シキ</t>
    </rPh>
    <rPh sb="27" eb="29">
      <t>ツイカ</t>
    </rPh>
    <phoneticPr fontId="3"/>
  </si>
  <si>
    <t>（３）更新機の高効率設備区分け</t>
    <rPh sb="3" eb="5">
      <t>コウシン</t>
    </rPh>
    <rPh sb="5" eb="6">
      <t>キ</t>
    </rPh>
    <rPh sb="7" eb="10">
      <t>コウコウリツ</t>
    </rPh>
    <rPh sb="10" eb="12">
      <t>セツビ</t>
    </rPh>
    <rPh sb="12" eb="14">
      <t>クワ</t>
    </rPh>
    <phoneticPr fontId="3"/>
  </si>
  <si>
    <t>・更新機がどの高効率設備区分けに該当するのかを下表の番号で示します。</t>
    <rPh sb="1" eb="3">
      <t>コウシン</t>
    </rPh>
    <rPh sb="3" eb="4">
      <t>キ</t>
    </rPh>
    <rPh sb="7" eb="10">
      <t>コウコウリツ</t>
    </rPh>
    <rPh sb="10" eb="12">
      <t>セツビ</t>
    </rPh>
    <rPh sb="12" eb="14">
      <t>クワ</t>
    </rPh>
    <rPh sb="16" eb="18">
      <t>ガイトウ</t>
    </rPh>
    <rPh sb="23" eb="24">
      <t>シタ</t>
    </rPh>
    <rPh sb="24" eb="25">
      <t>ヒョウ</t>
    </rPh>
    <rPh sb="26" eb="28">
      <t>バンゴウ</t>
    </rPh>
    <rPh sb="29" eb="30">
      <t>シメ</t>
    </rPh>
    <phoneticPr fontId="3"/>
  </si>
  <si>
    <r>
      <t>　</t>
    </r>
    <r>
      <rPr>
        <sz val="11"/>
        <color rgb="FFFF0000"/>
        <rFont val="ＭＳ Ｐゴシック"/>
        <family val="3"/>
        <charset val="128"/>
      </rPr>
      <t>GHPで更新後、燃料転換をする場合は□にチェックを入れ、更新後のガス種類を選択する。</t>
    </r>
    <rPh sb="5" eb="7">
      <t>コウシン</t>
    </rPh>
    <rPh sb="7" eb="8">
      <t>ゴ</t>
    </rPh>
    <rPh sb="9" eb="11">
      <t>ネンリョウ</t>
    </rPh>
    <rPh sb="11" eb="13">
      <t>テンカン</t>
    </rPh>
    <rPh sb="16" eb="18">
      <t>バアイ</t>
    </rPh>
    <rPh sb="26" eb="27">
      <t>イ</t>
    </rPh>
    <rPh sb="29" eb="31">
      <t>コウシン</t>
    </rPh>
    <rPh sb="31" eb="32">
      <t>ゴ</t>
    </rPh>
    <rPh sb="35" eb="37">
      <t>シュルイ</t>
    </rPh>
    <rPh sb="38" eb="40">
      <t>センタク</t>
    </rPh>
    <phoneticPr fontId="3"/>
  </si>
  <si>
    <t>省エネ法のトップランナー基準達成率１００％以上の設備</t>
  </si>
  <si>
    <t>１，２以外の設備で一般的な設備と比べ１０％以上の省エネ改善効果が認められるもの</t>
    <phoneticPr fontId="3"/>
  </si>
  <si>
    <t>経済産業省所管「省エネルギー投資促進支援事業費補助金(C)指定設備導入事業」の対象設備（HP参照） https://sii.or.jp/shitei04r/search/</t>
    <phoneticPr fontId="3"/>
  </si>
  <si>
    <t>高効率
設備
区分</t>
    <rPh sb="0" eb="3">
      <t>コウコウリツ</t>
    </rPh>
    <rPh sb="4" eb="6">
      <t>セツビ</t>
    </rPh>
    <rPh sb="7" eb="9">
      <t>クワ</t>
    </rPh>
    <phoneticPr fontId="3"/>
  </si>
  <si>
    <t>は削減量値は表示されない。</t>
    <phoneticPr fontId="3"/>
  </si>
  <si>
    <t>　令和５年度埼玉県民間事業者ＣＯ２排出削減設備導入補助金　交付申請書</t>
    <rPh sb="1" eb="3">
      <t>レイワ</t>
    </rPh>
    <rPh sb="4" eb="6">
      <t>ネンド</t>
    </rPh>
    <phoneticPr fontId="4"/>
  </si>
  <si>
    <t>（ＣＯ₂排出削減設備導入事業　緊急対策枠）</t>
    <rPh sb="15" eb="20">
      <t>キンキュウタイサクワク</t>
    </rPh>
    <phoneticPr fontId="4"/>
  </si>
  <si>
    <t>6.1.11</t>
    <phoneticPr fontId="3"/>
  </si>
  <si>
    <t>１．削減結果表の原油換算値にガス値が洩れていたので、修正</t>
    <rPh sb="2" eb="4">
      <t>サクゲン</t>
    </rPh>
    <rPh sb="4" eb="6">
      <t>ケッカ</t>
    </rPh>
    <rPh sb="6" eb="7">
      <t>ヒョウ</t>
    </rPh>
    <rPh sb="8" eb="10">
      <t>ゲンユ</t>
    </rPh>
    <rPh sb="10" eb="12">
      <t>カンサン</t>
    </rPh>
    <rPh sb="12" eb="13">
      <t>チ</t>
    </rPh>
    <rPh sb="16" eb="17">
      <t>チ</t>
    </rPh>
    <rPh sb="18" eb="19">
      <t>モ</t>
    </rPh>
    <rPh sb="26" eb="28">
      <t>シュウセイ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</si>
</sst>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0_ ;[Red]\-#,##0\ "/>
    <numFmt numFmtId="177" formatCode="#,##0.0_ ;[Red]\-#,##0.0\ "/>
    <numFmt numFmtId="178" formatCode="0.0%"/>
    <numFmt numFmtId="179" formatCode="0.0"/>
    <numFmt numFmtId="180" formatCode="0.0_ "/>
    <numFmt numFmtId="181" formatCode="0.0_);[Red]\(0.0\)"/>
    <numFmt numFmtId="182" formatCode="0.0_ ;[Red]\-0.0\ "/>
    <numFmt numFmtId="183" formatCode="#,##0.0_ "/>
    <numFmt numFmtId="184" formatCode="#,##0.0_);[Red]\(#,##0.0\)"/>
    <numFmt numFmtId="185" formatCode="#,##0.00_ ;[Red]\-#,##0.00\ "/>
    <numFmt numFmtId="186" formatCode="0_ "/>
    <numFmt numFmtId="187" formatCode="0.000000"/>
    <numFmt numFmtId="188" formatCode="#,##0.0000_ "/>
    <numFmt numFmtId="189" formatCode="#,##0.00_ "/>
    <numFmt numFmtId="190" formatCode="#,##0.000_ "/>
    <numFmt numFmtId="191" formatCode="#,##0.000000_ "/>
    <numFmt numFmtId="192" formatCode="0.00_ "/>
    <numFmt numFmtId="193" formatCode="0_);[Red]\(0\)"/>
    <numFmt numFmtId="194" formatCode="#,##0_);[Red]\(#,##0\)"/>
    <numFmt numFmtId="195" formatCode="#,##0.000;[Red]\-#,##0.000"/>
    <numFmt numFmtId="196" formatCode="0.0000"/>
    <numFmt numFmtId="197" formatCode="0.000"/>
    <numFmt numFmtId="198" formatCode="#,##0.0;[Red]\-#,##0.0"/>
    <numFmt numFmtId="199" formatCode="#"/>
  </numFmts>
  <fonts count="79">
    <font>
      <sz val="11"/>
      <color theme="1"/>
      <name val="ＭＳ Ｐゴシック"/>
      <family val="2"/>
      <charset val="128"/>
    </font>
    <font>
      <sz val="11"/>
      <color theme="1"/>
      <name val="ＭＳ Ｐゴシック"/>
      <family val="2"/>
      <charset val="128"/>
    </font>
    <font>
      <b/>
      <sz val="18"/>
      <color theme="1"/>
      <name val="游ゴシック"/>
      <family val="3"/>
      <charset val="128"/>
      <scheme val="minor"/>
    </font>
    <font>
      <sz val="6"/>
      <name val="ＭＳ Ｐゴシック"/>
      <family val="2"/>
      <charset val="128"/>
    </font>
    <font>
      <sz val="6"/>
      <name val="游ゴシック"/>
      <family val="3"/>
      <charset val="128"/>
      <scheme val="minor"/>
    </font>
    <font>
      <sz val="11"/>
      <color theme="7"/>
      <name val="游ゴシック"/>
      <family val="2"/>
      <scheme val="minor"/>
    </font>
    <font>
      <b/>
      <sz val="11"/>
      <color theme="1"/>
      <name val="游ゴシック"/>
      <family val="3"/>
      <charset val="128"/>
      <scheme val="minor"/>
    </font>
    <font>
      <sz val="11"/>
      <color rgb="FFFF0000"/>
      <name val="游ゴシック"/>
      <family val="3"/>
      <charset val="128"/>
      <scheme val="minor"/>
    </font>
    <font>
      <sz val="11"/>
      <color rgb="FFFF0000"/>
      <name val="游ゴシック"/>
      <family val="2"/>
      <scheme val="minor"/>
    </font>
    <font>
      <sz val="1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6"/>
      <name val="游ゴシック"/>
      <family val="2"/>
      <charset val="128"/>
      <scheme val="minor"/>
    </font>
    <font>
      <sz val="11"/>
      <name val="ＭＳ Ｐゴシック"/>
      <family val="3"/>
      <charset val="128"/>
    </font>
    <font>
      <b/>
      <sz val="16"/>
      <name val="ＭＳ Ｐゴシック"/>
      <family val="3"/>
      <charset val="128"/>
    </font>
    <font>
      <sz val="6"/>
      <name val="ＭＳ Ｐゴシック"/>
      <family val="3"/>
      <charset val="128"/>
    </font>
    <font>
      <sz val="11"/>
      <color theme="1"/>
      <name val="游ゴシック"/>
      <family val="2"/>
      <charset val="128"/>
      <scheme val="minor"/>
    </font>
    <font>
      <b/>
      <sz val="11"/>
      <name val="ＭＳ Ｐゴシック"/>
      <family val="3"/>
      <charset val="128"/>
    </font>
    <font>
      <b/>
      <sz val="9"/>
      <name val="ＭＳ Ｐゴシック"/>
      <family val="3"/>
      <charset val="128"/>
    </font>
    <font>
      <sz val="8"/>
      <name val="ＭＳ Ｐゴシック"/>
      <family val="3"/>
      <charset val="128"/>
    </font>
    <font>
      <sz val="11"/>
      <color theme="1"/>
      <name val="游ゴシック"/>
      <family val="2"/>
      <scheme val="minor"/>
    </font>
    <font>
      <b/>
      <sz val="10"/>
      <color theme="1"/>
      <name val="ＭＳ Ｐゴシック"/>
      <family val="3"/>
      <charset val="128"/>
    </font>
    <font>
      <b/>
      <sz val="10"/>
      <color theme="1"/>
      <name val="ＭＳ Ｐ明朝"/>
      <family val="1"/>
      <charset val="128"/>
    </font>
    <font>
      <sz val="11"/>
      <color rgb="FFFF0000"/>
      <name val="ＭＳ Ｐゴシック"/>
      <family val="2"/>
      <charset val="128"/>
    </font>
    <font>
      <sz val="11"/>
      <color rgb="FFFF0000"/>
      <name val="ＭＳ Ｐゴシック"/>
      <family val="3"/>
      <charset val="128"/>
    </font>
    <font>
      <i/>
      <sz val="11"/>
      <name val="游ゴシック"/>
      <family val="3"/>
      <charset val="128"/>
      <scheme val="minor"/>
    </font>
    <font>
      <sz val="12"/>
      <color theme="1"/>
      <name val="ＭＳ Ｐゴシック"/>
      <family val="2"/>
      <charset val="128"/>
    </font>
    <font>
      <sz val="12"/>
      <color theme="1"/>
      <name val="ＭＳ Ｐゴシック"/>
      <family val="3"/>
      <charset val="128"/>
    </font>
    <font>
      <sz val="11"/>
      <color rgb="FF000000"/>
      <name val="Calibri"/>
      <family val="2"/>
    </font>
    <font>
      <sz val="11"/>
      <color rgb="FF000000"/>
      <name val="游ゴシック"/>
      <family val="3"/>
      <charset val="128"/>
    </font>
    <font>
      <sz val="10"/>
      <color theme="1"/>
      <name val="ＭＳ Ｐゴシック"/>
      <family val="2"/>
      <charset val="128"/>
    </font>
    <font>
      <i/>
      <sz val="11"/>
      <name val="ＭＳ Ｐゴシック"/>
      <family val="3"/>
      <charset val="128"/>
    </font>
    <font>
      <b/>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b/>
      <sz val="10"/>
      <color rgb="FFFF0000"/>
      <name val="游ゴシック"/>
      <family val="3"/>
      <charset val="128"/>
      <scheme val="minor"/>
    </font>
    <font>
      <sz val="14"/>
      <color theme="1"/>
      <name val="游ゴシック"/>
      <family val="3"/>
      <charset val="128"/>
      <scheme val="minor"/>
    </font>
    <font>
      <sz val="12"/>
      <color theme="1"/>
      <name val="游ゴシック"/>
      <family val="3"/>
      <charset val="128"/>
      <scheme val="minor"/>
    </font>
    <font>
      <sz val="6"/>
      <color theme="1"/>
      <name val="ＭＳ Ｐゴシック"/>
      <family val="2"/>
      <charset val="128"/>
    </font>
    <font>
      <i/>
      <sz val="8"/>
      <color theme="1"/>
      <name val="游ゴシック"/>
      <family val="3"/>
      <charset val="128"/>
      <scheme val="minor"/>
    </font>
    <font>
      <sz val="11"/>
      <color theme="1"/>
      <name val="ＭＳ Ｐゴシック"/>
      <family val="3"/>
      <charset val="128"/>
    </font>
    <font>
      <sz val="9"/>
      <color theme="1"/>
      <name val="ＭＳ Ｐゴシック"/>
      <family val="3"/>
      <charset val="128"/>
    </font>
    <font>
      <sz val="8"/>
      <color theme="1"/>
      <name val="ＭＳ Ｐゴシック"/>
      <family val="3"/>
      <charset val="128"/>
    </font>
    <font>
      <vertAlign val="subscript"/>
      <sz val="9"/>
      <color theme="1"/>
      <name val="ＭＳ Ｐゴシック"/>
      <family val="3"/>
      <charset val="128"/>
    </font>
    <font>
      <b/>
      <sz val="11"/>
      <color theme="1"/>
      <name val="ＭＳ Ｐゴシック"/>
      <family val="3"/>
      <charset val="128"/>
    </font>
    <font>
      <i/>
      <sz val="11"/>
      <color theme="1"/>
      <name val="ＭＳ Ｐゴシック"/>
      <family val="3"/>
      <charset val="128"/>
    </font>
    <font>
      <b/>
      <sz val="10"/>
      <color rgb="FFFF0000"/>
      <name val="ＭＳ Ｐゴシック"/>
      <family val="3"/>
      <charset val="128"/>
    </font>
    <font>
      <sz val="10"/>
      <color theme="1"/>
      <name val="ＭＳ Ｐゴシック"/>
      <family val="3"/>
      <charset val="128"/>
    </font>
    <font>
      <sz val="10"/>
      <color rgb="FFFF0000"/>
      <name val="ＭＳ Ｐゴシック"/>
      <family val="3"/>
      <charset val="128"/>
    </font>
    <font>
      <b/>
      <sz val="6"/>
      <color rgb="FFFF0000"/>
      <name val="ＭＳ Ｐゴシック"/>
      <family val="3"/>
      <charset val="128"/>
    </font>
    <font>
      <sz val="8"/>
      <name val="游ゴシック"/>
      <family val="2"/>
      <charset val="128"/>
      <scheme val="minor"/>
    </font>
    <font>
      <b/>
      <sz val="18"/>
      <color theme="1"/>
      <name val="ＭＳ Ｐゴシック"/>
      <family val="3"/>
      <charset val="128"/>
    </font>
    <font>
      <sz val="11"/>
      <color theme="7"/>
      <name val="ＭＳ Ｐゴシック"/>
      <family val="3"/>
      <charset val="128"/>
    </font>
    <font>
      <sz val="10"/>
      <color rgb="FFFF0000"/>
      <name val="游ゴシック"/>
      <family val="3"/>
      <charset val="128"/>
      <scheme val="minor"/>
    </font>
    <font>
      <sz val="9"/>
      <color theme="1"/>
      <name val="ＭＳ Ｐゴシック"/>
      <family val="2"/>
      <charset val="128"/>
    </font>
    <font>
      <sz val="8"/>
      <color theme="1"/>
      <name val="ＭＳ Ｐゴシック"/>
      <family val="2"/>
      <charset val="128"/>
    </font>
    <font>
      <sz val="11"/>
      <color rgb="FF00B0F0"/>
      <name val="ＭＳ Ｐゴシック"/>
      <family val="3"/>
      <charset val="128"/>
    </font>
    <font>
      <sz val="11"/>
      <color rgb="FF000000"/>
      <name val="ＭＳ ゴシック"/>
      <family val="3"/>
      <charset val="128"/>
    </font>
    <font>
      <sz val="11"/>
      <color rgb="FF000000"/>
      <name val="Calibri"/>
      <family val="3"/>
      <charset val="128"/>
    </font>
    <font>
      <sz val="7"/>
      <color theme="1"/>
      <name val="ＭＳ Ｐゴシック"/>
      <family val="3"/>
      <charset val="128"/>
    </font>
    <font>
      <sz val="11"/>
      <name val="ＭＳ Ｐゴシック"/>
      <family val="2"/>
      <charset val="128"/>
    </font>
    <font>
      <sz val="11"/>
      <color theme="1"/>
      <name val="游ゴシック"/>
      <family val="3"/>
      <charset val="128"/>
    </font>
    <font>
      <sz val="11"/>
      <name val="游ゴシック"/>
      <family val="3"/>
      <charset val="128"/>
    </font>
    <font>
      <sz val="10"/>
      <color theme="1"/>
      <name val="游ゴシック"/>
      <family val="3"/>
      <charset val="128"/>
    </font>
    <font>
      <b/>
      <sz val="12"/>
      <color theme="1"/>
      <name val="游ゴシック"/>
      <family val="3"/>
      <charset val="128"/>
    </font>
    <font>
      <sz val="14"/>
      <color theme="1"/>
      <name val="游ゴシック"/>
      <family val="3"/>
      <charset val="128"/>
    </font>
    <font>
      <sz val="9"/>
      <name val="ＭＳ Ｐゴシック"/>
      <family val="3"/>
      <charset val="128"/>
    </font>
    <font>
      <sz val="7"/>
      <name val="ＭＳ Ｐゴシック"/>
      <family val="3"/>
      <charset val="128"/>
    </font>
    <font>
      <sz val="9"/>
      <color indexed="81"/>
      <name val="MS P ゴシック"/>
      <family val="3"/>
      <charset val="128"/>
    </font>
    <font>
      <b/>
      <sz val="10"/>
      <name val="游ゴシック"/>
      <family val="3"/>
      <charset val="128"/>
      <scheme val="minor"/>
    </font>
    <font>
      <u/>
      <sz val="11"/>
      <color theme="1"/>
      <name val="ＭＳ Ｐゴシック"/>
      <family val="3"/>
      <charset val="128"/>
    </font>
    <font>
      <b/>
      <sz val="9"/>
      <color rgb="FFFF0000"/>
      <name val="ＭＳ Ｐゴシック"/>
      <family val="3"/>
      <charset val="128"/>
    </font>
    <font>
      <b/>
      <sz val="11"/>
      <color rgb="FFFF0000"/>
      <name val="游ゴシック"/>
      <family val="3"/>
      <charset val="128"/>
      <scheme val="minor"/>
    </font>
    <font>
      <sz val="9"/>
      <color rgb="FFFF0000"/>
      <name val="游ゴシック"/>
      <family val="3"/>
      <charset val="128"/>
      <scheme val="minor"/>
    </font>
    <font>
      <sz val="8"/>
      <color rgb="FFFF0000"/>
      <name val="ＭＳ Ｐゴシック"/>
      <family val="3"/>
      <charset val="128"/>
    </font>
    <font>
      <b/>
      <u/>
      <sz val="8"/>
      <color rgb="FFFF0000"/>
      <name val="ＭＳ Ｐゴシック"/>
      <family val="3"/>
      <charset val="128"/>
    </font>
    <font>
      <u val="double"/>
      <sz val="11"/>
      <color theme="1"/>
      <name val="ＭＳ Ｐゴシック"/>
      <family val="3"/>
      <charset val="128"/>
    </font>
    <font>
      <b/>
      <sz val="11"/>
      <color rgb="FFFF0000"/>
      <name val="ＭＳ Ｐゴシック"/>
      <family val="3"/>
      <charset val="128"/>
    </font>
  </fonts>
  <fills count="19">
    <fill>
      <patternFill patternType="none"/>
    </fill>
    <fill>
      <patternFill patternType="gray125"/>
    </fill>
    <fill>
      <patternFill patternType="solid">
        <fgColor theme="3"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99"/>
        <bgColor indexed="64"/>
      </patternFill>
    </fill>
    <fill>
      <patternFill patternType="solid">
        <fgColor theme="5" tint="0.599963377788628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indexed="64"/>
      </patternFill>
    </fill>
  </fills>
  <borders count="7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uble">
        <color indexed="64"/>
      </left>
      <right/>
      <top style="thin">
        <color indexed="64"/>
      </top>
      <bottom/>
      <diagonal/>
    </border>
    <border>
      <left style="double">
        <color indexed="64"/>
      </left>
      <right/>
      <top/>
      <bottom style="thin">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diagonalUp="1">
      <left style="thin">
        <color indexed="64"/>
      </left>
      <right style="thin">
        <color indexed="64"/>
      </right>
      <top style="thin">
        <color indexed="64"/>
      </top>
      <bottom style="medium">
        <color indexed="64"/>
      </bottom>
      <diagonal style="thin">
        <color indexed="64"/>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auto="1"/>
      </left>
      <right/>
      <top style="thin">
        <color auto="1"/>
      </top>
      <bottom style="medium">
        <color auto="1"/>
      </bottom>
      <diagonal style="thin">
        <color auto="1"/>
      </diagonal>
    </border>
    <border diagonalUp="1">
      <left/>
      <right style="thin">
        <color indexed="64"/>
      </right>
      <top style="thin">
        <color indexed="64"/>
      </top>
      <bottom style="medium">
        <color indexed="64"/>
      </bottom>
      <diagonal style="thin">
        <color indexed="64"/>
      </diagonal>
    </border>
    <border diagonalUp="1">
      <left style="double">
        <color indexed="64"/>
      </left>
      <right style="thin">
        <color indexed="64"/>
      </right>
      <top style="thin">
        <color indexed="64"/>
      </top>
      <bottom style="medium">
        <color indexed="64"/>
      </bottom>
      <diagonal style="thin">
        <color indexed="64"/>
      </diagonal>
    </border>
    <border>
      <left style="thin">
        <color indexed="64"/>
      </left>
      <right style="thin">
        <color auto="1"/>
      </right>
      <top/>
      <bottom style="medium">
        <color auto="1"/>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3" fillId="0" borderId="0">
      <alignment vertical="center"/>
    </xf>
    <xf numFmtId="0" fontId="16" fillId="0" borderId="0">
      <alignment vertical="center"/>
    </xf>
    <xf numFmtId="38" fontId="13" fillId="0" borderId="0" applyFont="0" applyFill="0" applyBorder="0" applyAlignment="0" applyProtection="0">
      <alignment vertical="center"/>
    </xf>
    <xf numFmtId="0" fontId="20" fillId="0" borderId="0"/>
    <xf numFmtId="9" fontId="20" fillId="0" borderId="0" applyFont="0" applyFill="0" applyBorder="0" applyAlignment="0" applyProtection="0">
      <alignment vertical="center"/>
    </xf>
    <xf numFmtId="0" fontId="20" fillId="0" borderId="0"/>
    <xf numFmtId="9" fontId="20" fillId="0" borderId="0" applyFont="0" applyFill="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1207">
    <xf numFmtId="0" fontId="0" fillId="0" borderId="0" xfId="0">
      <alignment vertical="center"/>
    </xf>
    <xf numFmtId="0" fontId="0" fillId="0" borderId="0" xfId="0" applyAlignment="1" applyProtection="1"/>
    <xf numFmtId="0" fontId="0" fillId="0" borderId="0" xfId="0" applyFill="1" applyBorder="1" applyAlignment="1"/>
    <xf numFmtId="0" fontId="0" fillId="0" borderId="0" xfId="0" applyFill="1" applyBorder="1" applyAlignment="1" applyProtection="1">
      <alignment horizontal="center"/>
      <protection locked="0"/>
    </xf>
    <xf numFmtId="0" fontId="0" fillId="0" borderId="0" xfId="0" applyFill="1" applyBorder="1" applyAlignment="1" applyProtection="1">
      <alignment shrinkToFit="1"/>
      <protection locked="0"/>
    </xf>
    <xf numFmtId="0" fontId="5" fillId="0" borderId="0" xfId="0" applyFont="1" applyFill="1" applyBorder="1" applyAlignment="1"/>
    <xf numFmtId="0" fontId="0" fillId="0" borderId="0" xfId="0" applyAlignment="1" applyProtection="1">
      <alignment horizontal="center"/>
    </xf>
    <xf numFmtId="0" fontId="0" fillId="2" borderId="3" xfId="0" applyFill="1" applyBorder="1" applyAlignment="1">
      <alignment horizontal="center" vertical="center"/>
    </xf>
    <xf numFmtId="9" fontId="0" fillId="2" borderId="3" xfId="2" applyFont="1" applyFill="1" applyBorder="1" applyAlignment="1">
      <alignment horizontal="center" vertical="center"/>
    </xf>
    <xf numFmtId="0" fontId="0" fillId="2" borderId="3" xfId="0" applyFill="1" applyBorder="1" applyAlignment="1" applyProtection="1">
      <alignment horizontal="center" wrapText="1"/>
    </xf>
    <xf numFmtId="0" fontId="0" fillId="0" borderId="0" xfId="0" applyFill="1" applyBorder="1" applyAlignment="1">
      <alignment horizontal="left" vertical="top"/>
    </xf>
    <xf numFmtId="0" fontId="0" fillId="0" borderId="0" xfId="0" applyAlignment="1"/>
    <xf numFmtId="0" fontId="8" fillId="0" borderId="0" xfId="0" applyFont="1" applyAlignment="1" applyProtection="1"/>
    <xf numFmtId="0" fontId="2" fillId="0" borderId="0" xfId="0" applyFont="1" applyAlignment="1"/>
    <xf numFmtId="0" fontId="0" fillId="0" borderId="0" xfId="0" applyFill="1" applyBorder="1" applyAlignment="1" applyProtection="1">
      <protection locked="0"/>
    </xf>
    <xf numFmtId="0" fontId="8" fillId="0" borderId="0" xfId="0" applyFont="1" applyAlignment="1"/>
    <xf numFmtId="0" fontId="0" fillId="2" borderId="3" xfId="0" applyFill="1" applyBorder="1" applyAlignment="1" applyProtection="1"/>
    <xf numFmtId="0" fontId="0" fillId="2" borderId="4" xfId="0" applyFill="1" applyBorder="1" applyAlignment="1" applyProtection="1">
      <alignment vertical="center"/>
    </xf>
    <xf numFmtId="0" fontId="0" fillId="2" borderId="1" xfId="0" applyFill="1" applyBorder="1" applyAlignment="1" applyProtection="1">
      <alignment vertical="center"/>
    </xf>
    <xf numFmtId="0" fontId="0" fillId="2" borderId="3" xfId="0" applyFill="1" applyBorder="1" applyAlignment="1" applyProtection="1">
      <alignment vertical="center"/>
    </xf>
    <xf numFmtId="0" fontId="0" fillId="2" borderId="3" xfId="0" applyFill="1" applyBorder="1" applyAlignment="1" applyProtection="1">
      <alignment horizontal="center" vertical="top" wrapText="1"/>
    </xf>
    <xf numFmtId="0" fontId="0" fillId="2" borderId="3" xfId="0" applyFill="1" applyBorder="1" applyAlignment="1" applyProtection="1">
      <alignment shrinkToFit="1"/>
    </xf>
    <xf numFmtId="0" fontId="14" fillId="0" borderId="0" xfId="3" applyFont="1" applyAlignment="1" applyProtection="1">
      <alignment vertical="top"/>
    </xf>
    <xf numFmtId="0" fontId="13" fillId="0" borderId="0" xfId="3" applyFont="1" applyAlignment="1" applyProtection="1">
      <alignment vertical="center"/>
    </xf>
    <xf numFmtId="0" fontId="13" fillId="0" borderId="0" xfId="3" applyFont="1" applyFill="1" applyAlignment="1" applyProtection="1">
      <alignment vertical="center"/>
    </xf>
    <xf numFmtId="0" fontId="17" fillId="7" borderId="3" xfId="3" applyFont="1" applyFill="1" applyBorder="1" applyAlignment="1" applyProtection="1">
      <alignment vertical="center"/>
    </xf>
    <xf numFmtId="0" fontId="18" fillId="7" borderId="3" xfId="3" applyFont="1" applyFill="1" applyBorder="1" applyAlignment="1" applyProtection="1">
      <alignment vertical="center" wrapText="1" shrinkToFit="1"/>
    </xf>
    <xf numFmtId="0" fontId="17" fillId="7" borderId="3" xfId="3" applyFont="1" applyFill="1" applyBorder="1" applyAlignment="1" applyProtection="1">
      <alignment vertical="center" wrapText="1" shrinkToFit="1"/>
    </xf>
    <xf numFmtId="0" fontId="17" fillId="7" borderId="3" xfId="3" applyFont="1" applyFill="1" applyBorder="1" applyAlignment="1" applyProtection="1">
      <alignment vertical="center" shrinkToFit="1"/>
    </xf>
    <xf numFmtId="0" fontId="17" fillId="7" borderId="3" xfId="3" applyFont="1" applyFill="1" applyBorder="1" applyAlignment="1" applyProtection="1">
      <alignment horizontal="center" vertical="center" wrapText="1"/>
    </xf>
    <xf numFmtId="187" fontId="17" fillId="7" borderId="3" xfId="3" applyNumberFormat="1" applyFont="1" applyFill="1" applyBorder="1" applyAlignment="1" applyProtection="1">
      <alignment horizontal="center" vertical="center" wrapText="1"/>
    </xf>
    <xf numFmtId="0" fontId="13" fillId="0" borderId="3" xfId="3" applyFont="1" applyBorder="1" applyAlignment="1" applyProtection="1">
      <alignment vertical="center" shrinkToFit="1"/>
    </xf>
    <xf numFmtId="0" fontId="0" fillId="0" borderId="3" xfId="5" applyNumberFormat="1" applyFont="1" applyFill="1" applyBorder="1" applyAlignment="1" applyProtection="1">
      <alignment horizontal="center" vertical="center" shrinkToFit="1"/>
    </xf>
    <xf numFmtId="0" fontId="15" fillId="0" borderId="3" xfId="5" applyNumberFormat="1" applyFont="1" applyBorder="1" applyAlignment="1" applyProtection="1">
      <alignment horizontal="center" vertical="center" wrapText="1" shrinkToFit="1"/>
    </xf>
    <xf numFmtId="187" fontId="13" fillId="0" borderId="3" xfId="5" applyNumberFormat="1" applyFont="1" applyBorder="1" applyAlignment="1" applyProtection="1">
      <alignment horizontal="center" vertical="center" wrapText="1" shrinkToFit="1"/>
    </xf>
    <xf numFmtId="0" fontId="15" fillId="0" borderId="3" xfId="5" applyNumberFormat="1" applyFont="1" applyFill="1" applyBorder="1" applyAlignment="1" applyProtection="1">
      <alignment horizontal="center" vertical="center" wrapText="1" shrinkToFit="1"/>
    </xf>
    <xf numFmtId="187" fontId="13" fillId="0" borderId="3" xfId="5" applyNumberFormat="1" applyFont="1" applyFill="1" applyBorder="1" applyAlignment="1" applyProtection="1">
      <alignment horizontal="center" vertical="center" wrapText="1" shrinkToFit="1"/>
    </xf>
    <xf numFmtId="0" fontId="13" fillId="0" borderId="3" xfId="3" applyFont="1" applyBorder="1" applyAlignment="1" applyProtection="1">
      <alignment vertical="center"/>
    </xf>
    <xf numFmtId="0" fontId="19" fillId="0" borderId="3" xfId="5" applyNumberFormat="1" applyFont="1" applyFill="1" applyBorder="1" applyAlignment="1" applyProtection="1">
      <alignment horizontal="center" vertical="center" wrapText="1" shrinkToFit="1"/>
    </xf>
    <xf numFmtId="0" fontId="20" fillId="0" borderId="0" xfId="6"/>
    <xf numFmtId="192" fontId="20" fillId="0" borderId="0" xfId="6" applyNumberFormat="1"/>
    <xf numFmtId="178" fontId="0" fillId="0" borderId="0" xfId="7" applyNumberFormat="1" applyFont="1" applyAlignment="1"/>
    <xf numFmtId="180" fontId="20" fillId="0" borderId="0" xfId="6" applyNumberFormat="1"/>
    <xf numFmtId="186" fontId="20" fillId="0" borderId="0" xfId="6" applyNumberFormat="1"/>
    <xf numFmtId="178" fontId="20" fillId="0" borderId="0" xfId="6" applyNumberFormat="1"/>
    <xf numFmtId="193" fontId="20" fillId="0" borderId="0" xfId="6" applyNumberFormat="1"/>
    <xf numFmtId="0" fontId="20" fillId="0" borderId="0" xfId="6" applyAlignment="1">
      <alignment horizontal="center" vertical="center"/>
    </xf>
    <xf numFmtId="0" fontId="20" fillId="2" borderId="3" xfId="6" applyFill="1" applyBorder="1" applyAlignment="1">
      <alignment horizontal="center" vertical="center"/>
    </xf>
    <xf numFmtId="194" fontId="20" fillId="2" borderId="3" xfId="6" applyNumberFormat="1" applyFill="1" applyBorder="1" applyAlignment="1">
      <alignment horizontal="center" vertical="center"/>
    </xf>
    <xf numFmtId="194" fontId="20" fillId="0" borderId="0" xfId="6" applyNumberFormat="1" applyAlignment="1">
      <alignment horizontal="center"/>
    </xf>
    <xf numFmtId="0" fontId="20" fillId="0" borderId="3" xfId="6" applyBorder="1" applyAlignment="1">
      <alignment horizontal="center" vertical="center"/>
    </xf>
    <xf numFmtId="180" fontId="20" fillId="0" borderId="3" xfId="6" applyNumberFormat="1" applyBorder="1"/>
    <xf numFmtId="194" fontId="20" fillId="0" borderId="3" xfId="6" applyNumberFormat="1" applyBorder="1"/>
    <xf numFmtId="194" fontId="20" fillId="0" borderId="0" xfId="6" applyNumberFormat="1"/>
    <xf numFmtId="194" fontId="20" fillId="0" borderId="17" xfId="6" applyNumberFormat="1" applyBorder="1"/>
    <xf numFmtId="0" fontId="21" fillId="0" borderId="0" xfId="0" applyFont="1">
      <alignment vertical="center"/>
    </xf>
    <xf numFmtId="0" fontId="22" fillId="0" borderId="0" xfId="0" applyFont="1">
      <alignment vertical="center"/>
    </xf>
    <xf numFmtId="0" fontId="0" fillId="0" borderId="3" xfId="0" applyBorder="1">
      <alignment vertical="center"/>
    </xf>
    <xf numFmtId="0" fontId="0" fillId="0" borderId="3" xfId="0" applyBorder="1" applyAlignment="1">
      <alignment horizontal="center" vertical="center"/>
    </xf>
    <xf numFmtId="180" fontId="0" fillId="0" borderId="3" xfId="0" applyNumberFormat="1" applyBorder="1" applyAlignment="1">
      <alignment horizontal="center" vertical="center"/>
    </xf>
    <xf numFmtId="0" fontId="0" fillId="2" borderId="1" xfId="0" applyFill="1" applyBorder="1" applyAlignment="1" applyProtection="1">
      <alignment horizontal="center" vertical="top" wrapText="1"/>
    </xf>
    <xf numFmtId="0" fontId="0" fillId="2" borderId="3" xfId="0" applyFill="1" applyBorder="1" applyAlignment="1" applyProtection="1">
      <alignment horizontal="center"/>
    </xf>
    <xf numFmtId="0" fontId="0" fillId="2" borderId="1" xfId="0" applyFill="1" applyBorder="1" applyAlignment="1" applyProtection="1">
      <alignment horizontal="center"/>
    </xf>
    <xf numFmtId="0" fontId="0" fillId="2" borderId="3"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1" xfId="0" applyFill="1" applyBorder="1" applyAlignment="1" applyProtection="1">
      <alignment horizontal="center" wrapText="1"/>
    </xf>
    <xf numFmtId="0" fontId="20" fillId="0" borderId="0" xfId="8" applyAlignment="1" applyProtection="1">
      <alignment vertical="center"/>
      <protection locked="0"/>
    </xf>
    <xf numFmtId="0" fontId="2" fillId="0" borderId="0" xfId="0" applyFont="1" applyAlignment="1" applyProtection="1">
      <protection locked="0"/>
    </xf>
    <xf numFmtId="0" fontId="0" fillId="0" borderId="0" xfId="0" applyAlignment="1" applyProtection="1">
      <protection locked="0"/>
    </xf>
    <xf numFmtId="0" fontId="0" fillId="0" borderId="0" xfId="0" applyProtection="1">
      <alignment vertical="center"/>
      <protection locked="0"/>
    </xf>
    <xf numFmtId="0" fontId="0" fillId="0" borderId="0" xfId="0" applyAlignment="1" applyProtection="1">
      <alignment horizontal="center"/>
      <protection locked="0"/>
    </xf>
    <xf numFmtId="0" fontId="0" fillId="0" borderId="0" xfId="0" applyBorder="1" applyAlignment="1" applyProtection="1">
      <protection locked="0"/>
    </xf>
    <xf numFmtId="0" fontId="7" fillId="0" borderId="0" xfId="0" applyFont="1" applyFill="1" applyAlignment="1" applyProtection="1">
      <protection locked="0"/>
    </xf>
    <xf numFmtId="178" fontId="0" fillId="0" borderId="3" xfId="0" applyNumberFormat="1" applyBorder="1" applyAlignment="1" applyProtection="1">
      <protection locked="0"/>
    </xf>
    <xf numFmtId="0" fontId="20" fillId="0" borderId="0" xfId="8" applyProtection="1">
      <protection locked="0"/>
    </xf>
    <xf numFmtId="9" fontId="20" fillId="0" borderId="0" xfId="8" applyNumberFormat="1" applyProtection="1">
      <protection locked="0"/>
    </xf>
    <xf numFmtId="0" fontId="20" fillId="0" borderId="3" xfId="8" applyBorder="1" applyProtection="1">
      <protection locked="0"/>
    </xf>
    <xf numFmtId="9" fontId="0" fillId="0" borderId="3" xfId="9" applyFont="1" applyFill="1" applyBorder="1" applyAlignment="1" applyProtection="1">
      <protection locked="0"/>
    </xf>
    <xf numFmtId="9" fontId="20" fillId="0" borderId="3" xfId="8" applyNumberFormat="1" applyBorder="1" applyProtection="1">
      <protection locked="0"/>
    </xf>
    <xf numFmtId="178" fontId="0" fillId="0" borderId="3" xfId="9" applyNumberFormat="1" applyFont="1" applyFill="1" applyBorder="1" applyAlignment="1" applyProtection="1">
      <protection locked="0"/>
    </xf>
    <xf numFmtId="178" fontId="20" fillId="0" borderId="3" xfId="8" applyNumberFormat="1" applyBorder="1" applyProtection="1">
      <protection locked="0"/>
    </xf>
    <xf numFmtId="0" fontId="20" fillId="0" borderId="3" xfId="8" applyBorder="1" applyAlignment="1" applyProtection="1">
      <alignment vertical="center"/>
      <protection locked="0"/>
    </xf>
    <xf numFmtId="9" fontId="20" fillId="0" borderId="3" xfId="8" applyNumberFormat="1" applyBorder="1" applyAlignment="1" applyProtection="1">
      <alignment vertical="center"/>
      <protection locked="0"/>
    </xf>
    <xf numFmtId="9" fontId="20" fillId="8" borderId="24" xfId="8" applyNumberFormat="1" applyFill="1" applyBorder="1" applyProtection="1">
      <protection locked="0"/>
    </xf>
    <xf numFmtId="9" fontId="20" fillId="0" borderId="25" xfId="8" applyNumberFormat="1" applyBorder="1" applyProtection="1">
      <protection locked="0"/>
    </xf>
    <xf numFmtId="9" fontId="20" fillId="0" borderId="26" xfId="8" applyNumberFormat="1" applyBorder="1" applyProtection="1">
      <protection locked="0"/>
    </xf>
    <xf numFmtId="9" fontId="20" fillId="8" borderId="27" xfId="8" applyNumberFormat="1" applyFill="1" applyBorder="1" applyProtection="1">
      <protection locked="0"/>
    </xf>
    <xf numFmtId="9" fontId="20" fillId="0" borderId="10" xfId="8" applyNumberFormat="1" applyBorder="1" applyProtection="1">
      <protection locked="0"/>
    </xf>
    <xf numFmtId="9" fontId="20" fillId="0" borderId="28" xfId="8" applyNumberFormat="1" applyBorder="1" applyProtection="1">
      <protection locked="0"/>
    </xf>
    <xf numFmtId="9" fontId="20" fillId="0" borderId="7" xfId="8" applyNumberFormat="1" applyBorder="1" applyProtection="1">
      <protection locked="0"/>
    </xf>
    <xf numFmtId="178" fontId="20" fillId="0" borderId="8" xfId="8" applyNumberFormat="1" applyBorder="1" applyProtection="1">
      <protection locked="0"/>
    </xf>
    <xf numFmtId="0" fontId="20" fillId="0" borderId="0" xfId="8" applyFill="1" applyAlignment="1" applyProtection="1">
      <alignment vertical="center"/>
      <protection locked="0"/>
    </xf>
    <xf numFmtId="9" fontId="20" fillId="0" borderId="11" xfId="8" applyNumberFormat="1" applyBorder="1" applyProtection="1">
      <protection locked="0"/>
    </xf>
    <xf numFmtId="178" fontId="20" fillId="0" borderId="12" xfId="8" applyNumberFormat="1" applyBorder="1" applyProtection="1">
      <protection locked="0"/>
    </xf>
    <xf numFmtId="178" fontId="20" fillId="0" borderId="13" xfId="8" applyNumberFormat="1" applyBorder="1" applyProtection="1">
      <protection locked="0"/>
    </xf>
    <xf numFmtId="0" fontId="20" fillId="0" borderId="0" xfId="8" applyAlignment="1" applyProtection="1">
      <alignment horizontal="right" vertical="center"/>
      <protection locked="0"/>
    </xf>
    <xf numFmtId="0" fontId="0" fillId="0" borderId="3" xfId="0" applyBorder="1" applyAlignment="1" applyProtection="1">
      <protection locked="0"/>
    </xf>
    <xf numFmtId="0" fontId="6" fillId="8" borderId="3" xfId="0" applyFont="1" applyFill="1" applyBorder="1" applyAlignment="1" applyProtection="1">
      <protection locked="0"/>
    </xf>
    <xf numFmtId="178" fontId="0" fillId="0" borderId="3" xfId="9" applyNumberFormat="1" applyFont="1" applyBorder="1" applyAlignment="1" applyProtection="1">
      <protection locked="0"/>
    </xf>
    <xf numFmtId="0" fontId="0" fillId="9" borderId="3" xfId="0" applyFill="1" applyBorder="1" applyAlignment="1" applyProtection="1">
      <alignment horizontal="center"/>
      <protection locked="0"/>
    </xf>
    <xf numFmtId="178" fontId="0" fillId="9" borderId="3" xfId="0" applyNumberFormat="1" applyFill="1" applyBorder="1" applyAlignment="1" applyProtection="1">
      <protection locked="0"/>
    </xf>
    <xf numFmtId="9" fontId="0" fillId="0" borderId="3" xfId="9" applyFont="1" applyBorder="1" applyAlignment="1" applyProtection="1">
      <protection locked="0"/>
    </xf>
    <xf numFmtId="0" fontId="0" fillId="0" borderId="0" xfId="0" applyProtection="1">
      <alignment vertical="center"/>
    </xf>
    <xf numFmtId="0" fontId="26" fillId="0" borderId="0" xfId="0" applyFont="1" applyAlignment="1" applyProtection="1">
      <protection locked="0"/>
    </xf>
    <xf numFmtId="0" fontId="28" fillId="0" borderId="0" xfId="0" applyFont="1" applyAlignment="1">
      <alignment horizontal="left" vertical="center"/>
    </xf>
    <xf numFmtId="0" fontId="26" fillId="0" borderId="0" xfId="0" applyFont="1" applyAlignment="1" applyProtection="1">
      <alignment vertical="center"/>
      <protection locked="0"/>
    </xf>
    <xf numFmtId="0" fontId="26" fillId="0" borderId="0" xfId="0" applyFont="1" applyProtection="1">
      <alignment vertical="center"/>
      <protection locked="0"/>
    </xf>
    <xf numFmtId="0" fontId="0" fillId="2" borderId="4" xfId="0" applyFill="1" applyBorder="1" applyAlignment="1" applyProtection="1">
      <alignment vertical="top"/>
    </xf>
    <xf numFmtId="0" fontId="0" fillId="2" borderId="2" xfId="0" applyFill="1" applyBorder="1" applyAlignment="1" applyProtection="1">
      <alignment vertical="top"/>
    </xf>
    <xf numFmtId="9" fontId="0" fillId="2" borderId="3" xfId="7" applyFont="1" applyFill="1" applyBorder="1" applyAlignment="1" applyProtection="1">
      <alignment horizontal="center" vertical="center"/>
    </xf>
    <xf numFmtId="0" fontId="25" fillId="4" borderId="3" xfId="0" applyFont="1" applyFill="1" applyBorder="1" applyAlignment="1" applyProtection="1">
      <alignment horizontal="center"/>
    </xf>
    <xf numFmtId="0" fontId="0" fillId="2" borderId="4" xfId="0" applyFill="1" applyBorder="1" applyAlignment="1" applyProtection="1">
      <alignment horizontal="centerContinuous"/>
    </xf>
    <xf numFmtId="0" fontId="0" fillId="2" borderId="22" xfId="0" applyFill="1" applyBorder="1" applyAlignment="1" applyProtection="1">
      <alignment horizontal="centerContinuous"/>
    </xf>
    <xf numFmtId="0" fontId="0" fillId="2" borderId="39" xfId="0" applyFill="1" applyBorder="1" applyAlignment="1" applyProtection="1">
      <alignment horizontal="center" vertical="top" wrapText="1"/>
    </xf>
    <xf numFmtId="0" fontId="0" fillId="2" borderId="23" xfId="0" applyFill="1" applyBorder="1" applyAlignment="1" applyProtection="1">
      <alignment horizontal="center" vertical="top" wrapText="1"/>
    </xf>
    <xf numFmtId="0" fontId="0" fillId="2" borderId="38" xfId="0" applyFill="1" applyBorder="1" applyAlignment="1" applyProtection="1">
      <alignment horizontal="center"/>
    </xf>
    <xf numFmtId="0" fontId="0" fillId="2" borderId="38" xfId="0" applyFill="1" applyBorder="1" applyAlignment="1" applyProtection="1">
      <alignment horizontal="center" wrapText="1"/>
    </xf>
    <xf numFmtId="0" fontId="0" fillId="2" borderId="23" xfId="0" applyFill="1" applyBorder="1" applyAlignment="1" applyProtection="1">
      <alignment horizontal="center"/>
    </xf>
    <xf numFmtId="0" fontId="0" fillId="2" borderId="2" xfId="0" applyFill="1" applyBorder="1" applyAlignment="1" applyProtection="1">
      <alignment horizontal="centerContinuous"/>
    </xf>
    <xf numFmtId="0" fontId="0" fillId="2" borderId="3" xfId="0" applyFill="1" applyBorder="1" applyAlignment="1" applyProtection="1">
      <alignment horizontal="center" vertical="center" shrinkToFit="1"/>
    </xf>
    <xf numFmtId="0" fontId="39" fillId="2" borderId="3" xfId="0" applyFont="1" applyFill="1" applyBorder="1" applyAlignment="1" applyProtection="1">
      <alignment horizontal="center" vertical="center" wrapText="1" shrinkToFit="1"/>
    </xf>
    <xf numFmtId="0" fontId="0" fillId="2" borderId="3" xfId="0" applyFill="1" applyBorder="1" applyAlignment="1" applyProtection="1">
      <alignment horizontal="right" vertical="center" shrinkToFit="1"/>
    </xf>
    <xf numFmtId="0" fontId="0" fillId="2" borderId="10" xfId="0" applyFill="1" applyBorder="1" applyAlignment="1" applyProtection="1">
      <alignment vertical="center"/>
    </xf>
    <xf numFmtId="0" fontId="0" fillId="2" borderId="10" xfId="0" applyFill="1" applyBorder="1" applyAlignment="1" applyProtection="1">
      <alignment vertical="center" shrinkToFit="1"/>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3" xfId="0" applyFill="1" applyBorder="1" applyAlignment="1" applyProtection="1">
      <alignment horizontal="left" vertical="center" shrinkToFit="1"/>
    </xf>
    <xf numFmtId="0" fontId="13" fillId="4" borderId="3" xfId="0" applyFont="1" applyFill="1" applyBorder="1" applyAlignment="1" applyProtection="1">
      <alignment horizontal="left" shrinkToFit="1"/>
    </xf>
    <xf numFmtId="38" fontId="0" fillId="0" borderId="3" xfId="1" applyFont="1" applyBorder="1" applyAlignment="1" applyProtection="1">
      <alignment horizontal="right" vertical="center" shrinkToFit="1"/>
    </xf>
    <xf numFmtId="0" fontId="26" fillId="0" borderId="0" xfId="0" applyFont="1" applyAlignment="1" applyProtection="1">
      <alignment vertical="center"/>
    </xf>
    <xf numFmtId="0" fontId="11" fillId="0" borderId="0" xfId="10" applyProtection="1">
      <alignment vertical="center"/>
    </xf>
    <xf numFmtId="0" fontId="10" fillId="0" borderId="0" xfId="10" applyFont="1" applyBorder="1" applyAlignment="1" applyProtection="1">
      <alignment horizontal="center" vertical="center" shrinkToFit="1"/>
    </xf>
    <xf numFmtId="0" fontId="10" fillId="0" borderId="17" xfId="10" applyFont="1" applyBorder="1" applyAlignment="1" applyProtection="1">
      <alignment vertical="center" wrapText="1"/>
    </xf>
    <xf numFmtId="0" fontId="10" fillId="0" borderId="0" xfId="10" applyFont="1" applyBorder="1" applyAlignment="1" applyProtection="1">
      <alignment horizontal="left" vertical="center"/>
    </xf>
    <xf numFmtId="0" fontId="11" fillId="0" borderId="0" xfId="10" applyBorder="1" applyProtection="1">
      <alignment vertical="center"/>
    </xf>
    <xf numFmtId="0" fontId="34" fillId="0" borderId="0" xfId="10" applyFont="1" applyBorder="1" applyAlignment="1" applyProtection="1">
      <alignment horizontal="center" vertical="center" textRotation="255" wrapText="1" shrinkToFit="1"/>
    </xf>
    <xf numFmtId="0" fontId="36" fillId="0" borderId="0" xfId="10" applyFont="1" applyBorder="1" applyAlignment="1" applyProtection="1">
      <alignment vertical="center" shrinkToFit="1"/>
    </xf>
    <xf numFmtId="38" fontId="10" fillId="0" borderId="0" xfId="12" applyFont="1" applyBorder="1" applyAlignment="1" applyProtection="1">
      <alignment vertical="center"/>
    </xf>
    <xf numFmtId="195" fontId="10" fillId="0" borderId="0" xfId="12" applyNumberFormat="1" applyFont="1" applyBorder="1" applyAlignment="1" applyProtection="1">
      <alignment horizontal="right" vertical="center"/>
    </xf>
    <xf numFmtId="189" fontId="11" fillId="0" borderId="0" xfId="10" applyNumberFormat="1" applyBorder="1" applyProtection="1">
      <alignment vertical="center"/>
    </xf>
    <xf numFmtId="38" fontId="11" fillId="0" borderId="0" xfId="1" applyFont="1" applyBorder="1" applyProtection="1">
      <alignment vertical="center"/>
    </xf>
    <xf numFmtId="190" fontId="11" fillId="0" borderId="0" xfId="10" applyNumberFormat="1" applyBorder="1" applyProtection="1">
      <alignment vertical="center"/>
    </xf>
    <xf numFmtId="0" fontId="11" fillId="0" borderId="1" xfId="10" applyBorder="1" applyProtection="1">
      <alignment vertical="center"/>
    </xf>
    <xf numFmtId="0" fontId="11" fillId="0" borderId="2" xfId="10" applyBorder="1" applyProtection="1">
      <alignment vertical="center"/>
    </xf>
    <xf numFmtId="0" fontId="7" fillId="0" borderId="0" xfId="10" applyFont="1" applyBorder="1" applyProtection="1">
      <alignment vertical="center"/>
    </xf>
    <xf numFmtId="9" fontId="0" fillId="0" borderId="0" xfId="11" applyFont="1" applyBorder="1" applyProtection="1">
      <alignment vertical="center"/>
    </xf>
    <xf numFmtId="0" fontId="11" fillId="0" borderId="3" xfId="10" applyBorder="1" applyProtection="1">
      <alignment vertical="center"/>
    </xf>
    <xf numFmtId="0" fontId="11" fillId="0" borderId="0" xfId="10" applyBorder="1" applyAlignment="1" applyProtection="1">
      <alignment horizontal="right" vertical="center"/>
    </xf>
    <xf numFmtId="178" fontId="23" fillId="0" borderId="3" xfId="11" applyNumberFormat="1" applyFont="1" applyBorder="1" applyProtection="1">
      <alignment vertical="center"/>
    </xf>
    <xf numFmtId="178" fontId="0" fillId="0" borderId="3" xfId="11" applyNumberFormat="1" applyFont="1" applyBorder="1" applyProtection="1">
      <alignment vertical="center"/>
    </xf>
    <xf numFmtId="178" fontId="11" fillId="0" borderId="0" xfId="10" applyNumberFormat="1" applyBorder="1" applyProtection="1">
      <alignment vertical="center"/>
    </xf>
    <xf numFmtId="178" fontId="11" fillId="0" borderId="20" xfId="10" applyNumberFormat="1" applyBorder="1" applyProtection="1">
      <alignment vertical="center"/>
    </xf>
    <xf numFmtId="0" fontId="11" fillId="0" borderId="17" xfId="10" applyBorder="1" applyAlignment="1" applyProtection="1">
      <alignment horizontal="right" vertical="center"/>
    </xf>
    <xf numFmtId="0" fontId="11" fillId="0" borderId="17" xfId="10" applyBorder="1" applyProtection="1">
      <alignment vertical="center"/>
    </xf>
    <xf numFmtId="178" fontId="11" fillId="0" borderId="17" xfId="10" applyNumberFormat="1" applyBorder="1" applyProtection="1">
      <alignment vertical="center"/>
    </xf>
    <xf numFmtId="178" fontId="0" fillId="0" borderId="10" xfId="11" applyNumberFormat="1" applyFont="1" applyBorder="1" applyProtection="1">
      <alignment vertical="center"/>
    </xf>
    <xf numFmtId="38" fontId="0" fillId="0" borderId="3" xfId="12" applyFont="1" applyBorder="1" applyProtection="1">
      <alignment vertical="center"/>
    </xf>
    <xf numFmtId="0" fontId="0" fillId="0" borderId="21" xfId="0" applyBorder="1" applyAlignment="1" applyProtection="1">
      <alignment horizontal="right" vertical="center"/>
    </xf>
    <xf numFmtId="0" fontId="0" fillId="0" borderId="3" xfId="0" applyBorder="1" applyProtection="1">
      <alignment vertical="center"/>
    </xf>
    <xf numFmtId="0" fontId="0" fillId="0" borderId="0" xfId="0" applyAlignment="1" applyProtection="1">
      <alignment horizontal="right" vertical="center"/>
    </xf>
    <xf numFmtId="0" fontId="0" fillId="0" borderId="20" xfId="0" applyBorder="1" applyProtection="1">
      <alignment vertical="center"/>
    </xf>
    <xf numFmtId="0" fontId="0" fillId="0" borderId="17" xfId="0" applyBorder="1" applyProtection="1">
      <alignment vertical="center"/>
    </xf>
    <xf numFmtId="0" fontId="11" fillId="0" borderId="5" xfId="10" applyBorder="1" applyProtection="1">
      <alignment vertical="center"/>
    </xf>
    <xf numFmtId="0" fontId="11" fillId="0" borderId="19" xfId="10" applyBorder="1" applyProtection="1">
      <alignment vertical="center"/>
    </xf>
    <xf numFmtId="197" fontId="11" fillId="0" borderId="0" xfId="10" applyNumberFormat="1" applyBorder="1" applyProtection="1">
      <alignment vertical="center"/>
    </xf>
    <xf numFmtId="0" fontId="11" fillId="0" borderId="20" xfId="10" applyBorder="1" applyProtection="1">
      <alignment vertical="center"/>
    </xf>
    <xf numFmtId="0" fontId="11" fillId="0" borderId="21" xfId="10" applyBorder="1" applyProtection="1">
      <alignment vertical="center"/>
    </xf>
    <xf numFmtId="197" fontId="0" fillId="0" borderId="3" xfId="0" applyNumberFormat="1" applyBorder="1" applyProtection="1">
      <alignment vertical="center"/>
    </xf>
    <xf numFmtId="196" fontId="0" fillId="0" borderId="3" xfId="0" applyNumberFormat="1" applyBorder="1" applyProtection="1">
      <alignment vertical="center"/>
    </xf>
    <xf numFmtId="40" fontId="0" fillId="0" borderId="0" xfId="12" applyNumberFormat="1" applyFont="1" applyBorder="1" applyProtection="1">
      <alignment vertical="center"/>
    </xf>
    <xf numFmtId="40" fontId="0" fillId="0" borderId="20" xfId="12" applyNumberFormat="1" applyFont="1" applyBorder="1" applyProtection="1">
      <alignment vertical="center"/>
    </xf>
    <xf numFmtId="40" fontId="0" fillId="0" borderId="21" xfId="12" applyNumberFormat="1" applyFont="1" applyBorder="1" applyProtection="1">
      <alignment vertical="center"/>
    </xf>
    <xf numFmtId="0" fontId="10" fillId="0" borderId="15" xfId="10" applyFont="1" applyBorder="1" applyAlignment="1" applyProtection="1">
      <alignment horizontal="right" vertical="center"/>
    </xf>
    <xf numFmtId="0" fontId="10" fillId="0" borderId="15" xfId="10" applyFont="1" applyBorder="1" applyAlignment="1" applyProtection="1">
      <alignment vertical="center"/>
    </xf>
    <xf numFmtId="0" fontId="11" fillId="0" borderId="15" xfId="10" applyBorder="1" applyProtection="1">
      <alignment vertical="center"/>
    </xf>
    <xf numFmtId="0" fontId="11" fillId="0" borderId="0" xfId="10" applyBorder="1" applyAlignment="1" applyProtection="1">
      <alignment vertical="center"/>
    </xf>
    <xf numFmtId="38" fontId="37" fillId="0" borderId="0" xfId="12" applyFont="1" applyBorder="1" applyAlignment="1" applyProtection="1">
      <alignment vertical="center" shrinkToFit="1"/>
    </xf>
    <xf numFmtId="38" fontId="37" fillId="0" borderId="0" xfId="12" applyFont="1" applyBorder="1" applyAlignment="1" applyProtection="1">
      <alignment vertical="center"/>
    </xf>
    <xf numFmtId="0" fontId="10" fillId="0" borderId="0" xfId="10" applyFont="1" applyBorder="1" applyAlignment="1" applyProtection="1">
      <alignment horizontal="center" vertical="center"/>
    </xf>
    <xf numFmtId="0" fontId="10" fillId="0" borderId="0" xfId="10" applyFont="1" applyBorder="1" applyAlignment="1" applyProtection="1">
      <alignment horizontal="right" vertical="center"/>
    </xf>
    <xf numFmtId="180" fontId="11" fillId="0" borderId="0" xfId="10" applyNumberFormat="1" applyFont="1" applyBorder="1" applyAlignment="1" applyProtection="1">
      <alignment vertical="center"/>
    </xf>
    <xf numFmtId="186" fontId="11" fillId="0" borderId="0" xfId="10" applyNumberFormat="1" applyFont="1" applyBorder="1" applyAlignment="1" applyProtection="1">
      <alignment horizontal="right" vertical="center" shrinkToFit="1"/>
    </xf>
    <xf numFmtId="0" fontId="10" fillId="0" borderId="0" xfId="10" applyFont="1" applyProtection="1">
      <alignment vertical="center"/>
    </xf>
    <xf numFmtId="0" fontId="35" fillId="0" borderId="0" xfId="10" applyFont="1" applyBorder="1" applyProtection="1">
      <alignment vertical="center"/>
    </xf>
    <xf numFmtId="197" fontId="40" fillId="0" borderId="3" xfId="0" applyNumberFormat="1" applyFont="1" applyBorder="1" applyProtection="1">
      <alignment vertical="center"/>
    </xf>
    <xf numFmtId="196" fontId="40" fillId="0" borderId="3" xfId="0" applyNumberFormat="1" applyFont="1" applyBorder="1" applyProtection="1">
      <alignment vertical="center"/>
    </xf>
    <xf numFmtId="0" fontId="35" fillId="0" borderId="0" xfId="10" applyFont="1" applyProtection="1">
      <alignment vertical="center"/>
    </xf>
    <xf numFmtId="183" fontId="37" fillId="0" borderId="0" xfId="10" applyNumberFormat="1" applyFont="1" applyBorder="1" applyAlignment="1" applyProtection="1">
      <alignment vertical="center"/>
    </xf>
    <xf numFmtId="0" fontId="11" fillId="0" borderId="0" xfId="10" applyBorder="1" applyAlignment="1" applyProtection="1">
      <alignment vertical="center" shrinkToFit="1"/>
    </xf>
    <xf numFmtId="0" fontId="11" fillId="0" borderId="0" xfId="10" applyAlignment="1" applyProtection="1">
      <alignment vertical="center"/>
    </xf>
    <xf numFmtId="0" fontId="33" fillId="0" borderId="0" xfId="10" applyFont="1" applyBorder="1" applyAlignment="1" applyProtection="1">
      <alignment vertical="center" shrinkToFit="1"/>
    </xf>
    <xf numFmtId="0" fontId="37" fillId="0" borderId="0" xfId="10" applyFont="1" applyBorder="1" applyAlignment="1" applyProtection="1">
      <alignment vertical="center"/>
    </xf>
    <xf numFmtId="0" fontId="34" fillId="0" borderId="0" xfId="10" applyFont="1" applyBorder="1" applyProtection="1">
      <alignment vertical="center"/>
    </xf>
    <xf numFmtId="0" fontId="38" fillId="0" borderId="0" xfId="10" applyFont="1" applyBorder="1" applyProtection="1">
      <alignment vertical="center"/>
    </xf>
    <xf numFmtId="40" fontId="0" fillId="0" borderId="0" xfId="12" applyNumberFormat="1" applyFont="1" applyProtection="1">
      <alignment vertical="center"/>
    </xf>
    <xf numFmtId="0" fontId="6" fillId="0" borderId="0" xfId="10" applyFont="1" applyBorder="1" applyProtection="1">
      <alignment vertical="center"/>
    </xf>
    <xf numFmtId="0" fontId="6" fillId="0" borderId="20" xfId="10" applyFont="1" applyBorder="1" applyProtection="1">
      <alignment vertical="center"/>
    </xf>
    <xf numFmtId="0" fontId="6" fillId="0" borderId="21" xfId="10" applyFont="1" applyBorder="1" applyProtection="1">
      <alignment vertical="center"/>
    </xf>
    <xf numFmtId="40" fontId="0" fillId="0" borderId="6" xfId="12" applyNumberFormat="1" applyFont="1" applyBorder="1" applyProtection="1">
      <alignment vertical="center"/>
    </xf>
    <xf numFmtId="40" fontId="0" fillId="0" borderId="18" xfId="12" applyNumberFormat="1" applyFont="1" applyBorder="1" applyProtection="1">
      <alignment vertical="center"/>
    </xf>
    <xf numFmtId="0" fontId="36" fillId="0" borderId="0" xfId="10" applyFont="1" applyBorder="1" applyAlignment="1" applyProtection="1">
      <alignment horizontal="right" vertical="center"/>
    </xf>
    <xf numFmtId="38" fontId="10" fillId="0" borderId="0" xfId="12" applyFont="1" applyFill="1" applyBorder="1" applyAlignment="1" applyProtection="1">
      <alignment horizontal="right" vertical="center"/>
    </xf>
    <xf numFmtId="38" fontId="0" fillId="0" borderId="0" xfId="12" applyFont="1" applyFill="1" applyBorder="1" applyProtection="1">
      <alignment vertical="center"/>
    </xf>
    <xf numFmtId="0" fontId="11" fillId="0" borderId="0" xfId="10" applyBorder="1" applyAlignment="1" applyProtection="1">
      <alignment horizontal="center" vertical="center"/>
    </xf>
    <xf numFmtId="0" fontId="11" fillId="0" borderId="0" xfId="10" applyBorder="1" applyAlignment="1" applyProtection="1">
      <alignment horizontal="center" vertical="center" shrinkToFit="1"/>
    </xf>
    <xf numFmtId="0" fontId="11" fillId="0" borderId="0" xfId="10" applyBorder="1" applyAlignment="1" applyProtection="1">
      <alignment horizontal="left" vertical="center"/>
    </xf>
    <xf numFmtId="0" fontId="10" fillId="0" borderId="0" xfId="10" applyFont="1" applyBorder="1" applyAlignment="1" applyProtection="1">
      <alignment vertical="center" wrapText="1"/>
    </xf>
    <xf numFmtId="0" fontId="32" fillId="0" borderId="0" xfId="10" applyFont="1" applyFill="1" applyBorder="1" applyAlignment="1" applyProtection="1">
      <alignment vertical="center"/>
    </xf>
    <xf numFmtId="0" fontId="11" fillId="0" borderId="0" xfId="10" applyFill="1" applyBorder="1" applyAlignment="1" applyProtection="1">
      <alignment vertical="center" wrapText="1"/>
    </xf>
    <xf numFmtId="0" fontId="33" fillId="0" borderId="0" xfId="10" applyFont="1" applyFill="1" applyBorder="1" applyAlignment="1" applyProtection="1">
      <alignment vertical="center"/>
    </xf>
    <xf numFmtId="9" fontId="0" fillId="2" borderId="3" xfId="7" applyFont="1" applyFill="1" applyBorder="1" applyAlignment="1" applyProtection="1">
      <alignment horizontal="center" vertical="center" shrinkToFit="1"/>
    </xf>
    <xf numFmtId="38" fontId="0" fillId="0" borderId="3" xfId="1" applyFont="1" applyFill="1" applyBorder="1" applyAlignment="1" applyProtection="1">
      <alignment horizontal="right" vertical="center" shrinkToFit="1"/>
    </xf>
    <xf numFmtId="9" fontId="0" fillId="0" borderId="3" xfId="7" applyFont="1" applyBorder="1" applyAlignment="1" applyProtection="1">
      <alignment horizontal="right" vertical="center" shrinkToFit="1"/>
    </xf>
    <xf numFmtId="0" fontId="41" fillId="2" borderId="5" xfId="0" applyFont="1" applyFill="1" applyBorder="1" applyAlignment="1" applyProtection="1">
      <alignment vertical="center"/>
    </xf>
    <xf numFmtId="0" fontId="41" fillId="2" borderId="15" xfId="0" applyFont="1" applyFill="1" applyBorder="1" applyAlignment="1" applyProtection="1">
      <alignment vertical="center"/>
    </xf>
    <xf numFmtId="0" fontId="41" fillId="2" borderId="4" xfId="0" applyFont="1" applyFill="1" applyBorder="1" applyAlignment="1" applyProtection="1">
      <alignment vertical="center"/>
    </xf>
    <xf numFmtId="0" fontId="41" fillId="2" borderId="2" xfId="0" applyFont="1" applyFill="1" applyBorder="1" applyAlignment="1" applyProtection="1"/>
    <xf numFmtId="0" fontId="41" fillId="2" borderId="5" xfId="0" applyFont="1" applyFill="1" applyBorder="1" applyAlignment="1" applyProtection="1"/>
    <xf numFmtId="0" fontId="41" fillId="2" borderId="15" xfId="0" applyFont="1" applyFill="1" applyBorder="1" applyAlignment="1" applyProtection="1"/>
    <xf numFmtId="0" fontId="41" fillId="2" borderId="4" xfId="0" applyFont="1" applyFill="1" applyBorder="1" applyAlignment="1" applyProtection="1"/>
    <xf numFmtId="0" fontId="41" fillId="2" borderId="6" xfId="0" applyFont="1" applyFill="1" applyBorder="1" applyAlignment="1" applyProtection="1"/>
    <xf numFmtId="0" fontId="41" fillId="2" borderId="17" xfId="0" applyFont="1" applyFill="1" applyBorder="1" applyAlignment="1" applyProtection="1"/>
    <xf numFmtId="0" fontId="41" fillId="2" borderId="18" xfId="0" applyFont="1" applyFill="1" applyBorder="1" applyAlignment="1" applyProtection="1"/>
    <xf numFmtId="0" fontId="41" fillId="2" borderId="1" xfId="0" applyFont="1" applyFill="1" applyBorder="1" applyAlignment="1" applyProtection="1"/>
    <xf numFmtId="0" fontId="41" fillId="2" borderId="0" xfId="0" applyFont="1" applyFill="1" applyAlignment="1" applyProtection="1"/>
    <xf numFmtId="0" fontId="42" fillId="2" borderId="14" xfId="0" applyFont="1" applyFill="1" applyBorder="1" applyAlignment="1" applyProtection="1">
      <alignment horizontal="left" vertical="top" wrapText="1"/>
    </xf>
    <xf numFmtId="0" fontId="42" fillId="2" borderId="3" xfId="0" applyFont="1" applyFill="1" applyBorder="1" applyAlignment="1" applyProtection="1">
      <alignment horizontal="center" vertical="top" wrapText="1"/>
    </xf>
    <xf numFmtId="0" fontId="43" fillId="2" borderId="3" xfId="0" applyFont="1" applyFill="1" applyBorder="1" applyAlignment="1" applyProtection="1">
      <alignment horizontal="center" vertical="top" wrapText="1"/>
    </xf>
    <xf numFmtId="195" fontId="0" fillId="0" borderId="0" xfId="12" applyNumberFormat="1" applyFont="1" applyBorder="1" applyProtection="1">
      <alignment vertical="center"/>
    </xf>
    <xf numFmtId="195" fontId="45" fillId="0" borderId="0" xfId="1" applyNumberFormat="1" applyFont="1" applyProtection="1">
      <alignment vertical="center"/>
    </xf>
    <xf numFmtId="195" fontId="45" fillId="0" borderId="0" xfId="12" applyNumberFormat="1" applyFont="1" applyBorder="1" applyProtection="1">
      <alignment vertical="center"/>
    </xf>
    <xf numFmtId="40" fontId="45" fillId="0" borderId="0" xfId="12" applyNumberFormat="1" applyFont="1" applyBorder="1" applyProtection="1">
      <alignment vertical="center"/>
    </xf>
    <xf numFmtId="195" fontId="0" fillId="0" borderId="20" xfId="12" applyNumberFormat="1" applyFont="1" applyBorder="1" applyProtection="1">
      <alignment vertical="center"/>
    </xf>
    <xf numFmtId="195" fontId="0" fillId="0" borderId="21" xfId="12" applyNumberFormat="1" applyFont="1" applyBorder="1" applyProtection="1">
      <alignment vertical="center"/>
    </xf>
    <xf numFmtId="195" fontId="6" fillId="0" borderId="20" xfId="10" applyNumberFormat="1" applyFont="1" applyBorder="1" applyProtection="1">
      <alignment vertical="center"/>
    </xf>
    <xf numFmtId="195" fontId="6" fillId="0" borderId="21" xfId="10" applyNumberFormat="1" applyFont="1" applyBorder="1" applyProtection="1">
      <alignment vertical="center"/>
    </xf>
    <xf numFmtId="195" fontId="0" fillId="0" borderId="6" xfId="12" applyNumberFormat="1" applyFont="1" applyBorder="1" applyProtection="1">
      <alignment vertical="center"/>
    </xf>
    <xf numFmtId="195" fontId="0" fillId="0" borderId="18" xfId="12" applyNumberFormat="1" applyFont="1" applyBorder="1" applyProtection="1">
      <alignment vertical="center"/>
    </xf>
    <xf numFmtId="195" fontId="46" fillId="0" borderId="20" xfId="12" applyNumberFormat="1" applyFont="1" applyBorder="1" applyProtection="1">
      <alignment vertical="center"/>
    </xf>
    <xf numFmtId="195" fontId="46" fillId="0" borderId="21" xfId="12" applyNumberFormat="1" applyFont="1" applyBorder="1" applyProtection="1">
      <alignment vertical="center"/>
    </xf>
    <xf numFmtId="195" fontId="17" fillId="0" borderId="20" xfId="12" applyNumberFormat="1" applyFont="1" applyBorder="1" applyProtection="1">
      <alignment vertical="center"/>
    </xf>
    <xf numFmtId="195" fontId="17" fillId="0" borderId="21" xfId="12" applyNumberFormat="1" applyFont="1" applyBorder="1" applyProtection="1">
      <alignment vertical="center"/>
    </xf>
    <xf numFmtId="0" fontId="42" fillId="2" borderId="14" xfId="0" applyFont="1" applyFill="1" applyBorder="1" applyAlignment="1" applyProtection="1">
      <alignment horizontal="center" vertical="top" wrapText="1"/>
    </xf>
    <xf numFmtId="0" fontId="11" fillId="0" borderId="0" xfId="10" applyAlignment="1" applyProtection="1">
      <alignment horizontal="right" vertical="center"/>
    </xf>
    <xf numFmtId="0" fontId="41" fillId="0" borderId="0" xfId="10" applyFont="1" applyAlignment="1" applyProtection="1">
      <alignment vertical="center" shrinkToFit="1"/>
    </xf>
    <xf numFmtId="0" fontId="24" fillId="0" borderId="0" xfId="10" applyFont="1" applyAlignment="1" applyProtection="1">
      <alignment vertical="center" shrinkToFit="1"/>
      <protection hidden="1"/>
    </xf>
    <xf numFmtId="0" fontId="48" fillId="0" borderId="0" xfId="10" applyFont="1" applyFill="1" applyBorder="1" applyAlignment="1" applyProtection="1">
      <alignment vertical="center"/>
    </xf>
    <xf numFmtId="0" fontId="30" fillId="0" borderId="0" xfId="0" applyFont="1" applyFill="1" applyBorder="1" applyAlignment="1" applyProtection="1">
      <alignment horizontal="left" vertical="top" wrapText="1" shrinkToFit="1"/>
      <protection locked="0"/>
    </xf>
    <xf numFmtId="0" fontId="11" fillId="0" borderId="0" xfId="10" applyFill="1" applyBorder="1" applyProtection="1">
      <alignment vertical="center"/>
    </xf>
    <xf numFmtId="9" fontId="0" fillId="0" borderId="0" xfId="7" applyFont="1" applyFill="1" applyBorder="1" applyAlignment="1" applyProtection="1">
      <alignment horizontal="center" vertical="center" shrinkToFit="1"/>
    </xf>
    <xf numFmtId="9" fontId="0" fillId="0" borderId="0" xfId="7" applyFont="1" applyFill="1" applyBorder="1" applyAlignment="1" applyProtection="1">
      <alignment horizontal="right" vertical="center" shrinkToFit="1"/>
    </xf>
    <xf numFmtId="38" fontId="0" fillId="0" borderId="0" xfId="1" applyFont="1" applyFill="1" applyBorder="1" applyAlignment="1" applyProtection="1">
      <alignment horizontal="center" vertical="center" shrinkToFit="1"/>
    </xf>
    <xf numFmtId="0" fontId="49" fillId="0" borderId="0" xfId="10" applyFont="1" applyFill="1" applyBorder="1" applyAlignment="1" applyProtection="1">
      <alignment vertical="center"/>
      <protection hidden="1"/>
    </xf>
    <xf numFmtId="178" fontId="23" fillId="0" borderId="0" xfId="11" applyNumberFormat="1" applyFont="1" applyBorder="1" applyProtection="1">
      <alignment vertical="center"/>
    </xf>
    <xf numFmtId="178" fontId="0" fillId="0" borderId="0" xfId="11" applyNumberFormat="1" applyFont="1" applyBorder="1" applyProtection="1">
      <alignment vertical="center"/>
    </xf>
    <xf numFmtId="38" fontId="0" fillId="0" borderId="0" xfId="12" applyFont="1" applyBorder="1" applyProtection="1">
      <alignment vertical="center"/>
    </xf>
    <xf numFmtId="0" fontId="0" fillId="0" borderId="0" xfId="0" applyBorder="1" applyProtection="1">
      <alignment vertical="center"/>
    </xf>
    <xf numFmtId="0" fontId="0" fillId="0" borderId="0" xfId="0" applyBorder="1" applyAlignment="1" applyProtection="1">
      <alignment horizontal="right" vertical="center"/>
    </xf>
    <xf numFmtId="197" fontId="0" fillId="0" borderId="0" xfId="0" applyNumberFormat="1" applyBorder="1" applyProtection="1">
      <alignment vertical="center"/>
    </xf>
    <xf numFmtId="196" fontId="0" fillId="0" borderId="0" xfId="0" applyNumberFormat="1" applyBorder="1" applyProtection="1">
      <alignment vertical="center"/>
    </xf>
    <xf numFmtId="195" fontId="46" fillId="0" borderId="0" xfId="12" applyNumberFormat="1" applyFont="1" applyBorder="1" applyProtection="1">
      <alignment vertical="center"/>
    </xf>
    <xf numFmtId="195" fontId="17" fillId="0" borderId="0" xfId="12" applyNumberFormat="1" applyFont="1" applyBorder="1" applyProtection="1">
      <alignment vertical="center"/>
    </xf>
    <xf numFmtId="197" fontId="40" fillId="0" borderId="0" xfId="0" applyNumberFormat="1" applyFont="1" applyBorder="1" applyProtection="1">
      <alignment vertical="center"/>
    </xf>
    <xf numFmtId="196" fontId="40" fillId="0" borderId="0" xfId="0" applyNumberFormat="1" applyFont="1" applyBorder="1" applyProtection="1">
      <alignment vertical="center"/>
    </xf>
    <xf numFmtId="195" fontId="45" fillId="0" borderId="0" xfId="1" applyNumberFormat="1" applyFont="1" applyBorder="1" applyProtection="1">
      <alignment vertical="center"/>
    </xf>
    <xf numFmtId="195" fontId="6" fillId="0" borderId="0" xfId="10" applyNumberFormat="1" applyFont="1" applyBorder="1" applyProtection="1">
      <alignment vertical="center"/>
    </xf>
    <xf numFmtId="0" fontId="0" fillId="2" borderId="10" xfId="0" applyFill="1" applyBorder="1" applyAlignment="1" applyProtection="1">
      <alignment horizontal="center" vertical="center" shrinkToFit="1"/>
    </xf>
    <xf numFmtId="0" fontId="0" fillId="0" borderId="14" xfId="0" applyBorder="1">
      <alignment vertical="center"/>
    </xf>
    <xf numFmtId="179" fontId="51" fillId="0" borderId="3" xfId="0" applyNumberFormat="1" applyFont="1" applyBorder="1">
      <alignment vertical="center"/>
    </xf>
    <xf numFmtId="0" fontId="51" fillId="0" borderId="3" xfId="0" applyFont="1" applyBorder="1">
      <alignment vertical="center"/>
    </xf>
    <xf numFmtId="0" fontId="0" fillId="0" borderId="16" xfId="0" applyBorder="1">
      <alignment vertical="center"/>
    </xf>
    <xf numFmtId="0" fontId="0" fillId="0" borderId="10" xfId="0" applyBorder="1">
      <alignment vertical="center"/>
    </xf>
    <xf numFmtId="0" fontId="0" fillId="0" borderId="3" xfId="0" quotePrefix="1" applyBorder="1" applyAlignment="1">
      <alignment horizontal="right" vertical="center"/>
    </xf>
    <xf numFmtId="0" fontId="0" fillId="0" borderId="1" xfId="0" applyBorder="1">
      <alignment vertical="center"/>
    </xf>
    <xf numFmtId="179" fontId="41" fillId="0" borderId="3" xfId="10" applyNumberFormat="1" applyFont="1" applyBorder="1" applyProtection="1">
      <alignment vertical="center"/>
    </xf>
    <xf numFmtId="179" fontId="41" fillId="0" borderId="3" xfId="0" applyNumberFormat="1" applyFont="1" applyBorder="1">
      <alignment vertical="center"/>
    </xf>
    <xf numFmtId="0" fontId="41" fillId="0" borderId="3" xfId="10" applyFont="1" applyBorder="1" applyProtection="1">
      <alignment vertical="center"/>
    </xf>
    <xf numFmtId="185" fontId="9" fillId="10" borderId="3" xfId="0" applyNumberFormat="1" applyFont="1"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xf>
    <xf numFmtId="0" fontId="0" fillId="0" borderId="15" xfId="0" applyFill="1" applyBorder="1" applyAlignment="1" applyProtection="1">
      <alignment horizontal="center" vertical="center" shrinkToFit="1"/>
    </xf>
    <xf numFmtId="0" fontId="0" fillId="0" borderId="15" xfId="0" applyFill="1" applyBorder="1" applyAlignment="1" applyProtection="1">
      <alignment vertical="center" shrinkToFit="1"/>
    </xf>
    <xf numFmtId="38" fontId="0" fillId="0" borderId="15" xfId="1" applyFont="1" applyFill="1" applyBorder="1" applyAlignment="1" applyProtection="1">
      <alignment vertical="center"/>
    </xf>
    <xf numFmtId="0" fontId="41" fillId="0" borderId="0" xfId="10" applyFont="1" applyFill="1" applyBorder="1" applyAlignment="1" applyProtection="1">
      <alignment vertical="center"/>
    </xf>
    <xf numFmtId="0" fontId="0" fillId="0" borderId="0" xfId="0" applyFill="1" applyBorder="1" applyAlignment="1" applyProtection="1">
      <alignment horizontal="center" vertical="center" shrinkToFit="1"/>
    </xf>
    <xf numFmtId="0" fontId="0" fillId="0" borderId="0" xfId="0" applyFill="1" applyBorder="1" applyAlignment="1" applyProtection="1">
      <alignment vertical="center" shrinkToFit="1"/>
    </xf>
    <xf numFmtId="38" fontId="0" fillId="0" borderId="0" xfId="1" applyFont="1" applyFill="1" applyBorder="1" applyAlignment="1" applyProtection="1">
      <alignment vertical="center"/>
    </xf>
    <xf numFmtId="185" fontId="13" fillId="4" borderId="3" xfId="0" applyNumberFormat="1" applyFont="1" applyFill="1" applyBorder="1" applyAlignment="1" applyProtection="1">
      <alignment horizontal="center" vertical="center" shrinkToFit="1"/>
      <protection locked="0"/>
    </xf>
    <xf numFmtId="184" fontId="13" fillId="4" borderId="3" xfId="0" applyNumberFormat="1" applyFont="1" applyFill="1" applyBorder="1" applyAlignment="1" applyProtection="1">
      <alignment horizontal="center" vertical="center" shrinkToFit="1"/>
      <protection locked="0"/>
    </xf>
    <xf numFmtId="0" fontId="41" fillId="11" borderId="3" xfId="0" applyFont="1" applyFill="1" applyBorder="1" applyAlignment="1" applyProtection="1">
      <alignment horizontal="center" vertical="center" shrinkToFit="1"/>
      <protection locked="0"/>
    </xf>
    <xf numFmtId="184" fontId="13" fillId="4" borderId="3" xfId="1" applyNumberFormat="1" applyFont="1" applyFill="1" applyBorder="1" applyAlignment="1" applyProtection="1">
      <alignment horizontal="center" shrinkToFit="1"/>
      <protection locked="0"/>
    </xf>
    <xf numFmtId="38" fontId="0" fillId="0" borderId="9" xfId="1" applyFont="1" applyFill="1" applyBorder="1" applyAlignment="1" applyProtection="1">
      <alignment horizontal="right" vertical="center" shrinkToFit="1"/>
    </xf>
    <xf numFmtId="185" fontId="0" fillId="0" borderId="3" xfId="0" applyNumberFormat="1" applyFill="1" applyBorder="1" applyAlignment="1" applyProtection="1">
      <alignment horizontal="right" vertical="center" shrinkToFit="1"/>
    </xf>
    <xf numFmtId="0" fontId="13" fillId="4" borderId="3" xfId="0" applyFont="1" applyFill="1" applyBorder="1" applyAlignment="1" applyProtection="1">
      <alignment horizontal="right" shrinkToFit="1"/>
      <protection locked="0"/>
    </xf>
    <xf numFmtId="0" fontId="0" fillId="0" borderId="9" xfId="0" applyBorder="1" applyAlignment="1" applyProtection="1">
      <alignment horizontal="right" vertical="center" shrinkToFit="1"/>
    </xf>
    <xf numFmtId="184" fontId="0" fillId="0" borderId="3" xfId="0" applyNumberFormat="1" applyFill="1" applyBorder="1" applyAlignment="1" applyProtection="1">
      <alignment horizontal="right" vertical="center" shrinkToFit="1"/>
    </xf>
    <xf numFmtId="0" fontId="0" fillId="0" borderId="3" xfId="0" applyBorder="1" applyAlignment="1" applyProtection="1">
      <alignment horizontal="right" vertical="center" shrinkToFit="1"/>
    </xf>
    <xf numFmtId="177" fontId="0" fillId="0" borderId="3" xfId="0" applyNumberFormat="1" applyFill="1" applyBorder="1" applyAlignment="1" applyProtection="1">
      <alignment horizontal="right" vertical="center" shrinkToFit="1"/>
    </xf>
    <xf numFmtId="178" fontId="0" fillId="0" borderId="3" xfId="2" applyNumberFormat="1" applyFont="1" applyFill="1" applyBorder="1" applyAlignment="1" applyProtection="1">
      <alignment horizontal="right" vertical="center" shrinkToFit="1"/>
    </xf>
    <xf numFmtId="9" fontId="0" fillId="0" borderId="3" xfId="0" applyNumberFormat="1" applyFill="1" applyBorder="1" applyAlignment="1" applyProtection="1">
      <alignment horizontal="right" vertical="center" shrinkToFit="1"/>
    </xf>
    <xf numFmtId="0" fontId="0" fillId="0" borderId="3" xfId="0" applyFill="1" applyBorder="1" applyAlignment="1" applyProtection="1">
      <alignment horizontal="right" vertical="center" shrinkToFit="1"/>
    </xf>
    <xf numFmtId="182" fontId="0" fillId="0" borderId="3" xfId="0" applyNumberFormat="1" applyBorder="1" applyAlignment="1" applyProtection="1">
      <alignment horizontal="right" vertical="center" shrinkToFit="1"/>
    </xf>
    <xf numFmtId="0" fontId="0" fillId="0" borderId="9" xfId="0" applyBorder="1" applyAlignment="1" applyProtection="1">
      <alignment horizontal="right" vertical="center" wrapText="1" shrinkToFit="1"/>
    </xf>
    <xf numFmtId="0" fontId="0" fillId="0" borderId="9" xfId="0" applyFill="1" applyBorder="1" applyAlignment="1" applyProtection="1">
      <alignment horizontal="right" vertical="center" wrapText="1" shrinkToFit="1"/>
    </xf>
    <xf numFmtId="38" fontId="13" fillId="4" borderId="3" xfId="1" applyFont="1" applyFill="1" applyBorder="1" applyAlignment="1" applyProtection="1">
      <alignment horizontal="right" vertical="center" shrinkToFit="1"/>
      <protection locked="0"/>
    </xf>
    <xf numFmtId="177" fontId="13" fillId="4" borderId="3" xfId="0" applyNumberFormat="1" applyFont="1" applyFill="1" applyBorder="1" applyAlignment="1" applyProtection="1">
      <alignment horizontal="right" vertical="center" shrinkToFit="1"/>
      <protection locked="0"/>
    </xf>
    <xf numFmtId="178" fontId="13" fillId="4" borderId="3" xfId="2" applyNumberFormat="1" applyFont="1" applyFill="1" applyBorder="1" applyAlignment="1" applyProtection="1">
      <alignment horizontal="right" vertical="center" shrinkToFit="1"/>
      <protection locked="0"/>
    </xf>
    <xf numFmtId="9" fontId="13" fillId="4" borderId="3" xfId="0" applyNumberFormat="1" applyFont="1" applyFill="1" applyBorder="1" applyAlignment="1" applyProtection="1">
      <alignment horizontal="right" vertical="center" shrinkToFit="1"/>
      <protection locked="0"/>
    </xf>
    <xf numFmtId="38" fontId="13" fillId="0" borderId="3" xfId="1" applyFont="1" applyFill="1" applyBorder="1" applyAlignment="1" applyProtection="1">
      <alignment horizontal="right" vertical="center" shrinkToFit="1"/>
    </xf>
    <xf numFmtId="179" fontId="13" fillId="0" borderId="3" xfId="0" applyNumberFormat="1" applyFont="1" applyFill="1" applyBorder="1" applyAlignment="1" applyProtection="1">
      <alignment horizontal="right" vertical="center" shrinkToFit="1"/>
    </xf>
    <xf numFmtId="0" fontId="13" fillId="4" borderId="3" xfId="0" applyFont="1" applyFill="1" applyBorder="1" applyAlignment="1" applyProtection="1">
      <alignment horizontal="right" vertical="center" wrapText="1" shrinkToFit="1"/>
      <protection locked="0"/>
    </xf>
    <xf numFmtId="0" fontId="13" fillId="4" borderId="3" xfId="0" applyFont="1" applyFill="1" applyBorder="1" applyAlignment="1" applyProtection="1">
      <alignment horizontal="right" vertical="center" shrinkToFit="1"/>
      <protection locked="0"/>
    </xf>
    <xf numFmtId="184" fontId="13" fillId="4" borderId="3" xfId="1" applyNumberFormat="1" applyFont="1" applyFill="1" applyBorder="1" applyAlignment="1" applyProtection="1">
      <alignment horizontal="center" vertical="center" shrinkToFit="1"/>
      <protection locked="0"/>
    </xf>
    <xf numFmtId="0" fontId="11" fillId="0" borderId="0" xfId="10" applyAlignment="1" applyProtection="1">
      <alignment vertical="center" shrinkToFit="1"/>
    </xf>
    <xf numFmtId="0" fontId="41" fillId="0" borderId="0" xfId="0" applyFont="1" applyFill="1" applyBorder="1" applyAlignment="1" applyProtection="1">
      <alignment horizontal="center" vertical="center"/>
    </xf>
    <xf numFmtId="0" fontId="41" fillId="0" borderId="0" xfId="10" applyFont="1" applyFill="1" applyBorder="1" applyAlignment="1" applyProtection="1">
      <alignment vertical="center" shrinkToFit="1"/>
    </xf>
    <xf numFmtId="0" fontId="41" fillId="0" borderId="0" xfId="10" applyFont="1" applyFill="1" applyBorder="1" applyAlignment="1" applyProtection="1">
      <alignment vertical="center"/>
      <protection hidden="1"/>
    </xf>
    <xf numFmtId="38" fontId="13" fillId="4" borderId="3" xfId="1" applyFont="1" applyFill="1" applyBorder="1" applyAlignment="1" applyProtection="1">
      <alignment horizontal="right" vertical="center" shrinkToFit="1"/>
    </xf>
    <xf numFmtId="0" fontId="10" fillId="0" borderId="15" xfId="10" applyFont="1" applyFill="1" applyBorder="1" applyAlignment="1" applyProtection="1">
      <alignment horizontal="right" vertical="center"/>
    </xf>
    <xf numFmtId="179" fontId="13" fillId="4" borderId="3" xfId="0" applyNumberFormat="1" applyFont="1" applyFill="1" applyBorder="1" applyAlignment="1" applyProtection="1">
      <alignment horizontal="right" vertical="center" shrinkToFit="1"/>
    </xf>
    <xf numFmtId="0" fontId="41" fillId="2" borderId="1" xfId="0" applyFont="1" applyFill="1" applyBorder="1" applyAlignment="1" applyProtection="1">
      <alignment vertical="center"/>
    </xf>
    <xf numFmtId="184" fontId="0" fillId="10" borderId="3" xfId="0" applyNumberFormat="1" applyFill="1" applyBorder="1" applyAlignment="1" applyProtection="1">
      <alignment vertical="center" shrinkToFit="1"/>
      <protection locked="0"/>
    </xf>
    <xf numFmtId="0" fontId="0" fillId="10" borderId="3" xfId="0" applyFill="1" applyBorder="1" applyAlignment="1" applyProtection="1">
      <alignment vertical="center" shrinkToFit="1"/>
      <protection locked="0"/>
    </xf>
    <xf numFmtId="177" fontId="0" fillId="10" borderId="3" xfId="0" applyNumberFormat="1" applyFill="1" applyBorder="1" applyAlignment="1" applyProtection="1">
      <alignment vertical="center" shrinkToFit="1"/>
      <protection locked="0"/>
    </xf>
    <xf numFmtId="184" fontId="0" fillId="10" borderId="3" xfId="1" applyNumberFormat="1" applyFont="1" applyFill="1" applyBorder="1" applyAlignment="1" applyProtection="1">
      <alignment horizontal="center" vertical="center" shrinkToFit="1"/>
      <protection locked="0"/>
    </xf>
    <xf numFmtId="178" fontId="0" fillId="10" borderId="3" xfId="2" applyNumberFormat="1" applyFont="1" applyFill="1" applyBorder="1" applyAlignment="1" applyProtection="1">
      <alignment vertical="center" shrinkToFit="1"/>
      <protection locked="0"/>
    </xf>
    <xf numFmtId="38" fontId="0" fillId="10" borderId="3" xfId="1" applyFont="1" applyFill="1" applyBorder="1" applyAlignment="1" applyProtection="1">
      <alignment vertical="center" shrinkToFit="1"/>
      <protection locked="0"/>
    </xf>
    <xf numFmtId="9" fontId="0" fillId="10" borderId="3" xfId="0" applyNumberFormat="1" applyFill="1" applyBorder="1" applyAlignment="1" applyProtection="1">
      <alignment vertical="center" shrinkToFit="1"/>
      <protection locked="0"/>
    </xf>
    <xf numFmtId="38" fontId="0" fillId="0" borderId="3" xfId="1" applyFont="1" applyFill="1" applyBorder="1" applyAlignment="1" applyProtection="1">
      <alignment vertical="center" shrinkToFit="1"/>
    </xf>
    <xf numFmtId="38" fontId="0" fillId="10" borderId="3" xfId="1" applyFont="1" applyFill="1" applyBorder="1" applyAlignment="1" applyProtection="1">
      <alignment horizontal="right" vertical="center" shrinkToFit="1"/>
      <protection locked="0"/>
    </xf>
    <xf numFmtId="179" fontId="9" fillId="0" borderId="3" xfId="0" applyNumberFormat="1" applyFont="1" applyFill="1" applyBorder="1" applyAlignment="1" applyProtection="1">
      <alignment horizontal="right" vertical="center" shrinkToFit="1"/>
    </xf>
    <xf numFmtId="0" fontId="11" fillId="0" borderId="15" xfId="10" applyBorder="1" applyAlignment="1" applyProtection="1">
      <alignment vertical="center"/>
    </xf>
    <xf numFmtId="0" fontId="11" fillId="0" borderId="14" xfId="10" applyBorder="1" applyProtection="1">
      <alignment vertical="center"/>
    </xf>
    <xf numFmtId="9" fontId="0" fillId="0" borderId="3" xfId="2" applyFont="1" applyBorder="1">
      <alignment vertical="center"/>
    </xf>
    <xf numFmtId="0" fontId="11" fillId="0" borderId="16" xfId="10" applyBorder="1" applyProtection="1">
      <alignment vertical="center"/>
    </xf>
    <xf numFmtId="0" fontId="11" fillId="0" borderId="10" xfId="10" applyBorder="1" applyProtection="1">
      <alignment vertical="center"/>
    </xf>
    <xf numFmtId="0" fontId="30" fillId="10" borderId="3" xfId="0" applyFont="1" applyFill="1" applyBorder="1" applyAlignment="1" applyProtection="1">
      <alignment horizontal="left" vertical="center" shrinkToFit="1"/>
      <protection locked="0"/>
    </xf>
    <xf numFmtId="0" fontId="11" fillId="12" borderId="3" xfId="10" applyFill="1" applyBorder="1" applyAlignment="1" applyProtection="1">
      <alignment horizontal="left" vertical="center" indent="1" shrinkToFit="1"/>
    </xf>
    <xf numFmtId="0" fontId="30" fillId="12" borderId="3" xfId="0" applyFont="1" applyFill="1" applyBorder="1" applyAlignment="1" applyProtection="1">
      <alignment horizontal="left" vertical="center" indent="1" shrinkToFit="1"/>
      <protection locked="0"/>
    </xf>
    <xf numFmtId="0" fontId="11" fillId="12" borderId="14" xfId="10" applyFill="1" applyBorder="1" applyAlignment="1" applyProtection="1">
      <alignment horizontal="left" vertical="center" indent="1" shrinkToFit="1"/>
    </xf>
    <xf numFmtId="0" fontId="41" fillId="12" borderId="3" xfId="10" applyFont="1" applyFill="1" applyBorder="1" applyAlignment="1" applyProtection="1">
      <alignment horizontal="left" vertical="center" indent="1" shrinkToFit="1"/>
      <protection hidden="1"/>
    </xf>
    <xf numFmtId="0" fontId="11" fillId="12" borderId="10" xfId="10" applyFill="1" applyBorder="1" applyAlignment="1" applyProtection="1">
      <alignment horizontal="left" vertical="center" indent="1" shrinkToFit="1"/>
    </xf>
    <xf numFmtId="0" fontId="30" fillId="12" borderId="3" xfId="0" applyFont="1" applyFill="1" applyBorder="1" applyAlignment="1" applyProtection="1">
      <alignment horizontal="center" vertical="center" wrapText="1" shrinkToFit="1"/>
      <protection hidden="1"/>
    </xf>
    <xf numFmtId="0" fontId="11" fillId="0" borderId="3" xfId="10" applyFill="1" applyBorder="1" applyAlignment="1" applyProtection="1">
      <alignment vertical="center" shrinkToFit="1"/>
      <protection hidden="1"/>
    </xf>
    <xf numFmtId="0" fontId="13" fillId="4" borderId="3" xfId="0" applyFont="1" applyFill="1" applyBorder="1" applyAlignment="1" applyProtection="1">
      <alignment horizontal="left" vertical="center" shrinkToFit="1"/>
    </xf>
    <xf numFmtId="0" fontId="52" fillId="0" borderId="0" xfId="0" applyFont="1" applyAlignment="1" applyProtection="1"/>
    <xf numFmtId="0" fontId="41" fillId="0" borderId="0" xfId="0" applyFont="1" applyAlignment="1" applyProtection="1"/>
    <xf numFmtId="0" fontId="41" fillId="0" borderId="0" xfId="0" applyFont="1" applyFill="1" applyBorder="1" applyAlignment="1"/>
    <xf numFmtId="0" fontId="41" fillId="0" borderId="0" xfId="0" applyFont="1" applyFill="1" applyBorder="1" applyAlignment="1" applyProtection="1">
      <alignment shrinkToFit="1"/>
      <protection locked="0"/>
    </xf>
    <xf numFmtId="0" fontId="53" fillId="0" borderId="0" xfId="0" applyFont="1" applyFill="1" applyBorder="1" applyAlignment="1"/>
    <xf numFmtId="0" fontId="41" fillId="0" borderId="0" xfId="0" applyFont="1">
      <alignment vertical="center"/>
    </xf>
    <xf numFmtId="9" fontId="41" fillId="2" borderId="3" xfId="7" applyFont="1" applyFill="1" applyBorder="1" applyAlignment="1">
      <alignment horizontal="center" vertical="center"/>
    </xf>
    <xf numFmtId="0" fontId="41" fillId="0" borderId="0" xfId="0" applyFont="1" applyAlignment="1"/>
    <xf numFmtId="0" fontId="24" fillId="0" borderId="0" xfId="0" applyFont="1" applyFill="1" applyAlignment="1" applyProtection="1"/>
    <xf numFmtId="0" fontId="24" fillId="0" borderId="0" xfId="0" applyFont="1" applyAlignment="1" applyProtection="1"/>
    <xf numFmtId="0" fontId="41" fillId="2" borderId="1" xfId="0" applyFont="1" applyFill="1" applyBorder="1" applyAlignment="1"/>
    <xf numFmtId="0" fontId="41" fillId="2" borderId="4" xfId="0" applyFont="1" applyFill="1" applyBorder="1" applyAlignment="1"/>
    <xf numFmtId="0" fontId="41" fillId="2" borderId="2" xfId="0" applyFont="1" applyFill="1" applyBorder="1" applyAlignment="1"/>
    <xf numFmtId="0" fontId="41" fillId="2" borderId="3" xfId="0" applyFont="1" applyFill="1" applyBorder="1" applyAlignment="1">
      <alignment horizontal="left" vertical="top" wrapText="1"/>
    </xf>
    <xf numFmtId="0" fontId="41" fillId="2" borderId="3" xfId="0" applyNumberFormat="1" applyFont="1" applyFill="1" applyBorder="1" applyAlignment="1">
      <alignment horizontal="left" vertical="top" wrapText="1"/>
    </xf>
    <xf numFmtId="0" fontId="41" fillId="2" borderId="3" xfId="0" applyFont="1" applyFill="1" applyBorder="1" applyAlignment="1">
      <alignment horizontal="center" vertical="top" wrapText="1"/>
    </xf>
    <xf numFmtId="0" fontId="41" fillId="2" borderId="1" xfId="0" applyFont="1" applyFill="1" applyBorder="1" applyAlignment="1" applyProtection="1">
      <alignment horizontal="left" vertical="top" wrapText="1"/>
    </xf>
    <xf numFmtId="0" fontId="41" fillId="2" borderId="3" xfId="0" applyFont="1" applyFill="1" applyBorder="1" applyAlignment="1" applyProtection="1">
      <alignment horizontal="left" vertical="top" wrapText="1"/>
    </xf>
    <xf numFmtId="0" fontId="13" fillId="4" borderId="3" xfId="0" applyFont="1" applyFill="1" applyBorder="1" applyAlignment="1">
      <alignment vertical="center" shrinkToFit="1"/>
    </xf>
    <xf numFmtId="0" fontId="0" fillId="0" borderId="0" xfId="0" applyAlignment="1">
      <alignment vertical="center"/>
    </xf>
    <xf numFmtId="38" fontId="0" fillId="0" borderId="3" xfId="1" applyFont="1" applyBorder="1" applyAlignment="1">
      <alignment horizontal="right" shrinkToFit="1"/>
    </xf>
    <xf numFmtId="0" fontId="0" fillId="2" borderId="3" xfId="0" applyFill="1" applyBorder="1" applyAlignment="1">
      <alignment horizontal="center" vertical="center" shrinkToFit="1"/>
    </xf>
    <xf numFmtId="9" fontId="0" fillId="0" borderId="0" xfId="0" applyNumberFormat="1">
      <alignment vertical="center"/>
    </xf>
    <xf numFmtId="0" fontId="41" fillId="2" borderId="1" xfId="0" applyFont="1" applyFill="1" applyBorder="1" applyAlignment="1" applyProtection="1">
      <protection locked="0"/>
    </xf>
    <xf numFmtId="0" fontId="41" fillId="2" borderId="3" xfId="0" applyFont="1" applyFill="1" applyBorder="1" applyAlignment="1">
      <alignment horizontal="centerContinuous"/>
    </xf>
    <xf numFmtId="0" fontId="48" fillId="2" borderId="3" xfId="0" applyFont="1" applyFill="1" applyBorder="1" applyAlignment="1">
      <alignment horizontal="left" vertical="top" wrapText="1"/>
    </xf>
    <xf numFmtId="0" fontId="48" fillId="2" borderId="3" xfId="0" applyFont="1" applyFill="1" applyBorder="1" applyAlignment="1" applyProtection="1">
      <alignment horizontal="left" vertical="top" wrapText="1"/>
    </xf>
    <xf numFmtId="0" fontId="0" fillId="0" borderId="0" xfId="0" applyFill="1" applyBorder="1" applyAlignment="1">
      <alignment horizontal="left"/>
    </xf>
    <xf numFmtId="1" fontId="13" fillId="4" borderId="3" xfId="0" applyNumberFormat="1" applyFont="1" applyFill="1" applyBorder="1" applyAlignment="1" applyProtection="1">
      <alignment horizontal="right" vertical="center" shrinkToFit="1"/>
    </xf>
    <xf numFmtId="0" fontId="48" fillId="2" borderId="0" xfId="0" applyFont="1" applyFill="1" applyBorder="1" applyAlignment="1" applyProtection="1">
      <alignment horizontal="left" vertical="top" wrapText="1"/>
    </xf>
    <xf numFmtId="38" fontId="0" fillId="0" borderId="0" xfId="1" applyFont="1" applyAlignment="1">
      <alignment vertical="center"/>
    </xf>
    <xf numFmtId="0" fontId="0" fillId="2" borderId="19" xfId="0" applyFill="1" applyBorder="1" applyAlignment="1" applyProtection="1">
      <alignment horizontal="center" vertical="top" wrapText="1"/>
    </xf>
    <xf numFmtId="0" fontId="0" fillId="0" borderId="3" xfId="0" applyBorder="1" applyAlignment="1" applyProtection="1">
      <alignment horizontal="right" vertical="center" wrapText="1" shrinkToFit="1"/>
    </xf>
    <xf numFmtId="0" fontId="41" fillId="0" borderId="3" xfId="10" applyFont="1" applyBorder="1" applyAlignment="1" applyProtection="1">
      <alignment vertical="center" shrinkToFit="1"/>
    </xf>
    <xf numFmtId="176" fontId="0" fillId="6" borderId="2" xfId="1" applyNumberFormat="1" applyFont="1" applyFill="1" applyBorder="1" applyAlignment="1" applyProtection="1">
      <alignment horizontal="center" vertical="center" shrinkToFit="1"/>
      <protection locked="0"/>
    </xf>
    <xf numFmtId="0" fontId="0" fillId="6" borderId="3" xfId="0" applyFill="1" applyBorder="1" applyAlignment="1" applyProtection="1">
      <alignment horizontal="center" vertical="center" shrinkToFit="1"/>
      <protection locked="0"/>
    </xf>
    <xf numFmtId="0" fontId="10" fillId="0" borderId="0" xfId="10" applyFont="1" applyBorder="1" applyAlignment="1" applyProtection="1">
      <alignment vertical="center"/>
    </xf>
    <xf numFmtId="177" fontId="54" fillId="0" borderId="0" xfId="10" applyNumberFormat="1" applyFont="1" applyBorder="1" applyAlignment="1" applyProtection="1">
      <alignment vertical="center" shrinkToFit="1"/>
    </xf>
    <xf numFmtId="0" fontId="0" fillId="2" borderId="2" xfId="0" applyFill="1" applyBorder="1" applyAlignment="1" applyProtection="1">
      <alignment horizontal="center" vertical="center"/>
    </xf>
    <xf numFmtId="0" fontId="0" fillId="2" borderId="1" xfId="0" applyFill="1" applyBorder="1" applyAlignment="1" applyProtection="1">
      <alignment horizontal="center" vertical="center" shrinkToFit="1"/>
    </xf>
    <xf numFmtId="0" fontId="0" fillId="2" borderId="4" xfId="0" applyFill="1" applyBorder="1" applyAlignment="1" applyProtection="1">
      <alignment horizontal="center" vertical="center" shrinkToFit="1"/>
    </xf>
    <xf numFmtId="0" fontId="0" fillId="2" borderId="2" xfId="0" applyFill="1" applyBorder="1" applyAlignment="1" applyProtection="1">
      <alignment horizontal="center" vertical="center" shrinkToFit="1"/>
    </xf>
    <xf numFmtId="0" fontId="42" fillId="2" borderId="14" xfId="0" applyFont="1" applyFill="1" applyBorder="1" applyAlignment="1" applyProtection="1">
      <alignment horizontal="center" vertical="top" wrapText="1"/>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55" fillId="2" borderId="14" xfId="0" applyFont="1" applyFill="1" applyBorder="1" applyAlignment="1" applyProtection="1">
      <alignment vertical="center" wrapText="1" shrinkToFit="1"/>
    </xf>
    <xf numFmtId="38" fontId="0" fillId="0" borderId="3" xfId="1" applyFont="1" applyFill="1" applyBorder="1" applyAlignment="1" applyProtection="1">
      <alignment horizontal="right" vertical="center" shrinkToFit="1"/>
      <protection locked="0"/>
    </xf>
    <xf numFmtId="0" fontId="13" fillId="4" borderId="3" xfId="0" applyFont="1" applyFill="1" applyBorder="1" applyAlignment="1" applyProtection="1">
      <alignment horizontal="center" vertical="center" shrinkToFit="1"/>
      <protection locked="0"/>
    </xf>
    <xf numFmtId="0" fontId="0" fillId="0" borderId="3" xfId="0" applyBorder="1" applyAlignment="1" applyProtection="1">
      <alignment horizontal="right" vertical="center" shrinkToFit="1"/>
      <protection locked="0"/>
    </xf>
    <xf numFmtId="0" fontId="0" fillId="0" borderId="0" xfId="0" applyBorder="1">
      <alignment vertical="center"/>
    </xf>
    <xf numFmtId="184" fontId="0" fillId="0" borderId="3" xfId="1" applyNumberFormat="1" applyFont="1" applyFill="1" applyBorder="1" applyAlignment="1" applyProtection="1">
      <alignment horizontal="center" vertical="center" shrinkToFit="1"/>
      <protection locked="0"/>
    </xf>
    <xf numFmtId="178" fontId="0" fillId="0" borderId="3" xfId="2" applyNumberFormat="1" applyFont="1" applyFill="1" applyBorder="1" applyAlignment="1" applyProtection="1">
      <alignment vertical="center" shrinkToFit="1"/>
      <protection locked="0"/>
    </xf>
    <xf numFmtId="177" fontId="0" fillId="0" borderId="3" xfId="0" applyNumberFormat="1" applyFill="1" applyBorder="1" applyAlignment="1" applyProtection="1">
      <alignment vertical="center" shrinkToFit="1"/>
      <protection locked="0"/>
    </xf>
    <xf numFmtId="38" fontId="0" fillId="0" borderId="3" xfId="1" applyFont="1" applyFill="1" applyBorder="1" applyAlignment="1" applyProtection="1">
      <alignment vertical="center" shrinkToFit="1"/>
      <protection locked="0"/>
    </xf>
    <xf numFmtId="9" fontId="0" fillId="0" borderId="3" xfId="0" applyNumberFormat="1" applyFill="1" applyBorder="1" applyAlignment="1" applyProtection="1">
      <alignment vertical="center" shrinkToFit="1"/>
      <protection locked="0"/>
    </xf>
    <xf numFmtId="38" fontId="13" fillId="0" borderId="3" xfId="1" applyFont="1" applyFill="1" applyBorder="1" applyAlignment="1" applyProtection="1">
      <alignment horizontal="right" vertical="center" shrinkToFit="1"/>
      <protection locked="0"/>
    </xf>
    <xf numFmtId="0" fontId="34" fillId="0" borderId="17" xfId="10" applyFont="1" applyBorder="1" applyAlignment="1" applyProtection="1">
      <alignment vertical="center" wrapText="1"/>
    </xf>
    <xf numFmtId="0" fontId="56" fillId="2" borderId="10" xfId="0" applyFont="1" applyFill="1" applyBorder="1" applyAlignment="1" applyProtection="1">
      <alignment vertical="center" wrapText="1" shrinkToFit="1"/>
    </xf>
    <xf numFmtId="0" fontId="43" fillId="0" borderId="17" xfId="0" applyFont="1" applyBorder="1" applyAlignment="1">
      <alignment horizontal="left" vertical="center"/>
    </xf>
    <xf numFmtId="0" fontId="0" fillId="0" borderId="3" xfId="0" applyFill="1" applyBorder="1" applyAlignment="1" applyProtection="1">
      <alignment vertical="center" shrinkToFit="1"/>
      <protection locked="0"/>
    </xf>
    <xf numFmtId="0" fontId="0" fillId="0" borderId="3" xfId="0" applyFill="1" applyBorder="1" applyAlignment="1" applyProtection="1">
      <alignment horizontal="center" vertical="center" shrinkToFit="1"/>
      <protection locked="0"/>
    </xf>
    <xf numFmtId="184" fontId="0" fillId="0" borderId="3" xfId="0" applyNumberFormat="1" applyFill="1" applyBorder="1" applyAlignment="1" applyProtection="1">
      <alignment vertical="center" shrinkToFit="1"/>
      <protection locked="0"/>
    </xf>
    <xf numFmtId="185" fontId="9" fillId="0" borderId="3" xfId="0" applyNumberFormat="1" applyFont="1" applyFill="1" applyBorder="1" applyAlignment="1" applyProtection="1">
      <alignment horizontal="center" vertical="center" shrinkToFit="1"/>
      <protection locked="0"/>
    </xf>
    <xf numFmtId="38" fontId="0" fillId="5" borderId="3" xfId="1" applyFont="1" applyFill="1" applyBorder="1" applyAlignment="1" applyProtection="1">
      <alignment horizontal="right" vertical="center" shrinkToFit="1"/>
    </xf>
    <xf numFmtId="179" fontId="13" fillId="5" borderId="3" xfId="0" applyNumberFormat="1" applyFont="1" applyFill="1" applyBorder="1" applyAlignment="1" applyProtection="1">
      <alignment horizontal="right" vertical="center" shrinkToFit="1"/>
    </xf>
    <xf numFmtId="38" fontId="13" fillId="5" borderId="3" xfId="1" applyFont="1" applyFill="1" applyBorder="1" applyAlignment="1" applyProtection="1">
      <alignment horizontal="right" vertical="center" shrinkToFit="1"/>
    </xf>
    <xf numFmtId="38" fontId="0" fillId="5" borderId="3" xfId="1" applyFont="1" applyFill="1" applyBorder="1" applyAlignment="1" applyProtection="1">
      <alignment vertical="center" shrinkToFit="1"/>
    </xf>
    <xf numFmtId="0" fontId="41" fillId="0" borderId="17" xfId="0" applyFont="1" applyBorder="1" applyAlignment="1">
      <alignment horizontal="left" vertical="center"/>
    </xf>
    <xf numFmtId="0" fontId="41" fillId="2" borderId="3" xfId="10" applyFont="1" applyFill="1" applyBorder="1" applyAlignment="1" applyProtection="1">
      <alignment vertical="center" shrinkToFit="1"/>
    </xf>
    <xf numFmtId="0" fontId="11" fillId="5" borderId="3" xfId="10" applyFill="1" applyBorder="1" applyAlignment="1" applyProtection="1">
      <alignment vertical="center" shrinkToFit="1"/>
      <protection hidden="1"/>
    </xf>
    <xf numFmtId="0" fontId="30" fillId="13" borderId="3" xfId="0" applyFont="1" applyFill="1" applyBorder="1" applyAlignment="1" applyProtection="1">
      <alignment horizontal="left" vertical="center" shrinkToFit="1"/>
      <protection locked="0"/>
    </xf>
    <xf numFmtId="9" fontId="0" fillId="5" borderId="3" xfId="7" applyFont="1" applyFill="1" applyBorder="1" applyAlignment="1" applyProtection="1">
      <alignment horizontal="right"/>
    </xf>
    <xf numFmtId="9" fontId="0" fillId="5" borderId="3" xfId="7" applyFont="1" applyFill="1" applyBorder="1" applyAlignment="1" applyProtection="1">
      <alignment horizontal="right" vertical="center" shrinkToFit="1"/>
    </xf>
    <xf numFmtId="9" fontId="0" fillId="5" borderId="3" xfId="2" applyFont="1" applyFill="1" applyBorder="1" applyAlignment="1">
      <alignment vertical="center"/>
    </xf>
    <xf numFmtId="9" fontId="0" fillId="0" borderId="3" xfId="2" applyNumberFormat="1" applyFont="1" applyFill="1" applyBorder="1" applyAlignment="1" applyProtection="1">
      <alignment vertical="center" shrinkToFit="1"/>
      <protection locked="0"/>
    </xf>
    <xf numFmtId="0" fontId="2" fillId="0" borderId="0" xfId="0" applyFont="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3" xfId="0" applyFill="1" applyBorder="1">
      <alignment vertical="center"/>
    </xf>
    <xf numFmtId="0" fontId="42" fillId="2" borderId="14" xfId="0" applyFont="1" applyFill="1" applyBorder="1" applyAlignment="1" applyProtection="1">
      <alignment horizontal="center" vertical="top" wrapText="1"/>
    </xf>
    <xf numFmtId="0" fontId="0" fillId="0" borderId="51" xfId="0" applyFill="1" applyBorder="1">
      <alignment vertical="center"/>
    </xf>
    <xf numFmtId="0" fontId="41" fillId="2" borderId="3" xfId="0" applyFont="1" applyFill="1" applyBorder="1" applyAlignment="1" applyProtection="1">
      <alignment horizontal="center" vertical="center" shrinkToFit="1"/>
    </xf>
    <xf numFmtId="0" fontId="41" fillId="2" borderId="3" xfId="0" applyFont="1" applyFill="1" applyBorder="1" applyAlignment="1">
      <alignment horizontal="center" vertical="center" shrinkToFit="1"/>
    </xf>
    <xf numFmtId="0" fontId="41" fillId="2" borderId="1" xfId="0" applyFont="1" applyFill="1" applyBorder="1" applyAlignment="1" applyProtection="1">
      <alignment horizontal="center" vertical="center" shrinkToFit="1"/>
    </xf>
    <xf numFmtId="0" fontId="41" fillId="2" borderId="23" xfId="0" applyFont="1" applyFill="1" applyBorder="1" applyAlignment="1" applyProtection="1">
      <alignment horizontal="center" vertical="center" shrinkToFit="1"/>
    </xf>
    <xf numFmtId="0" fontId="13" fillId="4" borderId="3" xfId="0" applyFont="1" applyFill="1" applyBorder="1" applyAlignment="1" applyProtection="1">
      <alignment horizontal="center" vertical="center" shrinkToFit="1"/>
    </xf>
    <xf numFmtId="179" fontId="13" fillId="0" borderId="3" xfId="0" applyNumberFormat="1" applyFont="1" applyFill="1" applyBorder="1" applyAlignment="1">
      <alignment horizontal="center" vertical="center" shrinkToFit="1"/>
    </xf>
    <xf numFmtId="0" fontId="41" fillId="2" borderId="10" xfId="0" applyFont="1" applyFill="1" applyBorder="1" applyAlignment="1" applyProtection="1">
      <alignment horizontal="center" vertical="center" shrinkToFit="1"/>
    </xf>
    <xf numFmtId="0" fontId="41" fillId="0" borderId="9" xfId="0" applyFont="1" applyBorder="1" applyAlignment="1">
      <alignment horizontal="center" vertical="center" shrinkToFit="1"/>
    </xf>
    <xf numFmtId="181" fontId="41" fillId="0" borderId="3" xfId="0" applyNumberFormat="1" applyFont="1" applyBorder="1" applyAlignment="1">
      <alignment horizontal="center" vertical="center" shrinkToFit="1"/>
    </xf>
    <xf numFmtId="0" fontId="41" fillId="2" borderId="23" xfId="0" applyFont="1" applyFill="1" applyBorder="1" applyAlignment="1" applyProtection="1">
      <alignment horizontal="left" vertical="top" wrapText="1"/>
    </xf>
    <xf numFmtId="38" fontId="13" fillId="4" borderId="3" xfId="1" applyFont="1" applyFill="1" applyBorder="1" applyAlignment="1">
      <alignment horizontal="center" vertical="center" shrinkToFit="1"/>
    </xf>
    <xf numFmtId="38" fontId="41" fillId="3" borderId="3" xfId="1" applyFont="1" applyFill="1" applyBorder="1" applyAlignment="1" applyProtection="1">
      <alignment horizontal="center" vertical="center" shrinkToFit="1"/>
      <protection locked="0"/>
    </xf>
    <xf numFmtId="0" fontId="41" fillId="2" borderId="3" xfId="0" applyFont="1" applyFill="1" applyBorder="1" applyAlignment="1">
      <alignment shrinkToFit="1"/>
    </xf>
    <xf numFmtId="38" fontId="13" fillId="5" borderId="3" xfId="1" applyFont="1" applyFill="1" applyBorder="1" applyAlignment="1" applyProtection="1">
      <alignment horizontal="center" vertical="center" shrinkToFit="1"/>
    </xf>
    <xf numFmtId="181" fontId="41" fillId="5" borderId="1" xfId="0" applyNumberFormat="1" applyFont="1" applyFill="1" applyBorder="1" applyAlignment="1" applyProtection="1">
      <alignment horizontal="center" vertical="center" shrinkToFit="1"/>
    </xf>
    <xf numFmtId="182" fontId="41" fillId="5" borderId="6" xfId="0" applyNumberFormat="1" applyFont="1" applyFill="1" applyBorder="1" applyAlignment="1" applyProtection="1">
      <alignment horizontal="center" vertical="center" shrinkToFit="1"/>
    </xf>
    <xf numFmtId="182" fontId="41" fillId="5" borderId="1" xfId="0" applyNumberFormat="1" applyFont="1" applyFill="1" applyBorder="1" applyAlignment="1" applyProtection="1">
      <alignment horizontal="center" vertical="center" shrinkToFit="1"/>
    </xf>
    <xf numFmtId="176" fontId="41" fillId="5" borderId="23" xfId="1" applyNumberFormat="1" applyFont="1" applyFill="1" applyBorder="1" applyAlignment="1">
      <alignment horizontal="center" vertical="center" shrinkToFit="1"/>
    </xf>
    <xf numFmtId="177" fontId="41" fillId="5" borderId="3" xfId="0" applyNumberFormat="1" applyFont="1" applyFill="1" applyBorder="1" applyAlignment="1">
      <alignment horizontal="center" vertical="center" shrinkToFit="1"/>
    </xf>
    <xf numFmtId="0" fontId="41" fillId="0" borderId="3" xfId="0" applyFont="1" applyFill="1" applyBorder="1" applyAlignment="1" applyProtection="1">
      <alignment horizontal="center" vertical="center" shrinkToFit="1"/>
      <protection locked="0"/>
    </xf>
    <xf numFmtId="180" fontId="41" fillId="0" borderId="3" xfId="0" applyNumberFormat="1" applyFont="1" applyFill="1" applyBorder="1" applyAlignment="1" applyProtection="1">
      <alignment horizontal="center" vertical="center" shrinkToFit="1"/>
      <protection locked="0"/>
    </xf>
    <xf numFmtId="2" fontId="41" fillId="0" borderId="23" xfId="0" applyNumberFormat="1" applyFont="1" applyFill="1" applyBorder="1" applyAlignment="1" applyProtection="1">
      <alignment horizontal="center" vertical="center" shrinkToFit="1"/>
      <protection locked="0"/>
    </xf>
    <xf numFmtId="38" fontId="41" fillId="0" borderId="3" xfId="1" applyFont="1" applyFill="1" applyBorder="1" applyAlignment="1" applyProtection="1">
      <alignment horizontal="center" vertical="center" shrinkToFit="1"/>
      <protection locked="0"/>
    </xf>
    <xf numFmtId="178" fontId="41" fillId="5" borderId="3" xfId="0" applyNumberFormat="1" applyFont="1" applyFill="1" applyBorder="1" applyAlignment="1">
      <alignment horizontal="center" vertical="center" shrinkToFit="1"/>
    </xf>
    <xf numFmtId="38" fontId="13" fillId="4" borderId="3" xfId="1" applyFont="1" applyFill="1" applyBorder="1" applyAlignment="1" applyProtection="1">
      <alignment horizontal="center" vertical="center" shrinkToFit="1"/>
    </xf>
    <xf numFmtId="179" fontId="13" fillId="4" borderId="1" xfId="0" applyNumberFormat="1" applyFont="1" applyFill="1" applyBorder="1" applyAlignment="1" applyProtection="1">
      <alignment horizontal="center" vertical="center" shrinkToFit="1"/>
    </xf>
    <xf numFmtId="182" fontId="13" fillId="4" borderId="1" xfId="0" applyNumberFormat="1" applyFont="1" applyFill="1" applyBorder="1" applyAlignment="1" applyProtection="1">
      <alignment horizontal="center" vertical="center" shrinkToFit="1"/>
    </xf>
    <xf numFmtId="176" fontId="13" fillId="4" borderId="23" xfId="1" applyNumberFormat="1" applyFont="1" applyFill="1" applyBorder="1" applyAlignment="1" applyProtection="1">
      <alignment horizontal="center" vertical="center" shrinkToFit="1"/>
    </xf>
    <xf numFmtId="177" fontId="13" fillId="4" borderId="3" xfId="0" applyNumberFormat="1" applyFont="1" applyFill="1" applyBorder="1" applyAlignment="1" applyProtection="1">
      <alignment horizontal="center" vertical="center" shrinkToFit="1"/>
    </xf>
    <xf numFmtId="0" fontId="59" fillId="0" borderId="0" xfId="0" applyFont="1" applyAlignment="1">
      <alignment horizontal="left" vertical="center"/>
    </xf>
    <xf numFmtId="0" fontId="0" fillId="5" borderId="29" xfId="0" applyFill="1" applyBorder="1" applyAlignment="1" applyProtection="1">
      <alignment horizontal="right" vertical="center"/>
    </xf>
    <xf numFmtId="0" fontId="0" fillId="5" borderId="30" xfId="0" applyFill="1" applyBorder="1" applyProtection="1">
      <alignment vertical="center"/>
    </xf>
    <xf numFmtId="0" fontId="0" fillId="5" borderId="32" xfId="0" applyFill="1" applyBorder="1" applyAlignment="1" applyProtection="1">
      <alignment horizontal="right" vertical="center"/>
    </xf>
    <xf numFmtId="0" fontId="0" fillId="5" borderId="33" xfId="0" applyFill="1" applyBorder="1" applyProtection="1">
      <alignment vertical="center"/>
    </xf>
    <xf numFmtId="0" fontId="0" fillId="5" borderId="35" xfId="0" applyFill="1" applyBorder="1" applyAlignment="1" applyProtection="1">
      <alignment horizontal="right" vertical="center"/>
    </xf>
    <xf numFmtId="0" fontId="0" fillId="5" borderId="36" xfId="0" applyFill="1" applyBorder="1" applyProtection="1">
      <alignment vertical="center"/>
    </xf>
    <xf numFmtId="0" fontId="0" fillId="5" borderId="29" xfId="0" applyFill="1" applyBorder="1" applyProtection="1">
      <alignment vertical="center"/>
    </xf>
    <xf numFmtId="0" fontId="0" fillId="5" borderId="31" xfId="0" applyFill="1" applyBorder="1" applyProtection="1">
      <alignment vertical="center"/>
    </xf>
    <xf numFmtId="0" fontId="0" fillId="5" borderId="32" xfId="0" applyFill="1" applyBorder="1" applyProtection="1">
      <alignment vertical="center"/>
    </xf>
    <xf numFmtId="0" fontId="0" fillId="5" borderId="34" xfId="0" applyFill="1" applyBorder="1" applyProtection="1">
      <alignment vertical="center"/>
    </xf>
    <xf numFmtId="0" fontId="0" fillId="5" borderId="35" xfId="0" applyFill="1" applyBorder="1" applyProtection="1">
      <alignment vertical="center"/>
    </xf>
    <xf numFmtId="0" fontId="0" fillId="5" borderId="37" xfId="0" applyFill="1" applyBorder="1" applyProtection="1">
      <alignment vertical="center"/>
    </xf>
    <xf numFmtId="9" fontId="41" fillId="5" borderId="3" xfId="7" applyFont="1" applyFill="1" applyBorder="1" applyAlignment="1">
      <alignment horizontal="right" vertical="center"/>
    </xf>
    <xf numFmtId="0" fontId="41" fillId="2" borderId="14" xfId="0" applyFont="1" applyFill="1" applyBorder="1" applyAlignment="1">
      <alignment horizontal="left" vertical="top" wrapText="1"/>
    </xf>
    <xf numFmtId="0" fontId="41" fillId="2" borderId="10" xfId="0" applyFont="1" applyFill="1" applyBorder="1" applyAlignment="1">
      <alignment horizontal="center" vertical="center" shrinkToFit="1"/>
    </xf>
    <xf numFmtId="0" fontId="0" fillId="0" borderId="48" xfId="0" applyBorder="1" applyAlignment="1">
      <alignment vertical="center"/>
    </xf>
    <xf numFmtId="0" fontId="0" fillId="0" borderId="49" xfId="0" applyBorder="1" applyAlignment="1">
      <alignment vertical="center"/>
    </xf>
    <xf numFmtId="0" fontId="0" fillId="0" borderId="51" xfId="0" applyBorder="1" applyAlignment="1">
      <alignment vertical="center"/>
    </xf>
    <xf numFmtId="0" fontId="0" fillId="0" borderId="0"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42" fillId="2" borderId="14" xfId="0" applyFont="1" applyFill="1" applyBorder="1" applyAlignment="1" applyProtection="1">
      <alignment vertical="top" wrapText="1"/>
    </xf>
    <xf numFmtId="178" fontId="13" fillId="4" borderId="3" xfId="1" applyNumberFormat="1" applyFont="1" applyFill="1" applyBorder="1" applyAlignment="1" applyProtection="1">
      <alignment horizontal="right" vertical="center" shrinkToFit="1"/>
    </xf>
    <xf numFmtId="178" fontId="13" fillId="5" borderId="3" xfId="1" applyNumberFormat="1" applyFont="1" applyFill="1" applyBorder="1" applyAlignment="1" applyProtection="1">
      <alignment horizontal="right" vertical="center" shrinkToFit="1"/>
    </xf>
    <xf numFmtId="178" fontId="13" fillId="5" borderId="3" xfId="0" applyNumberFormat="1" applyFont="1" applyFill="1" applyBorder="1" applyAlignment="1" applyProtection="1">
      <alignment horizontal="right" vertical="center" shrinkToFit="1"/>
    </xf>
    <xf numFmtId="178" fontId="13" fillId="4" borderId="3" xfId="0" applyNumberFormat="1" applyFont="1" applyFill="1" applyBorder="1" applyAlignment="1" applyProtection="1">
      <alignment horizontal="right" vertical="center" shrinkToFit="1"/>
    </xf>
    <xf numFmtId="176" fontId="13" fillId="0" borderId="3" xfId="0" applyNumberFormat="1" applyFont="1" applyFill="1" applyBorder="1" applyAlignment="1" applyProtection="1">
      <alignment horizontal="center" vertical="center" shrinkToFit="1"/>
      <protection locked="0"/>
    </xf>
    <xf numFmtId="178" fontId="0" fillId="5" borderId="3" xfId="2" applyNumberFormat="1" applyFont="1" applyFill="1" applyBorder="1" applyAlignment="1" applyProtection="1">
      <alignment vertical="center"/>
    </xf>
    <xf numFmtId="0" fontId="0" fillId="2" borderId="3" xfId="0" applyFont="1" applyFill="1" applyBorder="1" applyAlignment="1" applyProtection="1">
      <alignment horizontal="center" vertical="center" wrapText="1" shrinkToFit="1"/>
    </xf>
    <xf numFmtId="0" fontId="42" fillId="2" borderId="3" xfId="0" applyFont="1" applyFill="1" applyBorder="1" applyAlignment="1" applyProtection="1">
      <alignment horizontal="center" vertical="center" wrapText="1"/>
    </xf>
    <xf numFmtId="0" fontId="26" fillId="0" borderId="0" xfId="0" applyFont="1" applyFill="1" applyAlignment="1" applyProtection="1">
      <alignment vertical="center"/>
      <protection locked="0"/>
    </xf>
    <xf numFmtId="0" fontId="59" fillId="0" borderId="0" xfId="0" applyFont="1" applyFill="1" applyAlignment="1">
      <alignment horizontal="left" vertical="center"/>
    </xf>
    <xf numFmtId="0" fontId="11" fillId="0" borderId="0" xfId="10" applyFill="1" applyProtection="1">
      <alignment vertical="center"/>
    </xf>
    <xf numFmtId="0" fontId="28" fillId="0" borderId="0" xfId="0" applyFont="1" applyFill="1" applyAlignment="1">
      <alignment horizontal="left" vertical="center"/>
    </xf>
    <xf numFmtId="0" fontId="0" fillId="0" borderId="0" xfId="0" applyFill="1" applyAlignment="1" applyProtection="1">
      <protection locked="0"/>
    </xf>
    <xf numFmtId="178" fontId="13" fillId="0" borderId="3" xfId="0" applyNumberFormat="1" applyFont="1" applyFill="1" applyBorder="1" applyAlignment="1" applyProtection="1">
      <alignment horizontal="right" vertical="center" shrinkToFit="1"/>
      <protection locked="0"/>
    </xf>
    <xf numFmtId="0" fontId="48" fillId="0" borderId="0" xfId="10" applyFont="1" applyBorder="1" applyAlignment="1" applyProtection="1">
      <alignment vertical="center"/>
    </xf>
    <xf numFmtId="186" fontId="0" fillId="0" borderId="3" xfId="2" applyNumberFormat="1" applyFont="1" applyFill="1" applyBorder="1" applyAlignment="1" applyProtection="1">
      <alignment vertical="center" shrinkToFit="1"/>
      <protection locked="0"/>
    </xf>
    <xf numFmtId="180" fontId="0" fillId="0" borderId="3" xfId="2" applyNumberFormat="1" applyFont="1" applyFill="1" applyBorder="1" applyAlignment="1" applyProtection="1">
      <alignment vertical="center" shrinkToFit="1"/>
      <protection locked="0"/>
    </xf>
    <xf numFmtId="0" fontId="41" fillId="2" borderId="5" xfId="0" applyFont="1" applyFill="1" applyBorder="1" applyAlignment="1"/>
    <xf numFmtId="0" fontId="41" fillId="2" borderId="15" xfId="0" applyFont="1" applyFill="1" applyBorder="1" applyAlignment="1"/>
    <xf numFmtId="0" fontId="41" fillId="2" borderId="15" xfId="0" applyFont="1" applyFill="1" applyBorder="1" applyAlignment="1">
      <alignment horizontal="center"/>
    </xf>
    <xf numFmtId="0" fontId="41" fillId="2" borderId="14" xfId="0" applyFont="1" applyFill="1" applyBorder="1" applyAlignment="1" applyProtection="1">
      <alignment vertical="center" wrapText="1"/>
    </xf>
    <xf numFmtId="0" fontId="41" fillId="2" borderId="16" xfId="0" applyFont="1" applyFill="1" applyBorder="1" applyAlignment="1" applyProtection="1">
      <alignment vertical="center" wrapText="1"/>
    </xf>
    <xf numFmtId="0" fontId="41" fillId="2" borderId="10" xfId="0" applyFont="1" applyFill="1" applyBorder="1" applyAlignment="1" applyProtection="1">
      <alignment vertical="center" wrapText="1"/>
    </xf>
    <xf numFmtId="0" fontId="41" fillId="2" borderId="6" xfId="0" applyFont="1" applyFill="1" applyBorder="1" applyAlignment="1"/>
    <xf numFmtId="0" fontId="41" fillId="2" borderId="17" xfId="0" applyFont="1" applyFill="1" applyBorder="1" applyAlignment="1"/>
    <xf numFmtId="0" fontId="41" fillId="2" borderId="17" xfId="0" applyFont="1" applyFill="1" applyBorder="1" applyAlignment="1">
      <alignment horizontal="center"/>
    </xf>
    <xf numFmtId="0" fontId="41" fillId="2" borderId="18" xfId="0" applyFont="1" applyFill="1" applyBorder="1" applyAlignment="1"/>
    <xf numFmtId="0" fontId="41" fillId="2" borderId="56" xfId="0" applyFont="1" applyFill="1" applyBorder="1" applyAlignment="1"/>
    <xf numFmtId="0" fontId="41" fillId="2" borderId="57" xfId="0" applyFont="1" applyFill="1" applyBorder="1" applyAlignment="1"/>
    <xf numFmtId="0" fontId="41" fillId="2" borderId="56" xfId="0" applyFont="1" applyFill="1" applyBorder="1" applyAlignment="1" applyProtection="1"/>
    <xf numFmtId="0" fontId="41" fillId="2" borderId="19" xfId="0" applyFont="1" applyFill="1" applyBorder="1" applyAlignment="1"/>
    <xf numFmtId="0" fontId="41" fillId="2" borderId="57" xfId="0" applyFont="1" applyFill="1" applyBorder="1" applyAlignment="1" applyProtection="1"/>
    <xf numFmtId="0" fontId="41" fillId="2" borderId="39" xfId="0" applyFont="1" applyFill="1" applyBorder="1" applyAlignment="1">
      <alignment horizontal="left" vertical="top" wrapText="1"/>
    </xf>
    <xf numFmtId="0" fontId="41" fillId="2" borderId="38" xfId="0" applyFont="1" applyFill="1" applyBorder="1" applyAlignment="1">
      <alignment horizontal="center" vertical="center" shrinkToFit="1"/>
    </xf>
    <xf numFmtId="0" fontId="43" fillId="2" borderId="3" xfId="0" applyFont="1" applyFill="1" applyBorder="1" applyAlignment="1">
      <alignment horizontal="center" vertical="top" wrapText="1"/>
    </xf>
    <xf numFmtId="38" fontId="31" fillId="4" borderId="3" xfId="1" applyFont="1" applyFill="1" applyBorder="1" applyAlignment="1" applyProtection="1">
      <alignment horizontal="right" wrapText="1"/>
    </xf>
    <xf numFmtId="176" fontId="0" fillId="2" borderId="3" xfId="1" applyNumberFormat="1" applyFont="1" applyFill="1" applyBorder="1" applyAlignment="1" applyProtection="1">
      <alignment horizontal="center" vertical="center" shrinkToFit="1"/>
    </xf>
    <xf numFmtId="0" fontId="42" fillId="2" borderId="3" xfId="0" applyFont="1" applyFill="1" applyBorder="1" applyAlignment="1">
      <alignment horizontal="center" vertical="top" wrapText="1"/>
    </xf>
    <xf numFmtId="0" fontId="0" fillId="0" borderId="58" xfId="0" applyBorder="1">
      <alignment vertical="center"/>
    </xf>
    <xf numFmtId="0" fontId="0" fillId="0" borderId="59" xfId="0" applyBorder="1">
      <alignment vertical="center"/>
    </xf>
    <xf numFmtId="0" fontId="0" fillId="0" borderId="60" xfId="0" applyBorder="1">
      <alignment vertical="center"/>
    </xf>
    <xf numFmtId="0" fontId="41" fillId="2" borderId="0" xfId="0" applyFont="1" applyFill="1" applyBorder="1" applyAlignment="1" applyProtection="1"/>
    <xf numFmtId="0" fontId="42" fillId="2" borderId="14" xfId="0" applyFont="1" applyFill="1" applyBorder="1" applyAlignment="1" applyProtection="1">
      <alignment horizontal="center" vertical="top" wrapText="1"/>
    </xf>
    <xf numFmtId="0" fontId="60" fillId="2" borderId="3" xfId="0" applyFont="1" applyFill="1" applyBorder="1" applyAlignment="1" applyProtection="1">
      <alignment horizontal="center" vertical="top" wrapText="1"/>
    </xf>
    <xf numFmtId="0" fontId="0" fillId="14" borderId="3" xfId="0" applyFill="1" applyBorder="1" applyAlignment="1" applyProtection="1">
      <alignment horizontal="center" vertical="center" shrinkToFit="1"/>
    </xf>
    <xf numFmtId="0" fontId="13" fillId="14" borderId="23" xfId="0" applyFont="1" applyFill="1" applyBorder="1" applyAlignment="1" applyProtection="1">
      <alignment horizontal="center" vertical="center" shrinkToFit="1"/>
    </xf>
    <xf numFmtId="0" fontId="13" fillId="15" borderId="3" xfId="0" applyFont="1" applyFill="1" applyBorder="1" applyAlignment="1" applyProtection="1">
      <alignment horizontal="center" vertical="center" shrinkToFit="1"/>
    </xf>
    <xf numFmtId="0" fontId="13" fillId="14" borderId="3" xfId="0" applyFont="1" applyFill="1" applyBorder="1" applyAlignment="1" applyProtection="1">
      <alignment horizontal="center" vertical="center" shrinkToFit="1"/>
    </xf>
    <xf numFmtId="38" fontId="13" fillId="14" borderId="3" xfId="1" applyFont="1" applyFill="1" applyBorder="1" applyAlignment="1" applyProtection="1">
      <alignment horizontal="right" vertical="center" shrinkToFit="1"/>
    </xf>
    <xf numFmtId="198" fontId="13" fillId="14" borderId="3" xfId="1" applyNumberFormat="1" applyFont="1" applyFill="1" applyBorder="1" applyAlignment="1" applyProtection="1">
      <alignment horizontal="right" vertical="center" shrinkToFit="1"/>
    </xf>
    <xf numFmtId="178" fontId="13" fillId="14" borderId="3" xfId="0" applyNumberFormat="1" applyFont="1" applyFill="1" applyBorder="1" applyAlignment="1" applyProtection="1">
      <alignment horizontal="right" vertical="center" shrinkToFit="1"/>
    </xf>
    <xf numFmtId="0" fontId="13" fillId="5" borderId="3" xfId="3" applyFont="1" applyFill="1" applyBorder="1" applyAlignment="1" applyProtection="1">
      <alignment vertical="center" shrinkToFit="1"/>
    </xf>
    <xf numFmtId="0" fontId="0" fillId="5" borderId="3" xfId="5" applyNumberFormat="1" applyFont="1" applyFill="1" applyBorder="1" applyAlignment="1" applyProtection="1">
      <alignment horizontal="center" vertical="center" shrinkToFit="1"/>
    </xf>
    <xf numFmtId="0" fontId="15" fillId="5" borderId="3" xfId="5" applyNumberFormat="1" applyFont="1" applyFill="1" applyBorder="1" applyAlignment="1" applyProtection="1">
      <alignment horizontal="center" vertical="center" wrapText="1" shrinkToFit="1"/>
    </xf>
    <xf numFmtId="187" fontId="13" fillId="5" borderId="3" xfId="5" applyNumberFormat="1" applyFont="1" applyFill="1" applyBorder="1" applyAlignment="1" applyProtection="1">
      <alignment horizontal="center" vertical="center" wrapText="1" shrinkToFit="1"/>
    </xf>
    <xf numFmtId="0" fontId="19" fillId="5" borderId="3" xfId="5" applyNumberFormat="1" applyFont="1" applyFill="1" applyBorder="1" applyAlignment="1" applyProtection="1">
      <alignment horizontal="center" vertical="center" wrapText="1" shrinkToFit="1"/>
    </xf>
    <xf numFmtId="179" fontId="0" fillId="16" borderId="3" xfId="0" applyNumberFormat="1" applyFill="1" applyBorder="1" applyAlignment="1" applyProtection="1">
      <alignment horizontal="center" vertical="center" shrinkToFit="1"/>
      <protection locked="0"/>
    </xf>
    <xf numFmtId="0" fontId="0" fillId="16" borderId="3" xfId="0" applyFill="1" applyBorder="1" applyAlignment="1" applyProtection="1">
      <alignment horizontal="center" vertical="center" shrinkToFit="1"/>
      <protection locked="0"/>
    </xf>
    <xf numFmtId="0" fontId="13" fillId="13" borderId="3" xfId="0" applyFont="1" applyFill="1" applyBorder="1" applyAlignment="1" applyProtection="1">
      <alignment horizontal="center" vertical="center" shrinkToFit="1"/>
    </xf>
    <xf numFmtId="9" fontId="41" fillId="16" borderId="3" xfId="7" applyFont="1" applyFill="1" applyBorder="1" applyAlignment="1" applyProtection="1">
      <alignment horizontal="center" vertical="center" shrinkToFit="1"/>
      <protection locked="0"/>
    </xf>
    <xf numFmtId="9" fontId="41" fillId="16" borderId="3" xfId="2" applyFont="1" applyFill="1" applyBorder="1" applyAlignment="1" applyProtection="1">
      <alignment horizontal="center" vertical="center" shrinkToFit="1"/>
      <protection locked="0"/>
    </xf>
    <xf numFmtId="183" fontId="61" fillId="5" borderId="3" xfId="5" applyNumberFormat="1" applyFont="1" applyFill="1" applyBorder="1" applyAlignment="1" applyProtection="1">
      <alignment horizontal="right" vertical="center" shrinkToFit="1"/>
    </xf>
    <xf numFmtId="191" fontId="61" fillId="5" borderId="3" xfId="5" applyNumberFormat="1" applyFont="1" applyFill="1" applyBorder="1" applyAlignment="1" applyProtection="1">
      <alignment vertical="center" shrinkToFit="1"/>
    </xf>
    <xf numFmtId="0" fontId="0" fillId="0" borderId="0" xfId="0" applyAlignment="1">
      <alignment horizontal="right" vertical="center"/>
    </xf>
    <xf numFmtId="0" fontId="41" fillId="2" borderId="19" xfId="0" applyFont="1" applyFill="1" applyBorder="1" applyAlignment="1" applyProtection="1">
      <alignment vertical="center"/>
    </xf>
    <xf numFmtId="0" fontId="13" fillId="14" borderId="3" xfId="0" applyFont="1" applyFill="1" applyBorder="1" applyAlignment="1" applyProtection="1">
      <alignment horizontal="right" vertical="center" wrapText="1" shrinkToFit="1"/>
    </xf>
    <xf numFmtId="184" fontId="13" fillId="14" borderId="3" xfId="0" applyNumberFormat="1" applyFont="1" applyFill="1" applyBorder="1" applyAlignment="1" applyProtection="1">
      <alignment horizontal="center" vertical="center" shrinkToFit="1"/>
    </xf>
    <xf numFmtId="0" fontId="41" fillId="14" borderId="3" xfId="0" applyFont="1" applyFill="1" applyBorder="1" applyAlignment="1" applyProtection="1">
      <alignment horizontal="center" vertical="center" shrinkToFit="1"/>
    </xf>
    <xf numFmtId="0" fontId="13" fillId="14" borderId="3" xfId="0" applyFont="1" applyFill="1" applyBorder="1" applyAlignment="1" applyProtection="1">
      <alignment horizontal="right" vertical="center" shrinkToFit="1"/>
    </xf>
    <xf numFmtId="185" fontId="13" fillId="14" borderId="3" xfId="0" applyNumberFormat="1" applyFont="1" applyFill="1" applyBorder="1" applyAlignment="1" applyProtection="1">
      <alignment horizontal="center" vertical="center" shrinkToFit="1"/>
    </xf>
    <xf numFmtId="177" fontId="13" fillId="14" borderId="3" xfId="0" applyNumberFormat="1" applyFont="1" applyFill="1" applyBorder="1" applyAlignment="1" applyProtection="1">
      <alignment horizontal="right" vertical="center" shrinkToFit="1"/>
    </xf>
    <xf numFmtId="178" fontId="13" fillId="14" borderId="3" xfId="2" applyNumberFormat="1" applyFont="1" applyFill="1" applyBorder="1" applyAlignment="1" applyProtection="1">
      <alignment horizontal="right" vertical="center" shrinkToFit="1"/>
    </xf>
    <xf numFmtId="186" fontId="13" fillId="14" borderId="3" xfId="2" applyNumberFormat="1" applyFont="1" applyFill="1" applyBorder="1" applyAlignment="1" applyProtection="1">
      <alignment horizontal="right" vertical="center" shrinkToFit="1"/>
    </xf>
    <xf numFmtId="180" fontId="13" fillId="14" borderId="3" xfId="2" applyNumberFormat="1" applyFont="1" applyFill="1" applyBorder="1" applyAlignment="1" applyProtection="1">
      <alignment horizontal="right" vertical="center" shrinkToFit="1"/>
    </xf>
    <xf numFmtId="9" fontId="13" fillId="14" borderId="3" xfId="0" applyNumberFormat="1" applyFont="1" applyFill="1" applyBorder="1" applyAlignment="1" applyProtection="1">
      <alignment horizontal="right" vertical="center" shrinkToFit="1"/>
    </xf>
    <xf numFmtId="0" fontId="13" fillId="14" borderId="3" xfId="0" applyFont="1" applyFill="1" applyBorder="1" applyAlignment="1" applyProtection="1">
      <alignment horizontal="right" vertical="center" wrapText="1"/>
    </xf>
    <xf numFmtId="0" fontId="13" fillId="4" borderId="3" xfId="0" applyFont="1" applyFill="1" applyBorder="1" applyAlignment="1" applyProtection="1">
      <alignment horizontal="right" vertical="center" shrinkToFit="1"/>
    </xf>
    <xf numFmtId="0" fontId="13" fillId="14" borderId="3" xfId="0" applyNumberFormat="1" applyFont="1" applyFill="1" applyBorder="1" applyAlignment="1" applyProtection="1">
      <alignment horizontal="right" vertical="center" shrinkToFit="1"/>
    </xf>
    <xf numFmtId="0" fontId="13" fillId="14" borderId="3" xfId="0" applyFont="1" applyFill="1" applyBorder="1" applyAlignment="1" applyProtection="1">
      <alignment horizontal="center" vertical="center" wrapText="1"/>
    </xf>
    <xf numFmtId="0" fontId="13" fillId="14" borderId="4" xfId="0" applyFont="1" applyFill="1" applyBorder="1" applyAlignment="1" applyProtection="1">
      <alignment horizontal="center" vertical="center" shrinkToFit="1"/>
    </xf>
    <xf numFmtId="178" fontId="13" fillId="4" borderId="3" xfId="0" applyNumberFormat="1" applyFont="1" applyFill="1" applyBorder="1" applyAlignment="1" applyProtection="1">
      <alignment horizontal="center" vertical="center" shrinkToFit="1"/>
    </xf>
    <xf numFmtId="186" fontId="0" fillId="14" borderId="3" xfId="2" applyNumberFormat="1" applyFont="1" applyFill="1" applyBorder="1" applyAlignment="1" applyProtection="1">
      <alignment vertical="center" shrinkToFit="1"/>
    </xf>
    <xf numFmtId="180" fontId="0" fillId="14" borderId="3" xfId="2" applyNumberFormat="1" applyFont="1" applyFill="1" applyBorder="1" applyAlignment="1" applyProtection="1">
      <alignment vertical="center" shrinkToFit="1"/>
    </xf>
    <xf numFmtId="0" fontId="41" fillId="14" borderId="3" xfId="0" applyNumberFormat="1" applyFont="1" applyFill="1" applyBorder="1" applyAlignment="1" applyProtection="1">
      <alignment horizontal="center" vertical="center" shrinkToFit="1"/>
    </xf>
    <xf numFmtId="9" fontId="13" fillId="13" borderId="3" xfId="0" applyNumberFormat="1" applyFont="1" applyFill="1" applyBorder="1" applyAlignment="1" applyProtection="1">
      <alignment horizontal="center" vertical="center" shrinkToFit="1"/>
    </xf>
    <xf numFmtId="0" fontId="30" fillId="13" borderId="3" xfId="0" applyFont="1" applyFill="1" applyBorder="1" applyAlignment="1" applyProtection="1">
      <alignment horizontal="center" vertical="center" shrinkToFit="1"/>
      <protection locked="0"/>
    </xf>
    <xf numFmtId="0" fontId="11" fillId="5" borderId="3" xfId="10" applyFill="1" applyBorder="1" applyAlignment="1" applyProtection="1">
      <alignment horizontal="center" vertical="center" shrinkToFit="1"/>
      <protection hidden="1"/>
    </xf>
    <xf numFmtId="38" fontId="41" fillId="5" borderId="3" xfId="1" applyFont="1" applyFill="1" applyBorder="1" applyAlignment="1" applyProtection="1">
      <alignment horizontal="right" vertical="center" shrinkToFit="1"/>
    </xf>
    <xf numFmtId="0" fontId="13" fillId="14" borderId="3" xfId="0" applyFont="1" applyFill="1" applyBorder="1" applyAlignment="1" applyProtection="1">
      <alignment horizontal="right" vertical="center"/>
    </xf>
    <xf numFmtId="38" fontId="41" fillId="4" borderId="3" xfId="1" applyFont="1" applyFill="1" applyBorder="1" applyAlignment="1" applyProtection="1">
      <alignment horizontal="right" vertical="center" shrinkToFit="1"/>
    </xf>
    <xf numFmtId="0" fontId="41" fillId="0" borderId="3" xfId="0" applyFont="1" applyFill="1" applyBorder="1" applyAlignment="1" applyProtection="1">
      <alignment vertical="center" shrinkToFit="1"/>
      <protection locked="0"/>
    </xf>
    <xf numFmtId="179" fontId="41" fillId="5" borderId="3" xfId="0" applyNumberFormat="1" applyFont="1" applyFill="1" applyBorder="1" applyAlignment="1" applyProtection="1">
      <alignment horizontal="right" vertical="center" shrinkToFit="1"/>
    </xf>
    <xf numFmtId="9" fontId="41" fillId="0" borderId="3" xfId="7" applyFont="1" applyFill="1" applyBorder="1" applyAlignment="1" applyProtection="1">
      <alignment horizontal="center" vertical="center" shrinkToFit="1"/>
      <protection locked="0"/>
    </xf>
    <xf numFmtId="9" fontId="13" fillId="14" borderId="3" xfId="0" applyNumberFormat="1" applyFont="1" applyFill="1" applyBorder="1" applyAlignment="1" applyProtection="1">
      <alignment horizontal="center" vertical="center" shrinkToFit="1"/>
    </xf>
    <xf numFmtId="0" fontId="31" fillId="14" borderId="3" xfId="0" applyFont="1" applyFill="1" applyBorder="1" applyAlignment="1" applyProtection="1">
      <alignment horizontal="center"/>
    </xf>
    <xf numFmtId="0" fontId="31" fillId="14" borderId="3" xfId="0" applyFont="1" applyFill="1" applyBorder="1" applyAlignment="1" applyProtection="1"/>
    <xf numFmtId="9" fontId="31" fillId="14" borderId="1" xfId="0" applyNumberFormat="1" applyFont="1" applyFill="1" applyBorder="1" applyAlignment="1" applyProtection="1">
      <alignment horizontal="center" wrapText="1"/>
    </xf>
    <xf numFmtId="0" fontId="31" fillId="14" borderId="23" xfId="0" applyFont="1" applyFill="1" applyBorder="1" applyAlignment="1" applyProtection="1">
      <alignment shrinkToFit="1"/>
    </xf>
    <xf numFmtId="0" fontId="31" fillId="14" borderId="2" xfId="0" applyFont="1" applyFill="1" applyBorder="1" applyAlignment="1" applyProtection="1">
      <alignment shrinkToFit="1"/>
    </xf>
    <xf numFmtId="178" fontId="31" fillId="4" borderId="3" xfId="0" applyNumberFormat="1" applyFont="1" applyFill="1" applyBorder="1" applyAlignment="1" applyProtection="1">
      <alignment horizontal="center"/>
    </xf>
    <xf numFmtId="38" fontId="31" fillId="4" borderId="3" xfId="1" applyFont="1" applyFill="1" applyBorder="1" applyAlignment="1" applyProtection="1"/>
    <xf numFmtId="179" fontId="31" fillId="4" borderId="4" xfId="0" applyNumberFormat="1" applyFont="1" applyFill="1" applyBorder="1" applyAlignment="1" applyProtection="1"/>
    <xf numFmtId="0" fontId="31" fillId="14" borderId="3" xfId="0" applyFont="1" applyFill="1" applyBorder="1" applyAlignment="1" applyProtection="1">
      <alignment horizontal="center" shrinkToFit="1"/>
    </xf>
    <xf numFmtId="9" fontId="31" fillId="4" borderId="3" xfId="0" applyNumberFormat="1" applyFont="1" applyFill="1" applyBorder="1" applyAlignment="1" applyProtection="1"/>
    <xf numFmtId="182" fontId="31" fillId="4" borderId="1" xfId="0" applyNumberFormat="1" applyFont="1" applyFill="1" applyBorder="1" applyAlignment="1" applyProtection="1">
      <alignment horizontal="right" wrapText="1"/>
    </xf>
    <xf numFmtId="176" fontId="31" fillId="4" borderId="23" xfId="1" applyNumberFormat="1" applyFont="1" applyFill="1" applyBorder="1" applyAlignment="1" applyProtection="1">
      <alignment horizontal="right"/>
    </xf>
    <xf numFmtId="176" fontId="31" fillId="4" borderId="3" xfId="1" applyNumberFormat="1" applyFont="1" applyFill="1" applyBorder="1" applyAlignment="1" applyProtection="1">
      <alignment horizontal="right"/>
    </xf>
    <xf numFmtId="0" fontId="41" fillId="0" borderId="23" xfId="0" applyFont="1" applyFill="1" applyBorder="1" applyAlignment="1" applyProtection="1">
      <alignment shrinkToFit="1"/>
      <protection locked="0"/>
    </xf>
    <xf numFmtId="2" fontId="41" fillId="0" borderId="23" xfId="0" applyNumberFormat="1" applyFont="1" applyFill="1" applyBorder="1" applyAlignment="1" applyProtection="1">
      <alignment shrinkToFit="1"/>
      <protection locked="0"/>
    </xf>
    <xf numFmtId="0" fontId="41" fillId="0" borderId="3" xfId="0" applyFont="1" applyFill="1" applyBorder="1" applyAlignment="1" applyProtection="1">
      <alignment horizontal="center" shrinkToFit="1"/>
      <protection locked="0"/>
    </xf>
    <xf numFmtId="9" fontId="13" fillId="0" borderId="3" xfId="0" applyNumberFormat="1" applyFont="1" applyFill="1" applyBorder="1" applyAlignment="1" applyProtection="1">
      <alignment horizontal="center" vertical="center" shrinkToFit="1"/>
      <protection locked="0"/>
    </xf>
    <xf numFmtId="38" fontId="41" fillId="0" borderId="3" xfId="1" applyFont="1" applyFill="1" applyBorder="1" applyAlignment="1" applyProtection="1">
      <alignment vertical="center" shrinkToFit="1"/>
      <protection locked="0"/>
    </xf>
    <xf numFmtId="198" fontId="41" fillId="0" borderId="3" xfId="1" applyNumberFormat="1" applyFont="1" applyFill="1" applyBorder="1" applyAlignment="1" applyProtection="1">
      <alignment horizontal="right" vertical="center" shrinkToFit="1"/>
      <protection locked="0"/>
    </xf>
    <xf numFmtId="9" fontId="41" fillId="0" borderId="3" xfId="0" applyNumberFormat="1" applyFont="1" applyFill="1" applyBorder="1" applyAlignment="1" applyProtection="1">
      <alignment horizontal="center" vertical="center" shrinkToFit="1"/>
      <protection locked="0"/>
    </xf>
    <xf numFmtId="38" fontId="41" fillId="0" borderId="3" xfId="1" applyFont="1" applyFill="1" applyBorder="1" applyAlignment="1" applyProtection="1">
      <alignment horizontal="right" vertical="center" shrinkToFit="1"/>
      <protection locked="0"/>
    </xf>
    <xf numFmtId="181" fontId="41" fillId="0" borderId="3" xfId="0" applyNumberFormat="1" applyFont="1" applyFill="1" applyBorder="1" applyAlignment="1" applyProtection="1">
      <alignment horizontal="center" vertical="center" shrinkToFit="1"/>
      <protection locked="0"/>
    </xf>
    <xf numFmtId="176" fontId="13" fillId="14" borderId="3" xfId="0" applyNumberFormat="1" applyFont="1" applyFill="1" applyBorder="1" applyAlignment="1" applyProtection="1">
      <alignment horizontal="center" vertical="center" shrinkToFit="1"/>
    </xf>
    <xf numFmtId="184" fontId="41" fillId="0" borderId="3" xfId="0" applyNumberFormat="1" applyFont="1" applyFill="1" applyBorder="1" applyAlignment="1" applyProtection="1">
      <alignment vertical="center" shrinkToFit="1"/>
      <protection locked="0"/>
    </xf>
    <xf numFmtId="185" fontId="41" fillId="0" borderId="3" xfId="0" applyNumberFormat="1" applyFont="1" applyFill="1" applyBorder="1" applyAlignment="1" applyProtection="1">
      <alignment vertical="center" shrinkToFit="1"/>
      <protection locked="0"/>
    </xf>
    <xf numFmtId="184" fontId="41" fillId="0" borderId="3" xfId="1" applyNumberFormat="1" applyFont="1" applyFill="1" applyBorder="1" applyAlignment="1" applyProtection="1">
      <alignment horizontal="right" vertical="center" shrinkToFit="1"/>
      <protection locked="0"/>
    </xf>
    <xf numFmtId="184" fontId="41" fillId="0" borderId="3" xfId="1" applyNumberFormat="1" applyFont="1" applyFill="1" applyBorder="1" applyAlignment="1" applyProtection="1">
      <alignment vertical="center" shrinkToFit="1"/>
      <protection locked="0"/>
    </xf>
    <xf numFmtId="9" fontId="13" fillId="13" borderId="3" xfId="2" applyFont="1" applyFill="1" applyBorder="1" applyAlignment="1" applyProtection="1">
      <alignment horizontal="center" vertical="center" shrinkToFit="1"/>
    </xf>
    <xf numFmtId="178" fontId="13" fillId="13" borderId="3" xfId="0" applyNumberFormat="1" applyFont="1" applyFill="1" applyBorder="1" applyAlignment="1" applyProtection="1">
      <alignment horizontal="center" vertical="center" shrinkToFit="1"/>
    </xf>
    <xf numFmtId="178" fontId="13" fillId="13" borderId="4" xfId="0" applyNumberFormat="1" applyFont="1" applyFill="1" applyBorder="1" applyAlignment="1" applyProtection="1">
      <alignment horizontal="center" vertical="center" shrinkToFit="1"/>
    </xf>
    <xf numFmtId="0" fontId="41" fillId="0" borderId="0" xfId="0" applyFont="1" applyAlignment="1">
      <alignment horizontal="right"/>
    </xf>
    <xf numFmtId="0" fontId="0" fillId="0" borderId="51" xfId="0" applyFill="1" applyBorder="1" applyAlignment="1">
      <alignment vertical="center"/>
    </xf>
    <xf numFmtId="0" fontId="0" fillId="0" borderId="0" xfId="0" applyAlignment="1">
      <alignment horizontal="left" vertical="center" indent="1"/>
    </xf>
    <xf numFmtId="184" fontId="13" fillId="14" borderId="3" xfId="0" applyNumberFormat="1" applyFont="1" applyFill="1" applyBorder="1" applyAlignment="1" applyProtection="1">
      <alignment horizontal="right" vertical="center" shrinkToFit="1"/>
    </xf>
    <xf numFmtId="185" fontId="13" fillId="14" borderId="3" xfId="0" applyNumberFormat="1" applyFont="1" applyFill="1" applyBorder="1" applyAlignment="1" applyProtection="1">
      <alignment horizontal="right" vertical="center" shrinkToFit="1"/>
    </xf>
    <xf numFmtId="184" fontId="13" fillId="14" borderId="3" xfId="1" applyNumberFormat="1" applyFont="1" applyFill="1" applyBorder="1" applyAlignment="1" applyProtection="1">
      <alignment horizontal="right" vertical="center" shrinkToFit="1"/>
    </xf>
    <xf numFmtId="38" fontId="41" fillId="5" borderId="3" xfId="1" applyFont="1" applyFill="1" applyBorder="1" applyAlignment="1" applyProtection="1">
      <alignment vertical="center" shrinkToFit="1"/>
    </xf>
    <xf numFmtId="9" fontId="13" fillId="0" borderId="1" xfId="0" applyNumberFormat="1" applyFont="1" applyFill="1" applyBorder="1" applyAlignment="1" applyProtection="1">
      <alignment horizontal="center" shrinkToFit="1"/>
      <protection locked="0"/>
    </xf>
    <xf numFmtId="180" fontId="41" fillId="0" borderId="3" xfId="0" applyNumberFormat="1" applyFont="1" applyFill="1" applyBorder="1" applyAlignment="1" applyProtection="1">
      <alignment shrinkToFit="1"/>
      <protection locked="0"/>
    </xf>
    <xf numFmtId="0" fontId="41" fillId="0" borderId="3" xfId="0" applyFont="1" applyFill="1" applyBorder="1" applyAlignment="1" applyProtection="1">
      <alignment shrinkToFit="1"/>
      <protection locked="0"/>
    </xf>
    <xf numFmtId="40" fontId="0" fillId="5" borderId="3" xfId="1" applyNumberFormat="1" applyFont="1" applyFill="1" applyBorder="1" applyAlignment="1" applyProtection="1">
      <alignment horizontal="right" vertical="center" shrinkToFit="1"/>
      <protection locked="0"/>
    </xf>
    <xf numFmtId="9" fontId="0" fillId="13" borderId="3" xfId="0" applyNumberFormat="1" applyFill="1" applyBorder="1" applyAlignment="1" applyProtection="1">
      <alignment vertical="center" shrinkToFit="1"/>
      <protection locked="0"/>
    </xf>
    <xf numFmtId="9" fontId="0" fillId="13" borderId="3" xfId="1" applyNumberFormat="1" applyFont="1" applyFill="1" applyBorder="1" applyAlignment="1" applyProtection="1">
      <alignment horizontal="right" vertical="center" shrinkToFit="1"/>
      <protection locked="0"/>
    </xf>
    <xf numFmtId="0" fontId="41" fillId="5" borderId="3" xfId="0" applyNumberFormat="1" applyFont="1" applyFill="1" applyBorder="1" applyAlignment="1" applyProtection="1">
      <alignment horizontal="center" vertical="center" shrinkToFit="1"/>
    </xf>
    <xf numFmtId="0" fontId="16" fillId="0" borderId="0" xfId="4" applyProtection="1">
      <alignment vertical="center"/>
    </xf>
    <xf numFmtId="0" fontId="41" fillId="0" borderId="0" xfId="4" applyFont="1" applyProtection="1">
      <alignment vertical="center"/>
    </xf>
    <xf numFmtId="187" fontId="16" fillId="0" borderId="0" xfId="4" applyNumberFormat="1" applyProtection="1">
      <alignment vertical="center"/>
    </xf>
    <xf numFmtId="183" fontId="0" fillId="0" borderId="3" xfId="5" applyNumberFormat="1" applyFont="1" applyFill="1" applyBorder="1" applyAlignment="1" applyProtection="1">
      <alignment horizontal="right" vertical="center" shrinkToFit="1"/>
    </xf>
    <xf numFmtId="188" fontId="0" fillId="0" borderId="3" xfId="5" applyNumberFormat="1" applyFont="1" applyFill="1" applyBorder="1" applyAlignment="1" applyProtection="1">
      <alignment vertical="center" shrinkToFit="1"/>
    </xf>
    <xf numFmtId="0" fontId="13" fillId="0" borderId="3" xfId="3" applyFont="1" applyBorder="1" applyProtection="1">
      <alignment vertical="center"/>
    </xf>
    <xf numFmtId="183" fontId="0" fillId="5" borderId="3" xfId="5" applyNumberFormat="1" applyFont="1" applyFill="1" applyBorder="1" applyAlignment="1" applyProtection="1">
      <alignment horizontal="right" vertical="center" shrinkToFit="1"/>
    </xf>
    <xf numFmtId="188" fontId="0" fillId="5" borderId="3" xfId="5" applyNumberFormat="1" applyFont="1" applyFill="1" applyBorder="1" applyAlignment="1" applyProtection="1">
      <alignment vertical="center" shrinkToFit="1"/>
    </xf>
    <xf numFmtId="0" fontId="13" fillId="5" borderId="3" xfId="3" applyFont="1" applyFill="1" applyBorder="1" applyProtection="1">
      <alignment vertical="center"/>
    </xf>
    <xf numFmtId="189" fontId="0" fillId="0" borderId="3" xfId="5" applyNumberFormat="1" applyFont="1" applyFill="1" applyBorder="1" applyAlignment="1" applyProtection="1">
      <alignment horizontal="right" vertical="center" shrinkToFit="1"/>
    </xf>
    <xf numFmtId="0" fontId="13" fillId="0" borderId="3" xfId="3" applyFont="1" applyFill="1" applyBorder="1" applyProtection="1">
      <alignment vertical="center"/>
    </xf>
    <xf numFmtId="190" fontId="0" fillId="0" borderId="3" xfId="5" applyNumberFormat="1" applyFont="1" applyFill="1" applyBorder="1" applyAlignment="1" applyProtection="1">
      <alignment vertical="center" shrinkToFit="1"/>
    </xf>
    <xf numFmtId="0" fontId="13" fillId="5" borderId="3" xfId="6" applyFont="1" applyFill="1" applyBorder="1" applyAlignment="1" applyProtection="1">
      <alignment vertical="center" wrapText="1" shrinkToFit="1"/>
    </xf>
    <xf numFmtId="189" fontId="61" fillId="5" borderId="3" xfId="5" applyNumberFormat="1" applyFont="1" applyFill="1" applyBorder="1" applyAlignment="1" applyProtection="1">
      <alignment horizontal="right" vertical="center" shrinkToFit="1"/>
    </xf>
    <xf numFmtId="189" fontId="23" fillId="5" borderId="3" xfId="5" applyNumberFormat="1" applyFont="1" applyFill="1" applyBorder="1" applyAlignment="1" applyProtection="1">
      <alignment horizontal="right" vertical="center" shrinkToFit="1"/>
    </xf>
    <xf numFmtId="0" fontId="16" fillId="0" borderId="0" xfId="4" applyProtection="1">
      <alignment vertical="center"/>
      <protection locked="0"/>
    </xf>
    <xf numFmtId="187" fontId="16" fillId="0" borderId="0" xfId="4" applyNumberFormat="1" applyProtection="1">
      <alignment vertical="center"/>
      <protection locked="0"/>
    </xf>
    <xf numFmtId="0" fontId="0" fillId="2" borderId="10" xfId="0" applyFill="1" applyBorder="1" applyAlignment="1" applyProtection="1"/>
    <xf numFmtId="0" fontId="41" fillId="0" borderId="10" xfId="0" applyFont="1" applyFill="1" applyBorder="1" applyAlignment="1" applyProtection="1">
      <alignment vertical="center" shrinkToFit="1"/>
      <protection locked="0"/>
    </xf>
    <xf numFmtId="0" fontId="41" fillId="0" borderId="10" xfId="0" applyFont="1" applyFill="1" applyBorder="1" applyAlignment="1" applyProtection="1">
      <alignment horizontal="center" vertical="center" shrinkToFit="1"/>
      <protection locked="0"/>
    </xf>
    <xf numFmtId="9" fontId="41" fillId="0" borderId="10" xfId="7" applyFont="1" applyFill="1" applyBorder="1" applyAlignment="1" applyProtection="1">
      <alignment horizontal="center" vertical="center" shrinkToFit="1"/>
      <protection locked="0"/>
    </xf>
    <xf numFmtId="184" fontId="41" fillId="0" borderId="10" xfId="0" applyNumberFormat="1" applyFont="1" applyFill="1" applyBorder="1" applyAlignment="1" applyProtection="1">
      <alignment vertical="center" shrinkToFit="1"/>
      <protection locked="0"/>
    </xf>
    <xf numFmtId="185" fontId="41" fillId="0" borderId="10" xfId="0" applyNumberFormat="1" applyFont="1" applyFill="1" applyBorder="1" applyAlignment="1" applyProtection="1">
      <alignment vertical="center" shrinkToFit="1"/>
      <protection locked="0"/>
    </xf>
    <xf numFmtId="38" fontId="41" fillId="0" borderId="10" xfId="1" applyFont="1" applyFill="1" applyBorder="1" applyAlignment="1" applyProtection="1">
      <alignment horizontal="right" vertical="center" shrinkToFit="1"/>
      <protection locked="0"/>
    </xf>
    <xf numFmtId="184" fontId="41" fillId="0" borderId="10" xfId="1" applyNumberFormat="1" applyFont="1" applyFill="1" applyBorder="1" applyAlignment="1" applyProtection="1">
      <alignment horizontal="right" vertical="center" shrinkToFit="1"/>
      <protection locked="0"/>
    </xf>
    <xf numFmtId="38" fontId="41" fillId="5" borderId="10" xfId="1" applyFont="1" applyFill="1" applyBorder="1" applyAlignment="1" applyProtection="1">
      <alignment horizontal="right" vertical="center" shrinkToFit="1"/>
    </xf>
    <xf numFmtId="179" fontId="41" fillId="5" borderId="10" xfId="0" applyNumberFormat="1" applyFont="1" applyFill="1" applyBorder="1" applyAlignment="1" applyProtection="1">
      <alignment horizontal="right" vertical="center" shrinkToFit="1"/>
    </xf>
    <xf numFmtId="184" fontId="41" fillId="0" borderId="10" xfId="1" applyNumberFormat="1" applyFont="1" applyFill="1" applyBorder="1" applyAlignment="1" applyProtection="1">
      <alignment vertical="center" shrinkToFit="1"/>
      <protection locked="0"/>
    </xf>
    <xf numFmtId="38" fontId="41" fillId="5" borderId="12" xfId="1" applyFont="1" applyFill="1" applyBorder="1" applyAlignment="1" applyProtection="1">
      <alignment horizontal="right" vertical="center" shrinkToFit="1"/>
    </xf>
    <xf numFmtId="179" fontId="41" fillId="5" borderId="12" xfId="0" applyNumberFormat="1" applyFont="1" applyFill="1" applyBorder="1" applyAlignment="1" applyProtection="1">
      <alignment horizontal="right" vertical="center" shrinkToFit="1"/>
    </xf>
    <xf numFmtId="38" fontId="41" fillId="5" borderId="61" xfId="1" applyFont="1" applyFill="1" applyBorder="1" applyAlignment="1" applyProtection="1">
      <alignment horizontal="right" vertical="center"/>
    </xf>
    <xf numFmtId="179" fontId="41" fillId="5" borderId="12" xfId="0" applyNumberFormat="1" applyFont="1" applyFill="1" applyBorder="1" applyAlignment="1" applyProtection="1">
      <alignment horizontal="right" vertical="center"/>
    </xf>
    <xf numFmtId="182" fontId="41" fillId="5" borderId="12" xfId="0" applyNumberFormat="1" applyFont="1" applyFill="1" applyBorder="1" applyAlignment="1" applyProtection="1">
      <alignment horizontal="right" vertical="center"/>
    </xf>
    <xf numFmtId="0" fontId="0" fillId="0" borderId="10" xfId="0" applyFill="1" applyBorder="1" applyAlignment="1" applyProtection="1">
      <alignment horizontal="center" vertical="center" shrinkToFit="1"/>
      <protection locked="0"/>
    </xf>
    <xf numFmtId="38" fontId="13" fillId="5" borderId="10" xfId="1" applyFont="1" applyFill="1" applyBorder="1" applyAlignment="1" applyProtection="1">
      <alignment horizontal="right" vertical="center" shrinkToFit="1"/>
    </xf>
    <xf numFmtId="38" fontId="41" fillId="5" borderId="10" xfId="1" applyFont="1" applyFill="1" applyBorder="1" applyAlignment="1" applyProtection="1">
      <alignment vertical="center" shrinkToFit="1"/>
    </xf>
    <xf numFmtId="179" fontId="13" fillId="5" borderId="10" xfId="0" applyNumberFormat="1" applyFont="1" applyFill="1" applyBorder="1" applyAlignment="1" applyProtection="1">
      <alignment horizontal="right" vertical="center" shrinkToFit="1"/>
    </xf>
    <xf numFmtId="38" fontId="41" fillId="5" borderId="61" xfId="1" applyFont="1" applyFill="1" applyBorder="1" applyAlignment="1" applyProtection="1">
      <alignment horizontal="right" vertical="center" shrinkToFit="1"/>
    </xf>
    <xf numFmtId="38" fontId="13" fillId="5" borderId="12" xfId="1" applyFont="1" applyFill="1" applyBorder="1" applyAlignment="1" applyProtection="1">
      <alignment horizontal="right" vertical="center" shrinkToFit="1"/>
    </xf>
    <xf numFmtId="182" fontId="41" fillId="5" borderId="12" xfId="0" applyNumberFormat="1" applyFont="1" applyFill="1" applyBorder="1" applyAlignment="1" applyProtection="1">
      <alignment horizontal="right" vertical="center" shrinkToFit="1"/>
    </xf>
    <xf numFmtId="0" fontId="41" fillId="0" borderId="10" xfId="0" applyFont="1" applyFill="1" applyBorder="1" applyAlignment="1" applyProtection="1">
      <alignment shrinkToFit="1"/>
      <protection locked="0"/>
    </xf>
    <xf numFmtId="9" fontId="13" fillId="0" borderId="6" xfId="0" applyNumberFormat="1" applyFont="1" applyFill="1" applyBorder="1" applyAlignment="1" applyProtection="1">
      <alignment horizontal="center" shrinkToFit="1"/>
      <protection locked="0"/>
    </xf>
    <xf numFmtId="0" fontId="41" fillId="0" borderId="38" xfId="0" applyFont="1" applyFill="1" applyBorder="1" applyAlignment="1" applyProtection="1">
      <alignment shrinkToFit="1"/>
      <protection locked="0"/>
    </xf>
    <xf numFmtId="180" fontId="41" fillId="0" borderId="10" xfId="0" applyNumberFormat="1" applyFont="1" applyFill="1" applyBorder="1" applyAlignment="1" applyProtection="1">
      <alignment shrinkToFit="1"/>
      <protection locked="0"/>
    </xf>
    <xf numFmtId="2" fontId="41" fillId="0" borderId="38" xfId="0" applyNumberFormat="1" applyFont="1" applyFill="1" applyBorder="1" applyAlignment="1" applyProtection="1">
      <alignment shrinkToFit="1"/>
      <protection locked="0"/>
    </xf>
    <xf numFmtId="0" fontId="41" fillId="0" borderId="10" xfId="0" applyFont="1" applyFill="1" applyBorder="1" applyAlignment="1" applyProtection="1">
      <alignment horizontal="center" shrinkToFit="1"/>
      <protection locked="0"/>
    </xf>
    <xf numFmtId="0" fontId="0" fillId="2" borderId="12" xfId="0" applyFill="1" applyBorder="1" applyAlignment="1" applyProtection="1">
      <alignment horizontal="left" vertical="center" shrinkToFit="1"/>
    </xf>
    <xf numFmtId="0" fontId="0" fillId="2" borderId="12" xfId="0" applyFill="1" applyBorder="1" applyAlignment="1" applyProtection="1">
      <alignment vertical="center" shrinkToFit="1"/>
    </xf>
    <xf numFmtId="0" fontId="41" fillId="5" borderId="61" xfId="0" applyFont="1" applyFill="1" applyBorder="1" applyAlignment="1" applyProtection="1">
      <alignment horizontal="right" vertical="center"/>
    </xf>
    <xf numFmtId="0" fontId="41" fillId="5" borderId="12" xfId="0" applyFont="1" applyFill="1" applyBorder="1" applyAlignment="1" applyProtection="1">
      <alignment horizontal="right" vertical="center"/>
    </xf>
    <xf numFmtId="184" fontId="41" fillId="5" borderId="12" xfId="0" applyNumberFormat="1" applyFont="1" applyFill="1" applyBorder="1" applyAlignment="1" applyProtection="1">
      <alignment horizontal="right" vertical="center"/>
    </xf>
    <xf numFmtId="0" fontId="41" fillId="5" borderId="61" xfId="0" applyFont="1" applyFill="1" applyBorder="1" applyAlignment="1" applyProtection="1">
      <alignment horizontal="right" vertical="center" shrinkToFit="1"/>
    </xf>
    <xf numFmtId="0" fontId="0" fillId="5" borderId="61" xfId="0" applyFill="1" applyBorder="1" applyAlignment="1" applyProtection="1">
      <alignment horizontal="right" vertical="center" shrinkToFit="1"/>
    </xf>
    <xf numFmtId="0" fontId="41" fillId="5" borderId="12" xfId="0" applyFont="1" applyFill="1" applyBorder="1" applyAlignment="1" applyProtection="1">
      <alignment horizontal="right" vertical="center" shrinkToFit="1"/>
    </xf>
    <xf numFmtId="184" fontId="41" fillId="5" borderId="12" xfId="0" applyNumberFormat="1" applyFont="1" applyFill="1" applyBorder="1" applyAlignment="1" applyProtection="1">
      <alignment horizontal="right" vertical="center" shrinkToFit="1"/>
    </xf>
    <xf numFmtId="0" fontId="0" fillId="5" borderId="12" xfId="0" applyFill="1" applyBorder="1" applyProtection="1">
      <alignment vertical="center"/>
    </xf>
    <xf numFmtId="38" fontId="0" fillId="5" borderId="12" xfId="1" applyFont="1" applyFill="1" applyBorder="1" applyProtection="1">
      <alignment vertical="center"/>
    </xf>
    <xf numFmtId="0" fontId="0" fillId="5" borderId="65" xfId="0" applyFill="1" applyBorder="1" applyProtection="1">
      <alignment vertical="center"/>
    </xf>
    <xf numFmtId="38" fontId="0" fillId="5" borderId="65" xfId="1" applyFont="1" applyFill="1" applyBorder="1" applyProtection="1">
      <alignment vertical="center"/>
    </xf>
    <xf numFmtId="38" fontId="0" fillId="5" borderId="66" xfId="1" applyFont="1" applyFill="1" applyBorder="1" applyProtection="1">
      <alignment vertical="center"/>
    </xf>
    <xf numFmtId="0" fontId="0" fillId="0" borderId="43" xfId="0" applyFill="1" applyBorder="1">
      <alignment vertical="center"/>
    </xf>
    <xf numFmtId="0" fontId="0" fillId="2" borderId="10" xfId="0" applyFill="1" applyBorder="1" applyAlignment="1" applyProtection="1">
      <alignment shrinkToFit="1"/>
    </xf>
    <xf numFmtId="184" fontId="0" fillId="0" borderId="10" xfId="0" applyNumberFormat="1" applyFill="1" applyBorder="1" applyAlignment="1" applyProtection="1">
      <alignment vertical="center" shrinkToFit="1"/>
      <protection locked="0"/>
    </xf>
    <xf numFmtId="0" fontId="0" fillId="0" borderId="10" xfId="0" applyFill="1" applyBorder="1" applyAlignment="1" applyProtection="1">
      <alignment vertical="center" shrinkToFit="1"/>
      <protection locked="0"/>
    </xf>
    <xf numFmtId="185" fontId="9" fillId="0" borderId="10" xfId="0" applyNumberFormat="1" applyFont="1" applyFill="1" applyBorder="1" applyAlignment="1" applyProtection="1">
      <alignment horizontal="center" vertical="center" shrinkToFit="1"/>
      <protection locked="0"/>
    </xf>
    <xf numFmtId="177" fontId="0" fillId="0" borderId="10" xfId="0" applyNumberFormat="1" applyFill="1" applyBorder="1" applyAlignment="1" applyProtection="1">
      <alignment vertical="center" shrinkToFit="1"/>
      <protection locked="0"/>
    </xf>
    <xf numFmtId="38" fontId="0" fillId="5" borderId="10" xfId="1" applyFont="1" applyFill="1" applyBorder="1" applyAlignment="1" applyProtection="1">
      <alignment horizontal="right" vertical="center" shrinkToFit="1"/>
    </xf>
    <xf numFmtId="178" fontId="0" fillId="0" borderId="10" xfId="2" applyNumberFormat="1" applyFont="1" applyFill="1" applyBorder="1" applyAlignment="1" applyProtection="1">
      <alignment vertical="center" shrinkToFit="1"/>
      <protection locked="0"/>
    </xf>
    <xf numFmtId="186" fontId="0" fillId="0" borderId="10" xfId="2" applyNumberFormat="1" applyFont="1" applyFill="1" applyBorder="1" applyAlignment="1" applyProtection="1">
      <alignment vertical="center" shrinkToFit="1"/>
      <protection locked="0"/>
    </xf>
    <xf numFmtId="180" fontId="0" fillId="0" borderId="10" xfId="2" applyNumberFormat="1" applyFont="1" applyFill="1" applyBorder="1" applyAlignment="1" applyProtection="1">
      <alignment vertical="center" shrinkToFit="1"/>
      <protection locked="0"/>
    </xf>
    <xf numFmtId="38" fontId="0" fillId="0" borderId="10" xfId="1" applyFont="1" applyFill="1" applyBorder="1" applyAlignment="1" applyProtection="1">
      <alignment vertical="center" shrinkToFit="1"/>
    </xf>
    <xf numFmtId="9" fontId="0" fillId="0" borderId="10" xfId="0" applyNumberFormat="1" applyFill="1" applyBorder="1" applyAlignment="1" applyProtection="1">
      <alignment vertical="center" shrinkToFit="1"/>
      <protection locked="0"/>
    </xf>
    <xf numFmtId="38" fontId="0" fillId="5" borderId="10" xfId="1" applyFont="1" applyFill="1" applyBorder="1" applyAlignment="1" applyProtection="1">
      <alignment vertical="center" shrinkToFit="1"/>
    </xf>
    <xf numFmtId="0" fontId="0" fillId="5" borderId="61" xfId="0" applyFill="1" applyBorder="1" applyAlignment="1" applyProtection="1">
      <alignment horizontal="right" vertical="center" wrapText="1" shrinkToFit="1"/>
    </xf>
    <xf numFmtId="184" fontId="0" fillId="5" borderId="12" xfId="0" applyNumberFormat="1" applyFill="1" applyBorder="1" applyAlignment="1" applyProtection="1">
      <alignment horizontal="right" vertical="center" shrinkToFit="1"/>
    </xf>
    <xf numFmtId="0" fontId="0" fillId="5" borderId="12" xfId="0" applyFill="1" applyBorder="1" applyAlignment="1" applyProtection="1">
      <alignment horizontal="right" vertical="center" shrinkToFit="1"/>
    </xf>
    <xf numFmtId="185" fontId="0" fillId="5" borderId="12" xfId="0" applyNumberFormat="1" applyFill="1" applyBorder="1" applyAlignment="1" applyProtection="1">
      <alignment horizontal="right" vertical="center" shrinkToFit="1"/>
    </xf>
    <xf numFmtId="38" fontId="0" fillId="5" borderId="61" xfId="1" applyFont="1" applyFill="1" applyBorder="1" applyAlignment="1" applyProtection="1">
      <alignment horizontal="right" vertical="center" shrinkToFit="1"/>
    </xf>
    <xf numFmtId="38" fontId="0" fillId="5" borderId="12" xfId="1" applyFont="1" applyFill="1" applyBorder="1" applyAlignment="1" applyProtection="1">
      <alignment horizontal="right" vertical="center" shrinkToFit="1"/>
    </xf>
    <xf numFmtId="182" fontId="0" fillId="5" borderId="12" xfId="0" applyNumberFormat="1" applyFill="1" applyBorder="1" applyAlignment="1" applyProtection="1">
      <alignment horizontal="right" vertical="center" shrinkToFit="1"/>
    </xf>
    <xf numFmtId="38" fontId="36" fillId="0" borderId="0" xfId="1" applyFont="1" applyBorder="1" applyAlignment="1" applyProtection="1">
      <alignment vertical="center" shrinkToFit="1"/>
    </xf>
    <xf numFmtId="9" fontId="0" fillId="0" borderId="10" xfId="2" applyNumberFormat="1" applyFont="1" applyFill="1" applyBorder="1" applyAlignment="1" applyProtection="1">
      <alignment vertical="center" shrinkToFit="1"/>
      <protection locked="0"/>
    </xf>
    <xf numFmtId="179" fontId="0" fillId="16" borderId="10" xfId="0" applyNumberFormat="1" applyFill="1" applyBorder="1" applyAlignment="1" applyProtection="1">
      <alignment horizontal="center" vertical="center" shrinkToFit="1"/>
      <protection locked="0"/>
    </xf>
    <xf numFmtId="0" fontId="0" fillId="2" borderId="12" xfId="0" applyFill="1" applyBorder="1" applyAlignment="1" applyProtection="1">
      <alignment horizontal="center" shrinkToFit="1"/>
    </xf>
    <xf numFmtId="0" fontId="0" fillId="2" borderId="3" xfId="0" applyFill="1" applyBorder="1" applyAlignment="1" applyProtection="1">
      <alignment vertical="center" shrinkToFit="1"/>
    </xf>
    <xf numFmtId="0" fontId="0" fillId="5" borderId="61" xfId="0" applyFill="1" applyBorder="1" applyAlignment="1" applyProtection="1">
      <alignment vertical="center" shrinkToFit="1"/>
    </xf>
    <xf numFmtId="0" fontId="0" fillId="5" borderId="61" xfId="0" applyFill="1" applyBorder="1" applyAlignment="1" applyProtection="1">
      <alignment horizontal="center" vertical="center" shrinkToFit="1"/>
    </xf>
    <xf numFmtId="9" fontId="0" fillId="5" borderId="61" xfId="0" applyNumberFormat="1" applyFill="1" applyBorder="1" applyAlignment="1" applyProtection="1">
      <alignment horizontal="right" vertical="center" shrinkToFit="1"/>
    </xf>
    <xf numFmtId="179" fontId="0" fillId="5" borderId="61" xfId="0" applyNumberFormat="1" applyFill="1" applyBorder="1" applyAlignment="1" applyProtection="1">
      <alignment horizontal="right" vertical="center" shrinkToFit="1"/>
    </xf>
    <xf numFmtId="185" fontId="41" fillId="5" borderId="61" xfId="0" applyNumberFormat="1" applyFont="1" applyFill="1" applyBorder="1" applyAlignment="1" applyProtection="1">
      <alignment horizontal="right" vertical="center"/>
    </xf>
    <xf numFmtId="185" fontId="41" fillId="5" borderId="61" xfId="0" applyNumberFormat="1" applyFont="1" applyFill="1" applyBorder="1" applyAlignment="1" applyProtection="1">
      <alignment horizontal="right" vertical="center" shrinkToFit="1"/>
    </xf>
    <xf numFmtId="0" fontId="0" fillId="5" borderId="61" xfId="0" applyFill="1" applyBorder="1" applyProtection="1">
      <alignment vertical="center"/>
    </xf>
    <xf numFmtId="0" fontId="0" fillId="5" borderId="67" xfId="0" applyFill="1" applyBorder="1" applyProtection="1">
      <alignment vertical="center"/>
    </xf>
    <xf numFmtId="0" fontId="0" fillId="5" borderId="69" xfId="0" applyFill="1" applyBorder="1" applyProtection="1">
      <alignment vertical="center"/>
    </xf>
    <xf numFmtId="38" fontId="0" fillId="5" borderId="61" xfId="1" applyFont="1" applyFill="1" applyBorder="1" applyProtection="1">
      <alignment vertical="center"/>
    </xf>
    <xf numFmtId="180" fontId="41" fillId="0" borderId="10" xfId="0" applyNumberFormat="1" applyFont="1" applyFill="1" applyBorder="1" applyAlignment="1" applyProtection="1">
      <alignment horizontal="center" vertical="center" shrinkToFit="1"/>
      <protection locked="0"/>
    </xf>
    <xf numFmtId="178" fontId="41" fillId="5" borderId="10" xfId="0" applyNumberFormat="1" applyFont="1" applyFill="1" applyBorder="1" applyAlignment="1">
      <alignment horizontal="center" vertical="center" shrinkToFit="1"/>
    </xf>
    <xf numFmtId="178" fontId="41" fillId="16" borderId="10" xfId="0" applyNumberFormat="1" applyFont="1" applyFill="1" applyBorder="1" applyAlignment="1" applyProtection="1">
      <alignment horizontal="center" vertical="center" shrinkToFit="1"/>
      <protection locked="0"/>
    </xf>
    <xf numFmtId="0" fontId="41" fillId="5" borderId="10" xfId="0" applyNumberFormat="1" applyFont="1" applyFill="1" applyBorder="1" applyAlignment="1" applyProtection="1">
      <alignment horizontal="center" vertical="center" shrinkToFit="1"/>
    </xf>
    <xf numFmtId="9" fontId="41" fillId="16" borderId="10" xfId="7" applyFont="1" applyFill="1" applyBorder="1" applyAlignment="1" applyProtection="1">
      <alignment horizontal="center" vertical="center" shrinkToFit="1"/>
      <protection locked="0"/>
    </xf>
    <xf numFmtId="38" fontId="13" fillId="5" borderId="10" xfId="1" applyFont="1" applyFill="1" applyBorder="1" applyAlignment="1" applyProtection="1">
      <alignment horizontal="center" vertical="center" shrinkToFit="1"/>
    </xf>
    <xf numFmtId="181" fontId="41" fillId="5" borderId="6" xfId="0" applyNumberFormat="1" applyFont="1" applyFill="1" applyBorder="1" applyAlignment="1" applyProtection="1">
      <alignment horizontal="center" vertical="center" shrinkToFit="1"/>
    </xf>
    <xf numFmtId="2" fontId="41" fillId="0" borderId="38" xfId="0" applyNumberFormat="1" applyFont="1" applyFill="1" applyBorder="1" applyAlignment="1" applyProtection="1">
      <alignment horizontal="center" vertical="center" shrinkToFit="1"/>
      <protection locked="0"/>
    </xf>
    <xf numFmtId="9" fontId="41" fillId="16" borderId="10" xfId="2" applyFont="1" applyFill="1" applyBorder="1" applyAlignment="1" applyProtection="1">
      <alignment horizontal="center" vertical="center" shrinkToFit="1"/>
      <protection locked="0"/>
    </xf>
    <xf numFmtId="176" fontId="41" fillId="5" borderId="38" xfId="1" applyNumberFormat="1" applyFont="1" applyFill="1" applyBorder="1" applyAlignment="1">
      <alignment horizontal="center" vertical="center" shrinkToFit="1"/>
    </xf>
    <xf numFmtId="177" fontId="41" fillId="5" borderId="10" xfId="0" applyNumberFormat="1" applyFont="1" applyFill="1" applyBorder="1" applyAlignment="1">
      <alignment horizontal="center" vertical="center" shrinkToFit="1"/>
    </xf>
    <xf numFmtId="0" fontId="41" fillId="2" borderId="12" xfId="0" applyFont="1" applyFill="1" applyBorder="1" applyAlignment="1" applyProtection="1">
      <alignment horizontal="center" vertical="center" shrinkToFit="1"/>
    </xf>
    <xf numFmtId="38" fontId="13" fillId="5" borderId="12" xfId="1" applyFont="1" applyFill="1" applyBorder="1" applyAlignment="1" applyProtection="1">
      <alignment horizontal="center" vertical="center" shrinkToFit="1"/>
    </xf>
    <xf numFmtId="182" fontId="41" fillId="5" borderId="63" xfId="0" applyNumberFormat="1" applyFont="1" applyFill="1" applyBorder="1" applyAlignment="1" applyProtection="1">
      <alignment horizontal="center" vertical="center" shrinkToFit="1"/>
    </xf>
    <xf numFmtId="176" fontId="41" fillId="5" borderId="64" xfId="1" applyNumberFormat="1" applyFont="1" applyFill="1" applyBorder="1" applyAlignment="1" applyProtection="1">
      <alignment horizontal="center" vertical="center" shrinkToFit="1"/>
    </xf>
    <xf numFmtId="177" fontId="41" fillId="5" borderId="12" xfId="0" applyNumberFormat="1" applyFont="1" applyFill="1" applyBorder="1" applyAlignment="1" applyProtection="1">
      <alignment horizontal="center" vertical="center" shrinkToFit="1"/>
    </xf>
    <xf numFmtId="0" fontId="41" fillId="5" borderId="61" xfId="0" applyFont="1" applyFill="1" applyBorder="1" applyAlignment="1">
      <alignment horizontal="center" vertical="center" shrinkToFit="1"/>
    </xf>
    <xf numFmtId="0" fontId="41" fillId="5" borderId="62" xfId="0" applyFont="1" applyFill="1" applyBorder="1" applyAlignment="1">
      <alignment horizontal="center" vertical="center" shrinkToFit="1"/>
    </xf>
    <xf numFmtId="0" fontId="41" fillId="5" borderId="12" xfId="0" applyFont="1" applyFill="1" applyBorder="1" applyAlignment="1">
      <alignment horizontal="center" vertical="center" shrinkToFit="1"/>
    </xf>
    <xf numFmtId="179" fontId="41" fillId="5" borderId="63" xfId="0" applyNumberFormat="1" applyFont="1" applyFill="1" applyBorder="1" applyAlignment="1" applyProtection="1">
      <alignment horizontal="center" vertical="center" shrinkToFit="1"/>
    </xf>
    <xf numFmtId="0" fontId="41" fillId="5" borderId="69" xfId="0" applyFont="1" applyFill="1" applyBorder="1" applyAlignment="1" applyProtection="1">
      <alignment horizontal="center" vertical="center" shrinkToFit="1"/>
    </xf>
    <xf numFmtId="40" fontId="0" fillId="5" borderId="10" xfId="1" applyNumberFormat="1" applyFont="1" applyFill="1" applyBorder="1" applyAlignment="1" applyProtection="1">
      <alignment horizontal="right" vertical="center" shrinkToFit="1"/>
      <protection locked="0"/>
    </xf>
    <xf numFmtId="38" fontId="0" fillId="0" borderId="10" xfId="1" applyFont="1" applyFill="1" applyBorder="1" applyAlignment="1" applyProtection="1">
      <alignment vertical="center" shrinkToFit="1"/>
      <protection locked="0"/>
    </xf>
    <xf numFmtId="9" fontId="0" fillId="13" borderId="10" xfId="0" applyNumberFormat="1" applyFill="1" applyBorder="1" applyAlignment="1" applyProtection="1">
      <alignment vertical="center" shrinkToFit="1"/>
      <protection locked="0"/>
    </xf>
    <xf numFmtId="38" fontId="0" fillId="0" borderId="10" xfId="1" applyFont="1" applyFill="1" applyBorder="1" applyAlignment="1" applyProtection="1">
      <alignment horizontal="right" vertical="center" shrinkToFit="1"/>
      <protection locked="0"/>
    </xf>
    <xf numFmtId="9" fontId="0" fillId="13" borderId="10" xfId="1" applyNumberFormat="1" applyFont="1" applyFill="1" applyBorder="1" applyAlignment="1" applyProtection="1">
      <alignment horizontal="right" vertical="center" shrinkToFit="1"/>
      <protection locked="0"/>
    </xf>
    <xf numFmtId="38" fontId="13" fillId="0" borderId="10" xfId="1" applyFont="1" applyFill="1" applyBorder="1" applyAlignment="1" applyProtection="1">
      <alignment horizontal="right" vertical="center" shrinkToFit="1"/>
      <protection locked="0"/>
    </xf>
    <xf numFmtId="0" fontId="0" fillId="5" borderId="12" xfId="0" applyFill="1" applyBorder="1" applyAlignment="1" applyProtection="1">
      <alignment horizontal="center" vertical="center" shrinkToFit="1"/>
    </xf>
    <xf numFmtId="184" fontId="0" fillId="5" borderId="61" xfId="0" applyNumberFormat="1" applyFill="1" applyBorder="1" applyAlignment="1" applyProtection="1">
      <alignment horizontal="right" vertical="center" shrinkToFit="1"/>
    </xf>
    <xf numFmtId="185" fontId="0" fillId="5" borderId="61" xfId="0" applyNumberFormat="1" applyFill="1" applyBorder="1" applyAlignment="1" applyProtection="1">
      <alignment horizontal="right" vertical="center" shrinkToFit="1"/>
    </xf>
    <xf numFmtId="177" fontId="0" fillId="5" borderId="61" xfId="0" applyNumberFormat="1" applyFill="1" applyBorder="1" applyAlignment="1" applyProtection="1">
      <alignment horizontal="right" vertical="center" shrinkToFit="1"/>
    </xf>
    <xf numFmtId="176" fontId="13" fillId="0" borderId="10" xfId="0" applyNumberFormat="1" applyFont="1" applyFill="1" applyBorder="1" applyAlignment="1" applyProtection="1">
      <alignment horizontal="center" vertical="center" shrinkToFit="1"/>
      <protection locked="0"/>
    </xf>
    <xf numFmtId="9" fontId="13" fillId="0" borderId="10" xfId="0" applyNumberFormat="1" applyFont="1" applyFill="1" applyBorder="1" applyAlignment="1" applyProtection="1">
      <alignment horizontal="center" vertical="center" shrinkToFit="1"/>
      <protection locked="0"/>
    </xf>
    <xf numFmtId="38" fontId="41" fillId="0" borderId="10" xfId="1" applyFont="1" applyFill="1" applyBorder="1" applyAlignment="1" applyProtection="1">
      <alignment vertical="center" shrinkToFit="1"/>
      <protection locked="0"/>
    </xf>
    <xf numFmtId="198" fontId="41" fillId="0" borderId="10" xfId="1" applyNumberFormat="1" applyFont="1" applyFill="1" applyBorder="1" applyAlignment="1" applyProtection="1">
      <alignment horizontal="right" vertical="center" shrinkToFit="1"/>
      <protection locked="0"/>
    </xf>
    <xf numFmtId="9" fontId="41" fillId="0" borderId="10" xfId="0" applyNumberFormat="1" applyFont="1" applyFill="1" applyBorder="1" applyAlignment="1" applyProtection="1">
      <alignment horizontal="center" vertical="center" shrinkToFit="1"/>
      <protection locked="0"/>
    </xf>
    <xf numFmtId="178" fontId="13" fillId="5" borderId="10" xfId="1" applyNumberFormat="1" applyFont="1" applyFill="1" applyBorder="1" applyAlignment="1" applyProtection="1">
      <alignment horizontal="right" vertical="center" shrinkToFit="1"/>
    </xf>
    <xf numFmtId="178" fontId="13" fillId="5" borderId="10" xfId="0" applyNumberFormat="1" applyFont="1" applyFill="1" applyBorder="1" applyAlignment="1" applyProtection="1">
      <alignment horizontal="right" vertical="center" shrinkToFit="1"/>
    </xf>
    <xf numFmtId="178" fontId="13" fillId="0" borderId="10" xfId="0" applyNumberFormat="1" applyFont="1" applyFill="1" applyBorder="1" applyAlignment="1" applyProtection="1">
      <alignment horizontal="right" vertical="center" shrinkToFit="1"/>
      <protection locked="0"/>
    </xf>
    <xf numFmtId="181" fontId="41" fillId="0" borderId="10" xfId="0" applyNumberFormat="1" applyFont="1" applyFill="1" applyBorder="1" applyAlignment="1" applyProtection="1">
      <alignment horizontal="center" vertical="center" shrinkToFit="1"/>
      <protection locked="0"/>
    </xf>
    <xf numFmtId="178" fontId="13" fillId="5" borderId="12" xfId="1" applyNumberFormat="1" applyFont="1" applyFill="1" applyBorder="1" applyAlignment="1" applyProtection="1">
      <alignment horizontal="right" vertical="center" shrinkToFit="1"/>
    </xf>
    <xf numFmtId="178" fontId="13" fillId="5" borderId="12" xfId="0" applyNumberFormat="1" applyFont="1" applyFill="1" applyBorder="1" applyAlignment="1" applyProtection="1">
      <alignment horizontal="right" vertical="center" shrinkToFit="1"/>
    </xf>
    <xf numFmtId="9" fontId="0" fillId="5" borderId="61" xfId="0" applyNumberFormat="1" applyFill="1" applyBorder="1" applyAlignment="1" applyProtection="1">
      <alignment horizontal="center" vertical="center" shrinkToFit="1"/>
    </xf>
    <xf numFmtId="184" fontId="0" fillId="16" borderId="10" xfId="1" applyNumberFormat="1" applyFont="1" applyFill="1" applyBorder="1" applyAlignment="1" applyProtection="1">
      <alignment horizontal="center" vertical="center" shrinkToFit="1"/>
      <protection locked="0"/>
    </xf>
    <xf numFmtId="184" fontId="0" fillId="16" borderId="3" xfId="1" applyNumberFormat="1" applyFont="1" applyFill="1" applyBorder="1" applyAlignment="1" applyProtection="1">
      <alignment horizontal="center" vertical="center" shrinkToFit="1"/>
      <protection locked="0"/>
    </xf>
    <xf numFmtId="184" fontId="13" fillId="16" borderId="3" xfId="1" applyNumberFormat="1" applyFont="1" applyFill="1" applyBorder="1" applyAlignment="1" applyProtection="1">
      <alignment horizontal="center" shrinkToFit="1"/>
    </xf>
    <xf numFmtId="0" fontId="48" fillId="0" borderId="0" xfId="10" applyFont="1" applyBorder="1" applyAlignment="1" applyProtection="1">
      <alignment vertical="center" wrapText="1"/>
    </xf>
    <xf numFmtId="178" fontId="11" fillId="0" borderId="0" xfId="10" applyNumberFormat="1" applyProtection="1">
      <alignment vertical="center"/>
    </xf>
    <xf numFmtId="0" fontId="62" fillId="0" borderId="0" xfId="10" applyFont="1" applyProtection="1">
      <alignment vertical="center"/>
      <protection hidden="1"/>
    </xf>
    <xf numFmtId="0" fontId="62" fillId="0" borderId="0" xfId="10" applyFont="1" applyBorder="1">
      <alignment vertical="center"/>
    </xf>
    <xf numFmtId="0" fontId="11" fillId="0" borderId="0" xfId="10" applyProtection="1">
      <alignment vertical="center"/>
      <protection hidden="1"/>
    </xf>
    <xf numFmtId="0" fontId="62" fillId="0" borderId="0" xfId="10" applyFont="1" applyBorder="1" applyProtection="1">
      <alignment vertical="center"/>
      <protection locked="0"/>
    </xf>
    <xf numFmtId="0" fontId="62" fillId="0" borderId="0" xfId="10" applyFont="1" applyBorder="1" applyAlignment="1">
      <alignment horizontal="left" vertical="center"/>
    </xf>
    <xf numFmtId="0" fontId="62" fillId="0" borderId="0" xfId="10" applyFont="1" applyBorder="1" applyAlignment="1">
      <alignment vertical="center"/>
    </xf>
    <xf numFmtId="0" fontId="10" fillId="0" borderId="0" xfId="10" applyFont="1" applyBorder="1" applyAlignment="1" applyProtection="1">
      <alignment horizontal="center" vertical="center" shrinkToFit="1"/>
      <protection hidden="1"/>
    </xf>
    <xf numFmtId="0" fontId="62" fillId="0" borderId="0" xfId="10" applyFont="1" applyFill="1" applyBorder="1">
      <alignment vertical="center"/>
    </xf>
    <xf numFmtId="0" fontId="63" fillId="0" borderId="0" xfId="10" applyFont="1" applyBorder="1">
      <alignment vertical="center"/>
    </xf>
    <xf numFmtId="0" fontId="63" fillId="0" borderId="0" xfId="10" applyFont="1" applyProtection="1">
      <alignment vertical="center"/>
      <protection hidden="1"/>
    </xf>
    <xf numFmtId="179" fontId="62" fillId="0" borderId="0" xfId="10" applyNumberFormat="1" applyFont="1" applyAlignment="1" applyProtection="1">
      <alignment horizontal="center" vertical="center"/>
      <protection hidden="1"/>
    </xf>
    <xf numFmtId="180" fontId="62" fillId="0" borderId="0" xfId="10" applyNumberFormat="1" applyFont="1" applyAlignment="1" applyProtection="1">
      <alignment horizontal="center" vertical="center"/>
      <protection hidden="1"/>
    </xf>
    <xf numFmtId="0" fontId="62" fillId="0" borderId="0" xfId="10" applyFont="1" applyAlignment="1" applyProtection="1">
      <alignment horizontal="center" vertical="center"/>
      <protection hidden="1"/>
    </xf>
    <xf numFmtId="0" fontId="11" fillId="0" borderId="0" xfId="10">
      <alignment vertical="center"/>
    </xf>
    <xf numFmtId="0" fontId="34" fillId="0" borderId="0" xfId="10" applyFont="1" applyProtection="1">
      <alignment vertical="center"/>
      <protection hidden="1"/>
    </xf>
    <xf numFmtId="0" fontId="0" fillId="0" borderId="0" xfId="0" applyFill="1" applyBorder="1">
      <alignment vertical="center"/>
    </xf>
    <xf numFmtId="178" fontId="0" fillId="5" borderId="61" xfId="2" applyNumberFormat="1" applyFont="1" applyFill="1" applyBorder="1" applyAlignment="1" applyProtection="1">
      <alignment horizontal="right" vertical="center" shrinkToFit="1"/>
    </xf>
    <xf numFmtId="0" fontId="62" fillId="0" borderId="0" xfId="10" applyFont="1" applyBorder="1" applyAlignment="1">
      <alignment vertical="center" shrinkToFit="1"/>
    </xf>
    <xf numFmtId="0" fontId="64" fillId="0" borderId="0" xfId="10" applyFont="1" applyBorder="1" applyAlignment="1">
      <alignment vertical="center" wrapText="1"/>
    </xf>
    <xf numFmtId="38" fontId="66" fillId="0" borderId="0" xfId="12" applyFont="1" applyBorder="1" applyAlignment="1">
      <alignment vertical="center"/>
    </xf>
    <xf numFmtId="178" fontId="11" fillId="0" borderId="0" xfId="2" applyNumberFormat="1" applyFont="1" applyBorder="1" applyAlignment="1" applyProtection="1">
      <alignment vertical="center"/>
    </xf>
    <xf numFmtId="189" fontId="11" fillId="0" borderId="0" xfId="10" applyNumberFormat="1" applyBorder="1" applyAlignment="1" applyProtection="1">
      <alignment vertical="center" shrinkToFit="1"/>
    </xf>
    <xf numFmtId="38" fontId="11" fillId="0" borderId="0" xfId="10" applyNumberFormat="1" applyBorder="1" applyAlignment="1" applyProtection="1">
      <alignment vertical="center" shrinkToFit="1"/>
    </xf>
    <xf numFmtId="189" fontId="11" fillId="0" borderId="3" xfId="10" applyNumberFormat="1" applyBorder="1" applyProtection="1">
      <alignment vertical="center"/>
    </xf>
    <xf numFmtId="38" fontId="11" fillId="0" borderId="0" xfId="1" applyFont="1" applyBorder="1" applyAlignment="1" applyProtection="1">
      <alignment vertical="center" shrinkToFit="1"/>
    </xf>
    <xf numFmtId="189" fontId="11" fillId="0" borderId="3" xfId="10" applyNumberFormat="1" applyBorder="1" applyAlignment="1" applyProtection="1">
      <alignment vertical="center" shrinkToFit="1"/>
    </xf>
    <xf numFmtId="179" fontId="13" fillId="16" borderId="10" xfId="0" applyNumberFormat="1" applyFont="1" applyFill="1" applyBorder="1" applyAlignment="1" applyProtection="1">
      <alignment horizontal="center" vertical="center" shrinkToFit="1"/>
      <protection locked="0"/>
    </xf>
    <xf numFmtId="179" fontId="13" fillId="16" borderId="3" xfId="0" applyNumberFormat="1" applyFont="1" applyFill="1" applyBorder="1" applyAlignment="1" applyProtection="1">
      <alignment horizontal="center" vertical="center" shrinkToFit="1"/>
      <protection locked="0"/>
    </xf>
    <xf numFmtId="199" fontId="0" fillId="5" borderId="10" xfId="1" applyNumberFormat="1" applyFont="1" applyFill="1" applyBorder="1" applyAlignment="1" applyProtection="1">
      <alignment vertical="center" shrinkToFit="1"/>
    </xf>
    <xf numFmtId="199" fontId="0" fillId="5" borderId="10" xfId="0" applyNumberFormat="1" applyFill="1" applyBorder="1" applyAlignment="1">
      <alignment vertical="center" shrinkToFit="1"/>
    </xf>
    <xf numFmtId="199" fontId="0" fillId="5" borderId="10" xfId="0" applyNumberFormat="1" applyFill="1" applyBorder="1" applyAlignment="1" applyProtection="1">
      <alignment vertical="center" shrinkToFit="1"/>
    </xf>
    <xf numFmtId="199" fontId="0" fillId="5" borderId="3" xfId="1" applyNumberFormat="1" applyFont="1" applyFill="1" applyBorder="1" applyAlignment="1" applyProtection="1">
      <alignment vertical="center" shrinkToFit="1"/>
    </xf>
    <xf numFmtId="199" fontId="0" fillId="5" borderId="3" xfId="0" applyNumberFormat="1" applyFill="1" applyBorder="1" applyAlignment="1">
      <alignment vertical="center" shrinkToFit="1"/>
    </xf>
    <xf numFmtId="199" fontId="0" fillId="5" borderId="3" xfId="0" applyNumberFormat="1" applyFill="1" applyBorder="1" applyAlignment="1" applyProtection="1">
      <alignment vertical="center" shrinkToFit="1"/>
    </xf>
    <xf numFmtId="199" fontId="0" fillId="5" borderId="10" xfId="1" applyNumberFormat="1" applyFont="1" applyFill="1" applyBorder="1" applyAlignment="1">
      <alignment vertical="center" shrinkToFit="1"/>
    </xf>
    <xf numFmtId="199" fontId="0" fillId="5" borderId="3" xfId="1" applyNumberFormat="1" applyFont="1" applyFill="1" applyBorder="1" applyAlignment="1">
      <alignment vertical="center" shrinkToFit="1"/>
    </xf>
    <xf numFmtId="199" fontId="13" fillId="5" borderId="10" xfId="1" applyNumberFormat="1" applyFont="1" applyFill="1" applyBorder="1" applyAlignment="1" applyProtection="1">
      <alignment horizontal="right" vertical="center" shrinkToFit="1"/>
    </xf>
    <xf numFmtId="199" fontId="13" fillId="5" borderId="3" xfId="1" applyNumberFormat="1" applyFont="1" applyFill="1" applyBorder="1" applyAlignment="1" applyProtection="1">
      <alignment horizontal="right" vertical="center" shrinkToFit="1"/>
    </xf>
    <xf numFmtId="199" fontId="45" fillId="5" borderId="10" xfId="1" applyNumberFormat="1" applyFont="1" applyFill="1" applyBorder="1" applyAlignment="1" applyProtection="1">
      <alignment horizontal="right" vertical="center" shrinkToFit="1"/>
    </xf>
    <xf numFmtId="199" fontId="45" fillId="5" borderId="3" xfId="1" applyNumberFormat="1" applyFont="1" applyFill="1" applyBorder="1" applyAlignment="1" applyProtection="1">
      <alignment horizontal="right" vertical="center" shrinkToFit="1"/>
    </xf>
    <xf numFmtId="199" fontId="0" fillId="5" borderId="3" xfId="1" applyNumberFormat="1" applyFont="1" applyFill="1" applyBorder="1" applyAlignment="1" applyProtection="1">
      <alignment horizontal="right" vertical="center" shrinkToFit="1"/>
    </xf>
    <xf numFmtId="199" fontId="9" fillId="5" borderId="10" xfId="0" applyNumberFormat="1" applyFont="1" applyFill="1" applyBorder="1" applyAlignment="1" applyProtection="1">
      <alignment horizontal="right" vertical="center" shrinkToFit="1"/>
    </xf>
    <xf numFmtId="199" fontId="9" fillId="5" borderId="3" xfId="0" applyNumberFormat="1" applyFont="1" applyFill="1" applyBorder="1" applyAlignment="1" applyProtection="1">
      <alignment horizontal="right" vertical="center" shrinkToFit="1"/>
    </xf>
    <xf numFmtId="0" fontId="36" fillId="0" borderId="0" xfId="10" applyFont="1" applyBorder="1" applyAlignment="1" applyProtection="1">
      <alignment horizontal="left" vertical="center"/>
      <protection hidden="1"/>
    </xf>
    <xf numFmtId="199" fontId="0" fillId="5" borderId="10" xfId="1" applyNumberFormat="1" applyFont="1" applyFill="1" applyBorder="1" applyAlignment="1" applyProtection="1">
      <alignment horizontal="right" vertical="center" shrinkToFit="1"/>
    </xf>
    <xf numFmtId="40" fontId="13" fillId="14" borderId="3" xfId="1" applyNumberFormat="1" applyFont="1" applyFill="1" applyBorder="1" applyAlignment="1" applyProtection="1">
      <alignment horizontal="right" vertical="center" shrinkToFit="1"/>
    </xf>
    <xf numFmtId="9" fontId="13" fillId="13" borderId="3" xfId="1" applyNumberFormat="1" applyFont="1" applyFill="1" applyBorder="1" applyAlignment="1" applyProtection="1">
      <alignment horizontal="right" vertical="center" shrinkToFit="1"/>
    </xf>
    <xf numFmtId="9" fontId="13" fillId="13" borderId="3" xfId="0" applyNumberFormat="1" applyFont="1" applyFill="1" applyBorder="1" applyAlignment="1" applyProtection="1">
      <alignment horizontal="right" vertical="center" shrinkToFit="1"/>
    </xf>
    <xf numFmtId="0" fontId="70" fillId="0" borderId="0" xfId="10" applyFont="1" applyBorder="1" applyAlignment="1" applyProtection="1">
      <alignment vertical="center" shrinkToFit="1"/>
    </xf>
    <xf numFmtId="0" fontId="9" fillId="0" borderId="0" xfId="10" applyFont="1" applyBorder="1" applyProtection="1">
      <alignment vertical="center"/>
    </xf>
    <xf numFmtId="38" fontId="11" fillId="0" borderId="3" xfId="1" applyFont="1" applyBorder="1" applyAlignment="1" applyProtection="1">
      <alignment vertical="center" shrinkToFit="1"/>
    </xf>
    <xf numFmtId="0" fontId="30" fillId="0" borderId="0" xfId="0" applyFont="1">
      <alignment vertical="center"/>
    </xf>
    <xf numFmtId="0" fontId="48" fillId="0" borderId="0" xfId="0" applyFont="1" applyAlignment="1">
      <alignment horizontal="left" vertical="center" indent="1"/>
    </xf>
    <xf numFmtId="0" fontId="48" fillId="0" borderId="0" xfId="0" applyFont="1" applyAlignment="1">
      <alignment horizontal="left" vertical="center"/>
    </xf>
    <xf numFmtId="0" fontId="30" fillId="0" borderId="0" xfId="0" applyFont="1" applyAlignment="1">
      <alignment horizontal="left" vertical="center" indent="1"/>
    </xf>
    <xf numFmtId="0" fontId="0" fillId="0" borderId="0" xfId="0" applyBorder="1" applyAlignment="1">
      <alignment horizontal="center" vertical="center"/>
    </xf>
    <xf numFmtId="38" fontId="10" fillId="0" borderId="0" xfId="12" applyFont="1" applyBorder="1" applyAlignment="1" applyProtection="1">
      <alignment horizontal="center" vertical="center" shrinkToFit="1"/>
    </xf>
    <xf numFmtId="38" fontId="10" fillId="0" borderId="0" xfId="12" applyFont="1" applyBorder="1" applyAlignment="1" applyProtection="1">
      <alignment vertical="center" shrinkToFit="1"/>
    </xf>
    <xf numFmtId="195" fontId="10" fillId="0" borderId="0" xfId="12" applyNumberFormat="1" applyFont="1" applyBorder="1" applyAlignment="1" applyProtection="1">
      <alignment horizontal="right" vertical="center" shrinkToFit="1"/>
    </xf>
    <xf numFmtId="182" fontId="0" fillId="0" borderId="0" xfId="0" applyNumberFormat="1" applyBorder="1" applyAlignment="1" applyProtection="1">
      <alignment horizontal="right" vertical="center" shrinkToFit="1"/>
    </xf>
    <xf numFmtId="38" fontId="36" fillId="0" borderId="3" xfId="10" applyNumberFormat="1" applyFont="1" applyBorder="1" applyAlignment="1" applyProtection="1">
      <alignment vertical="center" shrinkToFit="1"/>
    </xf>
    <xf numFmtId="179" fontId="41" fillId="5" borderId="10" xfId="0" applyNumberFormat="1" applyFont="1" applyFill="1" applyBorder="1" applyAlignment="1" applyProtection="1">
      <alignment vertical="center" shrinkToFit="1"/>
    </xf>
    <xf numFmtId="182" fontId="41" fillId="5" borderId="10" xfId="0" applyNumberFormat="1" applyFont="1" applyFill="1" applyBorder="1" applyAlignment="1" applyProtection="1">
      <alignment vertical="center" shrinkToFit="1"/>
    </xf>
    <xf numFmtId="179" fontId="41" fillId="5" borderId="3" xfId="0" applyNumberFormat="1" applyFont="1" applyFill="1" applyBorder="1" applyAlignment="1" applyProtection="1">
      <alignment vertical="center" shrinkToFit="1"/>
    </xf>
    <xf numFmtId="182" fontId="41" fillId="5" borderId="3" xfId="0" applyNumberFormat="1" applyFont="1" applyFill="1" applyBorder="1" applyAlignment="1" applyProtection="1">
      <alignment vertical="center" shrinkToFit="1"/>
    </xf>
    <xf numFmtId="9" fontId="41" fillId="5" borderId="10" xfId="0" applyNumberFormat="1" applyFont="1" applyFill="1" applyBorder="1" applyAlignment="1" applyProtection="1">
      <alignment horizontal="center" shrinkToFit="1"/>
    </xf>
    <xf numFmtId="199" fontId="41" fillId="5" borderId="10" xfId="1" applyNumberFormat="1" applyFont="1" applyFill="1" applyBorder="1" applyAlignment="1" applyProtection="1">
      <alignment shrinkToFit="1"/>
    </xf>
    <xf numFmtId="9" fontId="41" fillId="5" borderId="10" xfId="0" applyNumberFormat="1" applyFont="1" applyFill="1" applyBorder="1" applyAlignment="1" applyProtection="1">
      <alignment shrinkToFit="1"/>
    </xf>
    <xf numFmtId="38" fontId="13" fillId="5" borderId="10" xfId="1" applyFont="1" applyFill="1" applyBorder="1" applyAlignment="1" applyProtection="1">
      <alignment horizontal="right" shrinkToFit="1"/>
    </xf>
    <xf numFmtId="182" fontId="41" fillId="5" borderId="6" xfId="0" applyNumberFormat="1" applyFont="1" applyFill="1" applyBorder="1" applyAlignment="1" applyProtection="1">
      <alignment shrinkToFit="1"/>
    </xf>
    <xf numFmtId="176" fontId="13" fillId="5" borderId="38" xfId="1" applyNumberFormat="1" applyFont="1" applyFill="1" applyBorder="1" applyAlignment="1" applyProtection="1">
      <alignment horizontal="right" shrinkToFit="1"/>
    </xf>
    <xf numFmtId="176" fontId="13" fillId="5" borderId="10" xfId="1" applyNumberFormat="1" applyFont="1" applyFill="1" applyBorder="1" applyAlignment="1" applyProtection="1">
      <alignment horizontal="right" shrinkToFit="1"/>
    </xf>
    <xf numFmtId="9" fontId="41" fillId="5" borderId="3" xfId="0" applyNumberFormat="1" applyFont="1" applyFill="1" applyBorder="1" applyAlignment="1" applyProtection="1">
      <alignment horizontal="center" shrinkToFit="1"/>
    </xf>
    <xf numFmtId="199" fontId="41" fillId="5" borderId="3" xfId="1" applyNumberFormat="1" applyFont="1" applyFill="1" applyBorder="1" applyAlignment="1" applyProtection="1">
      <alignment shrinkToFit="1"/>
    </xf>
    <xf numFmtId="9" fontId="41" fillId="5" borderId="3" xfId="0" applyNumberFormat="1" applyFont="1" applyFill="1" applyBorder="1" applyAlignment="1" applyProtection="1">
      <alignment shrinkToFit="1"/>
    </xf>
    <xf numFmtId="38" fontId="13" fillId="5" borderId="3" xfId="1" applyFont="1" applyFill="1" applyBorder="1" applyAlignment="1" applyProtection="1">
      <alignment horizontal="right" shrinkToFit="1"/>
    </xf>
    <xf numFmtId="182" fontId="41" fillId="5" borderId="1" xfId="0" applyNumberFormat="1" applyFont="1" applyFill="1" applyBorder="1" applyAlignment="1" applyProtection="1">
      <alignment shrinkToFit="1"/>
    </xf>
    <xf numFmtId="176" fontId="13" fillId="5" borderId="23" xfId="1" applyNumberFormat="1" applyFont="1" applyFill="1" applyBorder="1" applyAlignment="1" applyProtection="1">
      <alignment horizontal="right" shrinkToFit="1"/>
    </xf>
    <xf numFmtId="176" fontId="13" fillId="5" borderId="3" xfId="1" applyNumberFormat="1" applyFont="1" applyFill="1" applyBorder="1" applyAlignment="1" applyProtection="1">
      <alignment horizontal="right" shrinkToFit="1"/>
    </xf>
    <xf numFmtId="0" fontId="0" fillId="2" borderId="3" xfId="0" applyFill="1" applyBorder="1" applyAlignment="1" applyProtection="1">
      <alignment horizontal="center" vertical="center" shrinkToFit="1"/>
    </xf>
    <xf numFmtId="178" fontId="0" fillId="0" borderId="10" xfId="9" applyNumberFormat="1" applyFont="1" applyFill="1" applyBorder="1" applyAlignment="1" applyProtection="1">
      <protection locked="0"/>
    </xf>
    <xf numFmtId="178" fontId="0" fillId="0" borderId="14" xfId="9" applyNumberFormat="1" applyFont="1" applyFill="1" applyBorder="1" applyAlignment="1" applyProtection="1">
      <protection locked="0"/>
    </xf>
    <xf numFmtId="0" fontId="23" fillId="2" borderId="2" xfId="0" applyFont="1" applyFill="1" applyBorder="1" applyAlignment="1" applyProtection="1">
      <alignment horizontal="center" vertical="top" wrapText="1"/>
    </xf>
    <xf numFmtId="0" fontId="24" fillId="2" borderId="2" xfId="0" applyFont="1" applyFill="1" applyBorder="1" applyAlignment="1" applyProtection="1">
      <alignment horizontal="center" vertical="center" shrinkToFit="1"/>
    </xf>
    <xf numFmtId="0" fontId="46" fillId="2" borderId="18" xfId="0" applyFont="1" applyFill="1" applyBorder="1" applyAlignment="1" applyProtection="1">
      <alignment horizontal="center" vertical="center" shrinkToFit="1"/>
    </xf>
    <xf numFmtId="180" fontId="41" fillId="0" borderId="10" xfId="0" applyNumberFormat="1" applyFont="1" applyFill="1" applyBorder="1" applyAlignment="1" applyProtection="1">
      <alignment horizontal="center" shrinkToFit="1"/>
      <protection locked="0"/>
    </xf>
    <xf numFmtId="180" fontId="41" fillId="0" borderId="3" xfId="0" applyNumberFormat="1" applyFont="1" applyFill="1" applyBorder="1" applyAlignment="1" applyProtection="1">
      <alignment horizontal="center" shrinkToFit="1"/>
      <protection locked="0"/>
    </xf>
    <xf numFmtId="197" fontId="0" fillId="0" borderId="0" xfId="0" applyNumberFormat="1" applyProtection="1">
      <alignment vertical="center"/>
      <protection locked="0"/>
    </xf>
    <xf numFmtId="0" fontId="11" fillId="0" borderId="0" xfId="10" applyProtection="1">
      <alignment vertical="center"/>
      <protection locked="0"/>
    </xf>
    <xf numFmtId="0" fontId="0" fillId="2" borderId="3" xfId="0" applyFill="1" applyBorder="1" applyAlignment="1" applyProtection="1">
      <alignment horizontal="center" vertical="center" shrinkToFit="1"/>
    </xf>
    <xf numFmtId="0" fontId="11" fillId="0" borderId="3" xfId="10" applyBorder="1" applyProtection="1">
      <alignment vertical="center"/>
      <protection hidden="1"/>
    </xf>
    <xf numFmtId="0" fontId="0" fillId="2" borderId="1" xfId="0" applyFill="1" applyBorder="1" applyAlignment="1" applyProtection="1">
      <alignment vertical="center" shrinkToFit="1"/>
    </xf>
    <xf numFmtId="0" fontId="0" fillId="2" borderId="2" xfId="0" applyFill="1" applyBorder="1" applyAlignment="1" applyProtection="1">
      <alignment vertical="center" shrinkToFit="1"/>
    </xf>
    <xf numFmtId="0" fontId="0" fillId="2" borderId="1" xfId="0" applyFill="1" applyBorder="1" applyAlignment="1" applyProtection="1">
      <alignment vertical="top" wrapText="1"/>
    </xf>
    <xf numFmtId="0" fontId="0" fillId="2" borderId="2" xfId="0" applyFill="1" applyBorder="1" applyAlignment="1" applyProtection="1">
      <alignment vertical="top" wrapText="1"/>
    </xf>
    <xf numFmtId="0" fontId="0" fillId="0" borderId="20" xfId="0" applyFill="1" applyBorder="1" applyAlignment="1" applyProtection="1"/>
    <xf numFmtId="0" fontId="0" fillId="0" borderId="20" xfId="0" applyNumberFormat="1" applyFill="1" applyBorder="1" applyAlignment="1" applyProtection="1">
      <alignment horizontal="center" vertical="top" wrapText="1"/>
    </xf>
    <xf numFmtId="0" fontId="0" fillId="0" borderId="20" xfId="0" applyFill="1" applyBorder="1" applyAlignment="1" applyProtection="1">
      <alignment horizontal="center"/>
    </xf>
    <xf numFmtId="0" fontId="0" fillId="0" borderId="20" xfId="0" applyFill="1" applyBorder="1" applyProtection="1">
      <alignment vertical="center"/>
    </xf>
    <xf numFmtId="0" fontId="41" fillId="0" borderId="20" xfId="0" applyNumberFormat="1" applyFont="1" applyFill="1" applyBorder="1" applyAlignment="1" applyProtection="1">
      <alignment shrinkToFit="1"/>
    </xf>
    <xf numFmtId="0" fontId="13" fillId="0" borderId="20" xfId="0" applyFont="1" applyFill="1" applyBorder="1" applyAlignment="1" applyProtection="1"/>
    <xf numFmtId="0" fontId="0" fillId="2" borderId="3" xfId="0" applyFont="1" applyFill="1" applyBorder="1" applyAlignment="1" applyProtection="1">
      <alignment horizontal="left" shrinkToFit="1"/>
    </xf>
    <xf numFmtId="9" fontId="0" fillId="5" borderId="3" xfId="7" applyFont="1" applyFill="1" applyBorder="1" applyAlignment="1" applyProtection="1">
      <alignment vertical="center" shrinkToFit="1"/>
    </xf>
    <xf numFmtId="177" fontId="11" fillId="0" borderId="0" xfId="10" applyNumberFormat="1" applyProtection="1">
      <alignment vertical="center"/>
    </xf>
    <xf numFmtId="9" fontId="11" fillId="0" borderId="0" xfId="10" applyNumberFormat="1" applyProtection="1">
      <alignment vertical="center"/>
    </xf>
    <xf numFmtId="0" fontId="0" fillId="2" borderId="0" xfId="0" applyFill="1" applyBorder="1" applyAlignment="1" applyProtection="1">
      <alignment vertical="center" shrinkToFit="1"/>
    </xf>
    <xf numFmtId="0" fontId="26" fillId="0" borderId="0" xfId="0" applyFont="1" applyBorder="1" applyAlignment="1" applyProtection="1">
      <alignment vertical="center"/>
      <protection locked="0"/>
    </xf>
    <xf numFmtId="0" fontId="0" fillId="0" borderId="0" xfId="0" applyBorder="1" applyProtection="1">
      <alignment vertical="center"/>
      <protection locked="0"/>
    </xf>
    <xf numFmtId="0" fontId="59" fillId="0" borderId="0" xfId="0" applyFont="1" applyBorder="1" applyAlignment="1">
      <alignment horizontal="left" vertical="center"/>
    </xf>
    <xf numFmtId="0" fontId="28" fillId="0" borderId="0" xfId="0" applyFont="1" applyBorder="1" applyAlignment="1">
      <alignment horizontal="left" vertical="center"/>
    </xf>
    <xf numFmtId="0" fontId="30" fillId="0" borderId="0" xfId="0" applyFont="1" applyAlignment="1" applyProtection="1">
      <protection locked="0"/>
    </xf>
    <xf numFmtId="0" fontId="11" fillId="0" borderId="0" xfId="10" applyBorder="1" applyAlignment="1" applyProtection="1">
      <alignment vertical="top" shrinkToFit="1"/>
    </xf>
    <xf numFmtId="0" fontId="11" fillId="0" borderId="0" xfId="10" applyAlignment="1" applyProtection="1">
      <alignment vertical="top" shrinkToFit="1"/>
    </xf>
    <xf numFmtId="189" fontId="11" fillId="0" borderId="0" xfId="10" applyNumberFormat="1" applyBorder="1" applyAlignment="1" applyProtection="1">
      <alignment vertical="top" shrinkToFit="1"/>
    </xf>
    <xf numFmtId="0" fontId="11" fillId="0" borderId="0" xfId="10" applyAlignment="1" applyProtection="1">
      <alignment vertical="top"/>
    </xf>
    <xf numFmtId="0" fontId="10" fillId="0" borderId="0" xfId="10" applyFont="1" applyBorder="1" applyAlignment="1" applyProtection="1">
      <alignment vertical="top" wrapText="1" shrinkToFit="1"/>
    </xf>
    <xf numFmtId="0" fontId="41" fillId="2" borderId="20" xfId="0" applyFont="1" applyFill="1" applyBorder="1" applyAlignment="1" applyProtection="1">
      <alignment vertical="center"/>
    </xf>
    <xf numFmtId="0" fontId="41" fillId="2" borderId="0" xfId="0" applyFont="1" applyFill="1" applyBorder="1" applyAlignment="1" applyProtection="1">
      <alignment vertical="center"/>
    </xf>
    <xf numFmtId="0" fontId="41" fillId="2" borderId="20" xfId="0" applyFont="1" applyFill="1" applyBorder="1" applyAlignment="1" applyProtection="1"/>
    <xf numFmtId="0" fontId="42" fillId="2" borderId="0" xfId="0" applyFont="1" applyFill="1" applyBorder="1" applyAlignment="1" applyProtection="1">
      <alignment horizontal="center" vertical="top" wrapText="1"/>
    </xf>
    <xf numFmtId="0" fontId="0" fillId="2" borderId="0" xfId="0" applyFill="1" applyBorder="1" applyAlignment="1" applyProtection="1">
      <alignment horizontal="center" vertical="center" shrinkToFit="1"/>
    </xf>
    <xf numFmtId="184" fontId="13" fillId="4" borderId="20" xfId="1" applyNumberFormat="1" applyFont="1" applyFill="1" applyBorder="1" applyAlignment="1" applyProtection="1">
      <alignment horizontal="center" vertical="center" shrinkToFit="1"/>
    </xf>
    <xf numFmtId="38" fontId="13" fillId="4" borderId="0" xfId="1" applyFont="1" applyFill="1" applyBorder="1" applyAlignment="1" applyProtection="1">
      <alignment horizontal="right" vertical="center" shrinkToFit="1"/>
    </xf>
    <xf numFmtId="184" fontId="0" fillId="0" borderId="20" xfId="0" applyNumberFormat="1" applyFill="1" applyBorder="1" applyAlignment="1" applyProtection="1">
      <alignment horizontal="right" vertical="center" shrinkToFit="1"/>
    </xf>
    <xf numFmtId="38" fontId="0" fillId="0" borderId="0" xfId="1" applyFont="1" applyFill="1" applyBorder="1" applyAlignment="1" applyProtection="1">
      <alignment horizontal="right" vertical="center" shrinkToFit="1"/>
    </xf>
    <xf numFmtId="184" fontId="0" fillId="10" borderId="20" xfId="1" applyNumberFormat="1" applyFont="1" applyFill="1" applyBorder="1" applyAlignment="1" applyProtection="1">
      <alignment horizontal="center" vertical="center" shrinkToFit="1"/>
    </xf>
    <xf numFmtId="38" fontId="0" fillId="5" borderId="0" xfId="1" applyFont="1" applyFill="1" applyBorder="1" applyAlignment="1" applyProtection="1">
      <alignment vertical="center" shrinkToFit="1"/>
    </xf>
    <xf numFmtId="0" fontId="0" fillId="2" borderId="3" xfId="0" applyFill="1" applyBorder="1" applyAlignment="1" applyProtection="1">
      <alignment horizontal="center" vertical="center" shrinkToFit="1"/>
    </xf>
    <xf numFmtId="0" fontId="41" fillId="0" borderId="17" xfId="10" applyFont="1" applyFill="1" applyBorder="1" applyAlignment="1" applyProtection="1">
      <alignment vertical="center" wrapText="1"/>
    </xf>
    <xf numFmtId="0" fontId="41" fillId="0" borderId="0" xfId="10" applyFont="1" applyFill="1" applyBorder="1" applyAlignment="1" applyProtection="1">
      <alignment vertical="center" wrapText="1"/>
      <protection locked="0"/>
    </xf>
    <xf numFmtId="0" fontId="41" fillId="0" borderId="18" xfId="0" applyNumberFormat="1" applyFont="1" applyFill="1" applyBorder="1" applyAlignment="1" applyProtection="1">
      <alignment vertical="center" shrinkToFit="1"/>
      <protection locked="0"/>
    </xf>
    <xf numFmtId="179" fontId="19" fillId="18" borderId="3" xfId="0" applyNumberFormat="1" applyFont="1" applyFill="1" applyBorder="1" applyAlignment="1" applyProtection="1">
      <alignment horizontal="right" vertical="center" wrapText="1" shrinkToFit="1"/>
    </xf>
    <xf numFmtId="182" fontId="36" fillId="0" borderId="3" xfId="10" applyNumberFormat="1" applyFont="1" applyBorder="1" applyAlignment="1" applyProtection="1">
      <alignment vertical="center" shrinkToFit="1"/>
    </xf>
    <xf numFmtId="0" fontId="11" fillId="0" borderId="3" xfId="10" applyNumberFormat="1" applyBorder="1" applyProtection="1">
      <alignment vertical="center"/>
    </xf>
    <xf numFmtId="0" fontId="0" fillId="2" borderId="4" xfId="0" applyFill="1" applyBorder="1" applyAlignment="1" applyProtection="1">
      <alignment horizontal="center" vertical="center"/>
    </xf>
    <xf numFmtId="0" fontId="41" fillId="2" borderId="6" xfId="0" applyFont="1" applyFill="1" applyBorder="1" applyAlignment="1" applyProtection="1">
      <alignment horizontal="center" vertical="center"/>
    </xf>
    <xf numFmtId="0" fontId="11" fillId="16" borderId="4" xfId="10" applyFill="1" applyBorder="1" applyProtection="1">
      <alignment vertical="center"/>
    </xf>
    <xf numFmtId="0" fontId="33" fillId="16" borderId="2" xfId="10" applyFont="1" applyFill="1" applyBorder="1" applyProtection="1">
      <alignment vertical="center"/>
    </xf>
    <xf numFmtId="0" fontId="72" fillId="0" borderId="0" xfId="10" applyFont="1" applyFill="1" applyBorder="1" applyAlignment="1" applyProtection="1">
      <alignment horizontal="right" vertical="center"/>
      <protection hidden="1"/>
    </xf>
    <xf numFmtId="0" fontId="41" fillId="0" borderId="0" xfId="10" applyFont="1" applyFill="1" applyBorder="1" applyAlignment="1" applyProtection="1">
      <alignment vertical="center" shrinkToFit="1"/>
      <protection locked="0"/>
    </xf>
    <xf numFmtId="0" fontId="73" fillId="0" borderId="0" xfId="10" applyFont="1" applyProtection="1">
      <alignment vertical="center"/>
    </xf>
    <xf numFmtId="0" fontId="7" fillId="16" borderId="1" xfId="10" applyFont="1" applyFill="1" applyBorder="1" applyProtection="1">
      <alignment vertical="center"/>
    </xf>
    <xf numFmtId="0" fontId="47" fillId="0" borderId="0" xfId="0" applyFont="1" applyFill="1" applyBorder="1" applyAlignment="1" applyProtection="1">
      <alignment horizontal="left" vertical="center"/>
    </xf>
    <xf numFmtId="0" fontId="21" fillId="0" borderId="0" xfId="10" applyFont="1" applyFill="1" applyBorder="1" applyAlignment="1" applyProtection="1">
      <alignment vertical="center"/>
      <protection hidden="1"/>
    </xf>
    <xf numFmtId="0" fontId="48" fillId="0" borderId="0" xfId="10" applyFont="1" applyFill="1" applyBorder="1" applyAlignment="1" applyProtection="1">
      <alignment vertical="center"/>
      <protection hidden="1"/>
    </xf>
    <xf numFmtId="0" fontId="41" fillId="0" borderId="0" xfId="10" applyFont="1" applyBorder="1" applyAlignment="1" applyProtection="1">
      <alignment vertical="center" shrinkToFit="1"/>
      <protection hidden="1"/>
    </xf>
    <xf numFmtId="0" fontId="2" fillId="16" borderId="0" xfId="0" applyFont="1" applyFill="1">
      <alignment vertical="center"/>
    </xf>
    <xf numFmtId="0" fontId="0" fillId="16" borderId="0" xfId="0" applyFill="1">
      <alignment vertical="center"/>
    </xf>
    <xf numFmtId="9" fontId="13" fillId="16" borderId="10" xfId="0" applyNumberFormat="1" applyFont="1" applyFill="1" applyBorder="1" applyAlignment="1" applyProtection="1">
      <alignment horizontal="center" vertical="center" shrinkToFit="1"/>
      <protection locked="0"/>
    </xf>
    <xf numFmtId="9" fontId="13" fillId="16" borderId="3" xfId="0" applyNumberFormat="1" applyFont="1" applyFill="1" applyBorder="1" applyAlignment="1" applyProtection="1">
      <alignment horizontal="center" vertical="center" shrinkToFit="1"/>
      <protection locked="0"/>
    </xf>
    <xf numFmtId="0" fontId="11" fillId="0" borderId="3" xfId="10" applyBorder="1" applyProtection="1">
      <alignment vertical="center"/>
      <protection locked="0"/>
    </xf>
    <xf numFmtId="38" fontId="0" fillId="5" borderId="10" xfId="1" applyFont="1" applyFill="1" applyBorder="1" applyAlignment="1" applyProtection="1">
      <alignment horizontal="right" vertical="center" shrinkToFit="1"/>
      <protection hidden="1"/>
    </xf>
    <xf numFmtId="38" fontId="0" fillId="5" borderId="3" xfId="1" applyFont="1" applyFill="1" applyBorder="1" applyAlignment="1" applyProtection="1">
      <alignment horizontal="right" vertical="center" shrinkToFit="1"/>
      <protection hidden="1"/>
    </xf>
    <xf numFmtId="38" fontId="13" fillId="5" borderId="10" xfId="1" applyFont="1" applyFill="1" applyBorder="1" applyAlignment="1" applyProtection="1">
      <alignment horizontal="right" vertical="center" shrinkToFit="1"/>
      <protection hidden="1"/>
    </xf>
    <xf numFmtId="38" fontId="13" fillId="5" borderId="3" xfId="1" applyFont="1" applyFill="1" applyBorder="1" applyAlignment="1" applyProtection="1">
      <alignment horizontal="right" vertical="center" shrinkToFit="1"/>
      <protection hidden="1"/>
    </xf>
    <xf numFmtId="199" fontId="13" fillId="5" borderId="3" xfId="1" applyNumberFormat="1" applyFont="1" applyFill="1" applyBorder="1" applyAlignment="1" applyProtection="1">
      <alignment horizontal="right" vertical="center" shrinkToFit="1"/>
      <protection hidden="1"/>
    </xf>
    <xf numFmtId="199" fontId="13" fillId="5" borderId="3" xfId="0" applyNumberFormat="1" applyFont="1" applyFill="1" applyBorder="1" applyAlignment="1" applyProtection="1">
      <alignment horizontal="right" vertical="center" shrinkToFit="1"/>
      <protection hidden="1"/>
    </xf>
    <xf numFmtId="199" fontId="13" fillId="5" borderId="10" xfId="1" applyNumberFormat="1" applyFont="1" applyFill="1" applyBorder="1" applyAlignment="1" applyProtection="1">
      <alignment horizontal="right" vertical="center" shrinkToFit="1"/>
      <protection hidden="1"/>
    </xf>
    <xf numFmtId="199" fontId="0" fillId="5" borderId="10" xfId="1" applyNumberFormat="1" applyFont="1" applyFill="1" applyBorder="1" applyAlignment="1" applyProtection="1">
      <alignment horizontal="right" vertical="center" shrinkToFit="1"/>
      <protection hidden="1"/>
    </xf>
    <xf numFmtId="199" fontId="9" fillId="5" borderId="10" xfId="0" applyNumberFormat="1" applyFont="1" applyFill="1" applyBorder="1" applyAlignment="1" applyProtection="1">
      <alignment horizontal="right" vertical="center" shrinkToFit="1"/>
      <protection hidden="1"/>
    </xf>
    <xf numFmtId="199" fontId="0" fillId="5" borderId="3" xfId="1" applyNumberFormat="1" applyFont="1" applyFill="1" applyBorder="1" applyAlignment="1" applyProtection="1">
      <alignment horizontal="right" vertical="center" shrinkToFit="1"/>
      <protection hidden="1"/>
    </xf>
    <xf numFmtId="199" fontId="9" fillId="5" borderId="3" xfId="0" applyNumberFormat="1" applyFont="1" applyFill="1" applyBorder="1" applyAlignment="1" applyProtection="1">
      <alignment horizontal="right" vertical="center" shrinkToFit="1"/>
      <protection hidden="1"/>
    </xf>
    <xf numFmtId="182" fontId="0" fillId="5" borderId="12" xfId="0" applyNumberFormat="1" applyFill="1" applyBorder="1" applyAlignment="1" applyProtection="1">
      <alignment horizontal="right" vertical="center" shrinkToFit="1"/>
      <protection hidden="1"/>
    </xf>
    <xf numFmtId="38" fontId="0" fillId="5" borderId="12" xfId="1" applyFont="1" applyFill="1" applyBorder="1" applyAlignment="1" applyProtection="1">
      <alignment horizontal="right" vertical="center" shrinkToFit="1"/>
      <protection hidden="1"/>
    </xf>
    <xf numFmtId="199" fontId="13" fillId="5" borderId="10" xfId="0" applyNumberFormat="1" applyFont="1" applyFill="1" applyBorder="1" applyAlignment="1" applyProtection="1">
      <alignment horizontal="right" vertical="center" shrinkToFit="1"/>
      <protection hidden="1"/>
    </xf>
    <xf numFmtId="0" fontId="0" fillId="0" borderId="41" xfId="0" applyFill="1" applyBorder="1">
      <alignment vertical="center"/>
    </xf>
    <xf numFmtId="0" fontId="78" fillId="0" borderId="0" xfId="0" applyFont="1">
      <alignment vertical="center"/>
    </xf>
    <xf numFmtId="0" fontId="0" fillId="0" borderId="0" xfId="0" applyAlignment="1">
      <alignment horizontal="center" vertical="center"/>
    </xf>
    <xf numFmtId="0" fontId="41" fillId="0" borderId="0" xfId="10" applyFont="1" applyFill="1" applyBorder="1" applyAlignment="1" applyProtection="1">
      <alignment vertical="center" wrapText="1"/>
    </xf>
    <xf numFmtId="0" fontId="41" fillId="16" borderId="10" xfId="0" applyFont="1" applyFill="1" applyBorder="1" applyAlignment="1" applyProtection="1">
      <alignment vertical="center" shrinkToFit="1"/>
      <protection locked="0"/>
    </xf>
    <xf numFmtId="0" fontId="41" fillId="16" borderId="3" xfId="0" applyFont="1" applyFill="1" applyBorder="1" applyAlignment="1" applyProtection="1">
      <alignment vertical="center" shrinkToFit="1"/>
      <protection locked="0"/>
    </xf>
    <xf numFmtId="178" fontId="0" fillId="0" borderId="0" xfId="0" applyNumberFormat="1" applyBorder="1" applyAlignment="1" applyProtection="1">
      <protection locked="0"/>
    </xf>
    <xf numFmtId="178" fontId="0" fillId="9" borderId="0" xfId="0" applyNumberFormat="1" applyFill="1" applyBorder="1" applyAlignment="1" applyProtection="1">
      <protection locked="0"/>
    </xf>
    <xf numFmtId="0" fontId="48" fillId="2" borderId="14" xfId="0" applyFont="1" applyFill="1" applyBorder="1" applyAlignment="1">
      <alignment horizontal="left" vertical="top" wrapText="1"/>
    </xf>
    <xf numFmtId="0" fontId="0" fillId="2" borderId="10" xfId="0" applyFill="1" applyBorder="1" applyAlignment="1">
      <alignment horizontal="center" vertical="center" shrinkToFit="1"/>
    </xf>
    <xf numFmtId="0" fontId="23" fillId="0" borderId="0" xfId="0" applyFont="1">
      <alignment vertical="center"/>
    </xf>
    <xf numFmtId="0" fontId="62" fillId="17" borderId="0" xfId="10" applyFont="1" applyFill="1" applyBorder="1" applyAlignment="1">
      <alignment horizontal="center" vertical="center"/>
    </xf>
    <xf numFmtId="0" fontId="62" fillId="0" borderId="0" xfId="10" applyFont="1" applyFill="1" applyBorder="1" applyAlignment="1" applyProtection="1">
      <alignment horizontal="right" vertical="center"/>
      <protection locked="0"/>
    </xf>
    <xf numFmtId="0" fontId="62" fillId="0" borderId="0" xfId="10" applyFont="1" applyFill="1" applyBorder="1" applyAlignment="1" applyProtection="1">
      <alignment horizontal="left" vertical="center"/>
    </xf>
    <xf numFmtId="0" fontId="63" fillId="0" borderId="0" xfId="10" applyFont="1" applyFill="1" applyBorder="1" applyAlignment="1" applyProtection="1">
      <alignment horizontal="left" vertical="center"/>
      <protection locked="0"/>
    </xf>
    <xf numFmtId="0" fontId="62" fillId="0" borderId="0" xfId="10" applyFont="1" applyFill="1" applyBorder="1" applyAlignment="1" applyProtection="1">
      <alignment horizontal="left" vertical="center"/>
      <protection locked="0"/>
    </xf>
    <xf numFmtId="0" fontId="65" fillId="0" borderId="0" xfId="10" applyFont="1" applyBorder="1" applyAlignment="1">
      <alignment horizontal="center" vertical="center"/>
    </xf>
    <xf numFmtId="0" fontId="64" fillId="0" borderId="0" xfId="10" applyFont="1" applyFill="1" applyBorder="1" applyAlignment="1" applyProtection="1">
      <alignment vertical="center"/>
      <protection locked="0"/>
    </xf>
    <xf numFmtId="0" fontId="78" fillId="0" borderId="48" xfId="0" applyFont="1" applyBorder="1" applyAlignment="1">
      <alignment horizontal="left" vertical="center" wrapText="1"/>
    </xf>
    <xf numFmtId="0" fontId="78" fillId="0" borderId="49" xfId="0" applyFont="1" applyBorder="1" applyAlignment="1">
      <alignment horizontal="left" vertical="center" wrapText="1"/>
    </xf>
    <xf numFmtId="0" fontId="78" fillId="0" borderId="50" xfId="0" applyFont="1" applyBorder="1" applyAlignment="1">
      <alignment horizontal="left" vertical="center" wrapText="1"/>
    </xf>
    <xf numFmtId="0" fontId="78" fillId="0" borderId="51" xfId="0" applyFont="1" applyBorder="1" applyAlignment="1">
      <alignment horizontal="left" vertical="center" wrapText="1"/>
    </xf>
    <xf numFmtId="0" fontId="78" fillId="0" borderId="0" xfId="0" applyFont="1" applyBorder="1" applyAlignment="1">
      <alignment horizontal="left" vertical="center" wrapText="1"/>
    </xf>
    <xf numFmtId="0" fontId="78" fillId="0" borderId="52" xfId="0" applyFont="1" applyBorder="1" applyAlignment="1">
      <alignment horizontal="left" vertical="center" wrapText="1"/>
    </xf>
    <xf numFmtId="0" fontId="78" fillId="0" borderId="53" xfId="0" applyFont="1" applyBorder="1" applyAlignment="1">
      <alignment horizontal="left" vertical="center" wrapText="1"/>
    </xf>
    <xf numFmtId="0" fontId="78" fillId="0" borderId="54" xfId="0" applyFont="1" applyBorder="1" applyAlignment="1">
      <alignment horizontal="left" vertical="center" wrapText="1"/>
    </xf>
    <xf numFmtId="0" fontId="78" fillId="0" borderId="55" xfId="0" applyFont="1"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0"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51" xfId="0" applyFill="1" applyBorder="1" applyAlignment="1">
      <alignment horizontal="left" vertical="center" shrinkToFit="1"/>
    </xf>
    <xf numFmtId="0" fontId="0" fillId="0" borderId="0" xfId="0" applyFill="1" applyBorder="1" applyAlignment="1">
      <alignment horizontal="left" vertical="center" shrinkToFit="1"/>
    </xf>
    <xf numFmtId="0" fontId="0" fillId="0" borderId="52" xfId="0" applyFill="1" applyBorder="1" applyAlignment="1">
      <alignment horizontal="left" vertical="center" shrinkToFit="1"/>
    </xf>
    <xf numFmtId="0" fontId="41" fillId="5" borderId="3" xfId="10" applyFont="1" applyFill="1" applyBorder="1" applyAlignment="1" applyProtection="1">
      <alignment horizontal="left" vertical="center" shrinkToFit="1"/>
    </xf>
    <xf numFmtId="0" fontId="0" fillId="2" borderId="14" xfId="0"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0" fillId="2" borderId="10" xfId="0" applyFill="1" applyBorder="1" applyAlignment="1" applyProtection="1">
      <alignment horizontal="center" vertical="center" wrapText="1"/>
    </xf>
    <xf numFmtId="0" fontId="0" fillId="2" borderId="1" xfId="0" applyFill="1" applyBorder="1" applyAlignment="1" applyProtection="1">
      <alignment horizontal="center" vertical="center" shrinkToFit="1"/>
    </xf>
    <xf numFmtId="0" fontId="0" fillId="2" borderId="4" xfId="0" applyFill="1" applyBorder="1" applyAlignment="1" applyProtection="1">
      <alignment horizontal="center" vertical="center" shrinkToFit="1"/>
    </xf>
    <xf numFmtId="0" fontId="0" fillId="2" borderId="3" xfId="0" applyFill="1" applyBorder="1" applyAlignment="1" applyProtection="1">
      <alignment horizontal="center" vertical="center" shrinkToFit="1"/>
    </xf>
    <xf numFmtId="0" fontId="0" fillId="2" borderId="3" xfId="0" applyFill="1" applyBorder="1" applyAlignment="1" applyProtection="1">
      <alignment horizontal="center" vertical="center"/>
    </xf>
    <xf numFmtId="176" fontId="0" fillId="5" borderId="3" xfId="1" applyNumberFormat="1" applyFont="1" applyFill="1" applyBorder="1" applyAlignment="1" applyProtection="1">
      <alignment horizontal="center" vertical="center" shrinkToFit="1"/>
    </xf>
    <xf numFmtId="177" fontId="0" fillId="5" borderId="3" xfId="0" applyNumberFormat="1" applyFill="1" applyBorder="1" applyAlignment="1" applyProtection="1">
      <alignment horizontal="center" vertical="center" shrinkToFit="1"/>
    </xf>
    <xf numFmtId="0" fontId="0" fillId="2" borderId="1" xfId="0" applyFill="1" applyBorder="1" applyAlignment="1" applyProtection="1">
      <alignment horizontal="center" vertical="center"/>
    </xf>
    <xf numFmtId="0" fontId="0" fillId="2" borderId="2" xfId="0" applyFill="1" applyBorder="1" applyAlignment="1" applyProtection="1">
      <alignment horizontal="center" vertical="center"/>
    </xf>
    <xf numFmtId="176" fontId="0" fillId="5" borderId="1" xfId="1" applyNumberFormat="1" applyFont="1" applyFill="1" applyBorder="1" applyAlignment="1" applyProtection="1">
      <alignment horizontal="right" vertical="center" shrinkToFit="1"/>
    </xf>
    <xf numFmtId="176" fontId="0" fillId="5" borderId="2" xfId="1" applyNumberFormat="1" applyFont="1" applyFill="1" applyBorder="1" applyAlignment="1" applyProtection="1">
      <alignment horizontal="right" vertical="center" shrinkToFit="1"/>
    </xf>
    <xf numFmtId="177" fontId="0" fillId="5" borderId="3" xfId="0" applyNumberFormat="1" applyFill="1" applyBorder="1" applyAlignment="1" applyProtection="1">
      <alignment horizontal="right" vertical="center" shrinkToFit="1"/>
    </xf>
    <xf numFmtId="177" fontId="0" fillId="5" borderId="3" xfId="1" applyNumberFormat="1" applyFont="1" applyFill="1" applyBorder="1" applyAlignment="1" applyProtection="1">
      <alignment horizontal="right" vertical="center" shrinkToFit="1"/>
    </xf>
    <xf numFmtId="0" fontId="75" fillId="2" borderId="14" xfId="0" applyFont="1" applyFill="1" applyBorder="1" applyAlignment="1" applyProtection="1">
      <alignment horizontal="center" vertical="top" wrapText="1"/>
    </xf>
    <xf numFmtId="0" fontId="75" fillId="2" borderId="10" xfId="0" applyFont="1" applyFill="1" applyBorder="1" applyAlignment="1" applyProtection="1">
      <alignment horizontal="center" vertical="top" wrapText="1"/>
    </xf>
    <xf numFmtId="0" fontId="41" fillId="2" borderId="5" xfId="0" applyFont="1" applyFill="1" applyBorder="1" applyAlignment="1" applyProtection="1">
      <alignment horizontal="left" vertical="top"/>
    </xf>
    <xf numFmtId="0" fontId="41" fillId="2" borderId="19" xfId="0" applyFont="1" applyFill="1" applyBorder="1" applyAlignment="1" applyProtection="1">
      <alignment horizontal="left" vertical="top"/>
    </xf>
    <xf numFmtId="0" fontId="41" fillId="2" borderId="6" xfId="0" applyFont="1" applyFill="1" applyBorder="1" applyAlignment="1" applyProtection="1">
      <alignment horizontal="left" vertical="top"/>
    </xf>
    <xf numFmtId="0" fontId="41" fillId="2" borderId="18" xfId="0" applyFont="1" applyFill="1" applyBorder="1" applyAlignment="1" applyProtection="1">
      <alignment horizontal="left" vertical="top"/>
    </xf>
    <xf numFmtId="0" fontId="23" fillId="5" borderId="1" xfId="0" applyFont="1" applyFill="1" applyBorder="1" applyAlignment="1" applyProtection="1">
      <alignment horizontal="left" vertical="center" indent="1" shrinkToFit="1"/>
      <protection hidden="1"/>
    </xf>
    <xf numFmtId="0" fontId="23" fillId="5" borderId="4" xfId="0" applyFont="1" applyFill="1" applyBorder="1" applyAlignment="1" applyProtection="1">
      <alignment horizontal="left" vertical="center" indent="1" shrinkToFit="1"/>
      <protection hidden="1"/>
    </xf>
    <xf numFmtId="0" fontId="23" fillId="5" borderId="2" xfId="0" applyFont="1" applyFill="1" applyBorder="1" applyAlignment="1" applyProtection="1">
      <alignment horizontal="left" vertical="center" indent="1" shrinkToFit="1"/>
      <protection hidden="1"/>
    </xf>
    <xf numFmtId="0" fontId="30" fillId="5" borderId="5" xfId="0" applyFont="1" applyFill="1" applyBorder="1" applyAlignment="1" applyProtection="1">
      <alignment horizontal="left" vertical="top" wrapText="1" shrinkToFit="1"/>
      <protection locked="0"/>
    </xf>
    <xf numFmtId="0" fontId="30" fillId="5" borderId="15" xfId="0" applyFont="1" applyFill="1" applyBorder="1" applyAlignment="1" applyProtection="1">
      <alignment horizontal="left" vertical="top" wrapText="1" shrinkToFit="1"/>
      <protection locked="0"/>
    </xf>
    <xf numFmtId="0" fontId="30" fillId="5" borderId="19" xfId="0" applyFont="1" applyFill="1" applyBorder="1" applyAlignment="1" applyProtection="1">
      <alignment horizontal="left" vertical="top" wrapText="1" shrinkToFit="1"/>
      <protection locked="0"/>
    </xf>
    <xf numFmtId="0" fontId="30" fillId="5" borderId="20" xfId="0" applyFont="1" applyFill="1" applyBorder="1" applyAlignment="1" applyProtection="1">
      <alignment horizontal="left" vertical="top" wrapText="1" shrinkToFit="1"/>
      <protection locked="0"/>
    </xf>
    <xf numFmtId="0" fontId="30" fillId="5" borderId="0" xfId="0" applyFont="1" applyFill="1" applyBorder="1" applyAlignment="1" applyProtection="1">
      <alignment horizontal="left" vertical="top" wrapText="1" shrinkToFit="1"/>
      <protection locked="0"/>
    </xf>
    <xf numFmtId="0" fontId="30" fillId="5" borderId="21" xfId="0" applyFont="1" applyFill="1" applyBorder="1" applyAlignment="1" applyProtection="1">
      <alignment horizontal="left" vertical="top" wrapText="1" shrinkToFit="1"/>
      <protection locked="0"/>
    </xf>
    <xf numFmtId="0" fontId="30" fillId="5" borderId="6" xfId="0" applyFont="1" applyFill="1" applyBorder="1" applyAlignment="1" applyProtection="1">
      <alignment horizontal="left" vertical="top" wrapText="1" shrinkToFit="1"/>
      <protection locked="0"/>
    </xf>
    <xf numFmtId="0" fontId="30" fillId="5" borderId="17" xfId="0" applyFont="1" applyFill="1" applyBorder="1" applyAlignment="1" applyProtection="1">
      <alignment horizontal="left" vertical="top" wrapText="1" shrinkToFit="1"/>
      <protection locked="0"/>
    </xf>
    <xf numFmtId="0" fontId="30" fillId="5" borderId="18" xfId="0" applyFont="1" applyFill="1" applyBorder="1" applyAlignment="1" applyProtection="1">
      <alignment horizontal="left" vertical="top" wrapText="1" shrinkToFit="1"/>
      <protection locked="0"/>
    </xf>
    <xf numFmtId="0" fontId="0" fillId="2" borderId="1" xfId="0" applyFill="1" applyBorder="1" applyAlignment="1" applyProtection="1">
      <alignment horizontal="left" vertical="center"/>
    </xf>
    <xf numFmtId="0" fontId="0" fillId="2" borderId="4" xfId="0" applyFill="1" applyBorder="1" applyAlignment="1" applyProtection="1">
      <alignment horizontal="left" vertical="center"/>
    </xf>
    <xf numFmtId="0" fontId="0" fillId="2" borderId="2" xfId="0" applyFill="1" applyBorder="1" applyAlignment="1" applyProtection="1">
      <alignment horizontal="left" vertical="center"/>
    </xf>
    <xf numFmtId="0" fontId="21" fillId="0" borderId="15" xfId="10" applyFont="1" applyFill="1" applyBorder="1" applyAlignment="1" applyProtection="1">
      <alignment horizontal="center" vertical="center"/>
      <protection locked="0" hidden="1"/>
    </xf>
    <xf numFmtId="0" fontId="48" fillId="7" borderId="1" xfId="10" applyFont="1" applyFill="1" applyBorder="1" applyAlignment="1" applyProtection="1">
      <alignment horizontal="center" vertical="center"/>
    </xf>
    <xf numFmtId="0" fontId="48" fillId="7" borderId="4" xfId="10" applyFont="1" applyFill="1" applyBorder="1" applyAlignment="1" applyProtection="1">
      <alignment horizontal="center" vertical="center"/>
    </xf>
    <xf numFmtId="0" fontId="48" fillId="7" borderId="2" xfId="10" applyFont="1" applyFill="1" applyBorder="1" applyAlignment="1" applyProtection="1">
      <alignment horizontal="center" vertical="center"/>
    </xf>
    <xf numFmtId="0" fontId="50" fillId="0" borderId="0" xfId="10" applyFont="1" applyFill="1" applyBorder="1" applyAlignment="1" applyProtection="1">
      <alignment horizontal="left" vertical="center" wrapText="1"/>
      <protection hidden="1"/>
    </xf>
    <xf numFmtId="0" fontId="41" fillId="5" borderId="1" xfId="10" applyFont="1" applyFill="1" applyBorder="1" applyAlignment="1" applyProtection="1">
      <alignment horizontal="center" vertical="center"/>
      <protection hidden="1"/>
    </xf>
    <xf numFmtId="0" fontId="41" fillId="5" borderId="2" xfId="10" applyFont="1" applyFill="1" applyBorder="1" applyAlignment="1" applyProtection="1">
      <alignment horizontal="center" vertical="center"/>
      <protection hidden="1"/>
    </xf>
    <xf numFmtId="0" fontId="54" fillId="0" borderId="20" xfId="10" applyFont="1" applyBorder="1" applyAlignment="1" applyProtection="1">
      <alignment horizontal="left" vertical="center" wrapText="1"/>
      <protection hidden="1"/>
    </xf>
    <xf numFmtId="0" fontId="54" fillId="0" borderId="0" xfId="10" applyFont="1" applyBorder="1" applyAlignment="1" applyProtection="1">
      <alignment horizontal="left" vertical="center" wrapText="1"/>
      <protection hidden="1"/>
    </xf>
    <xf numFmtId="177" fontId="0" fillId="5" borderId="1" xfId="1" applyNumberFormat="1" applyFont="1" applyFill="1" applyBorder="1" applyAlignment="1" applyProtection="1">
      <alignment horizontal="right" vertical="center" shrinkToFit="1"/>
    </xf>
    <xf numFmtId="177" fontId="0" fillId="5" borderId="2" xfId="1" applyNumberFormat="1" applyFont="1" applyFill="1" applyBorder="1" applyAlignment="1" applyProtection="1">
      <alignment horizontal="right" vertical="center" shrinkToFit="1"/>
    </xf>
    <xf numFmtId="177" fontId="0" fillId="5" borderId="1" xfId="0" applyNumberFormat="1" applyFill="1" applyBorder="1" applyAlignment="1" applyProtection="1">
      <alignment horizontal="right" vertical="center" shrinkToFit="1"/>
    </xf>
    <xf numFmtId="177" fontId="0" fillId="5" borderId="2" xfId="0" applyNumberFormat="1" applyFill="1" applyBorder="1" applyAlignment="1" applyProtection="1">
      <alignment horizontal="right" vertical="center" shrinkToFit="1"/>
    </xf>
    <xf numFmtId="0" fontId="21" fillId="0" borderId="15" xfId="10" applyFont="1" applyFill="1" applyBorder="1" applyAlignment="1" applyProtection="1">
      <alignment horizontal="center" vertical="center"/>
      <protection locked="0"/>
    </xf>
    <xf numFmtId="38" fontId="0" fillId="5" borderId="3" xfId="1" applyFont="1" applyFill="1" applyBorder="1" applyAlignment="1" applyProtection="1">
      <alignment horizontal="center" vertical="center" shrinkToFit="1"/>
    </xf>
    <xf numFmtId="177" fontId="0" fillId="5" borderId="3" xfId="1" applyNumberFormat="1" applyFont="1" applyFill="1" applyBorder="1" applyAlignment="1" applyProtection="1">
      <alignment horizontal="center" vertical="center" shrinkToFit="1"/>
    </xf>
    <xf numFmtId="0" fontId="41" fillId="0" borderId="73" xfId="10" applyFont="1" applyFill="1" applyBorder="1" applyAlignment="1" applyProtection="1">
      <alignment horizontal="center" vertical="center" shrinkToFit="1"/>
      <protection locked="0"/>
    </xf>
    <xf numFmtId="0" fontId="41" fillId="0" borderId="74" xfId="10" applyFont="1" applyFill="1" applyBorder="1" applyAlignment="1" applyProtection="1">
      <alignment horizontal="center" vertical="center" shrinkToFit="1"/>
      <protection locked="0"/>
    </xf>
    <xf numFmtId="0" fontId="41" fillId="0" borderId="75" xfId="10" applyFont="1" applyFill="1" applyBorder="1" applyAlignment="1" applyProtection="1">
      <alignment horizontal="center" vertical="center" shrinkToFit="1"/>
      <protection locked="0"/>
    </xf>
    <xf numFmtId="0" fontId="41" fillId="7" borderId="17" xfId="10" applyFont="1" applyFill="1" applyBorder="1" applyAlignment="1" applyProtection="1">
      <alignment horizontal="center" vertical="center" shrinkToFit="1"/>
    </xf>
    <xf numFmtId="0" fontId="41" fillId="7" borderId="18" xfId="10" applyFont="1" applyFill="1" applyBorder="1" applyAlignment="1" applyProtection="1">
      <alignment horizontal="center" vertical="center" shrinkToFit="1"/>
    </xf>
    <xf numFmtId="0" fontId="0" fillId="2" borderId="2" xfId="0" applyFill="1" applyBorder="1" applyAlignment="1" applyProtection="1">
      <alignment horizontal="center" vertical="center" shrinkToFit="1"/>
    </xf>
    <xf numFmtId="38" fontId="0" fillId="5" borderId="1" xfId="1" applyFont="1" applyFill="1" applyBorder="1" applyAlignment="1" applyProtection="1">
      <alignment horizontal="right" vertical="center" shrinkToFit="1"/>
    </xf>
    <xf numFmtId="38" fontId="0" fillId="5" borderId="2" xfId="1" applyFont="1" applyFill="1" applyBorder="1" applyAlignment="1" applyProtection="1">
      <alignment horizontal="right" vertical="center" shrinkToFit="1"/>
    </xf>
    <xf numFmtId="0" fontId="41" fillId="5" borderId="1" xfId="10" applyFont="1" applyFill="1" applyBorder="1" applyAlignment="1" applyProtection="1">
      <alignment horizontal="left" vertical="center" shrinkToFit="1"/>
    </xf>
    <xf numFmtId="0" fontId="41" fillId="5" borderId="4" xfId="10" applyFont="1" applyFill="1" applyBorder="1" applyAlignment="1" applyProtection="1">
      <alignment horizontal="left" vertical="center" shrinkToFit="1"/>
    </xf>
    <xf numFmtId="0" fontId="41" fillId="5" borderId="2" xfId="10" applyFont="1" applyFill="1" applyBorder="1" applyAlignment="1" applyProtection="1">
      <alignment horizontal="left" vertical="center" shrinkToFit="1"/>
    </xf>
    <xf numFmtId="0" fontId="41" fillId="0" borderId="0" xfId="10" applyFont="1" applyFill="1" applyBorder="1" applyAlignment="1" applyProtection="1">
      <alignment horizontal="center" vertical="center"/>
      <protection hidden="1"/>
    </xf>
    <xf numFmtId="0" fontId="21" fillId="0" borderId="0" xfId="10" applyFont="1" applyFill="1" applyBorder="1" applyAlignment="1" applyProtection="1">
      <alignment horizontal="center" vertical="center"/>
      <protection locked="0"/>
    </xf>
    <xf numFmtId="0" fontId="50" fillId="0" borderId="0" xfId="10" applyFont="1" applyFill="1" applyBorder="1" applyAlignment="1" applyProtection="1">
      <alignment horizontal="center" vertical="center" wrapText="1"/>
      <protection hidden="1"/>
    </xf>
    <xf numFmtId="0" fontId="41" fillId="0" borderId="0" xfId="10" applyFont="1" applyFill="1" applyBorder="1" applyAlignment="1" applyProtection="1">
      <alignment horizontal="center" vertical="center" shrinkToFit="1"/>
    </xf>
    <xf numFmtId="0" fontId="48" fillId="0" borderId="0" xfId="10" applyFont="1" applyFill="1" applyBorder="1" applyAlignment="1" applyProtection="1">
      <alignment horizontal="center" vertical="center"/>
    </xf>
    <xf numFmtId="0" fontId="41" fillId="2" borderId="15" xfId="0" applyFont="1" applyFill="1" applyBorder="1" applyAlignment="1" applyProtection="1">
      <alignment horizontal="left" vertical="top"/>
    </xf>
    <xf numFmtId="0" fontId="41" fillId="2" borderId="17" xfId="0" applyFont="1" applyFill="1" applyBorder="1" applyAlignment="1" applyProtection="1">
      <alignment horizontal="left" vertical="top"/>
    </xf>
    <xf numFmtId="176" fontId="0" fillId="5" borderId="3" xfId="1" applyNumberFormat="1" applyFont="1" applyFill="1" applyBorder="1" applyAlignment="1" applyProtection="1">
      <alignment horizontal="right" vertical="center" shrinkToFit="1"/>
    </xf>
    <xf numFmtId="177" fontId="0" fillId="5" borderId="3" xfId="1" applyNumberFormat="1" applyFont="1" applyFill="1" applyBorder="1" applyAlignment="1" applyProtection="1">
      <alignment horizontal="right" shrinkToFit="1"/>
    </xf>
    <xf numFmtId="0" fontId="0" fillId="5" borderId="32" xfId="0" applyFill="1" applyBorder="1" applyAlignment="1" applyProtection="1">
      <alignment horizontal="left" vertical="center" shrinkToFit="1"/>
    </xf>
    <xf numFmtId="0" fontId="0" fillId="5" borderId="33" xfId="0" applyFill="1" applyBorder="1" applyAlignment="1" applyProtection="1">
      <alignment horizontal="left" vertical="center" shrinkToFit="1"/>
    </xf>
    <xf numFmtId="0" fontId="0" fillId="5" borderId="34" xfId="0" applyFill="1" applyBorder="1" applyAlignment="1" applyProtection="1">
      <alignment horizontal="left" vertical="center" shrinkToFit="1"/>
    </xf>
    <xf numFmtId="0" fontId="27" fillId="7" borderId="1"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2" xfId="0" applyFont="1" applyFill="1" applyBorder="1" applyAlignment="1" applyProtection="1">
      <alignment horizontal="center" vertical="center"/>
    </xf>
    <xf numFmtId="0" fontId="26" fillId="7" borderId="1" xfId="0" applyFont="1" applyFill="1" applyBorder="1" applyAlignment="1" applyProtection="1">
      <alignment horizontal="center" vertical="center"/>
    </xf>
    <xf numFmtId="0" fontId="26" fillId="7" borderId="4" xfId="0" applyFont="1" applyFill="1" applyBorder="1" applyAlignment="1" applyProtection="1">
      <alignment horizontal="center" vertical="center"/>
    </xf>
    <xf numFmtId="0" fontId="0" fillId="5" borderId="1" xfId="0" applyFill="1" applyBorder="1" applyAlignment="1" applyProtection="1">
      <alignment horizontal="left" vertical="top" indent="1" shrinkToFit="1"/>
      <protection locked="0"/>
    </xf>
    <xf numFmtId="0" fontId="0" fillId="5" borderId="4" xfId="0" applyFill="1" applyBorder="1" applyAlignment="1" applyProtection="1">
      <alignment horizontal="left" vertical="top" indent="1" shrinkToFit="1"/>
      <protection locked="0"/>
    </xf>
    <xf numFmtId="0" fontId="0" fillId="5" borderId="2" xfId="0" applyFill="1" applyBorder="1" applyAlignment="1" applyProtection="1">
      <alignment horizontal="left" vertical="top" indent="1" shrinkToFit="1"/>
      <protection locked="0"/>
    </xf>
    <xf numFmtId="0" fontId="23" fillId="5" borderId="1" xfId="0" applyFont="1" applyFill="1" applyBorder="1" applyAlignment="1" applyProtection="1">
      <alignment horizontal="left" vertical="center" shrinkToFit="1"/>
      <protection hidden="1"/>
    </xf>
    <xf numFmtId="0" fontId="23" fillId="5" borderId="4" xfId="0" applyFont="1" applyFill="1" applyBorder="1" applyAlignment="1" applyProtection="1">
      <alignment horizontal="left" vertical="center" shrinkToFit="1"/>
      <protection hidden="1"/>
    </xf>
    <xf numFmtId="0" fontId="23" fillId="5" borderId="2" xfId="0" applyFont="1" applyFill="1" applyBorder="1" applyAlignment="1" applyProtection="1">
      <alignment horizontal="left" vertical="center" shrinkToFit="1"/>
      <protection hidden="1"/>
    </xf>
    <xf numFmtId="0" fontId="0" fillId="2" borderId="1"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75" fillId="0" borderId="17" xfId="0" applyFont="1" applyBorder="1" applyAlignment="1" applyProtection="1">
      <alignment horizontal="left" vertical="center" wrapText="1"/>
    </xf>
    <xf numFmtId="0" fontId="31" fillId="14" borderId="1" xfId="0" applyFont="1" applyFill="1" applyBorder="1" applyAlignment="1" applyProtection="1">
      <alignment horizontal="center" shrinkToFit="1"/>
    </xf>
    <xf numFmtId="0" fontId="31" fillId="14" borderId="2" xfId="0" applyFont="1" applyFill="1" applyBorder="1" applyAlignment="1" applyProtection="1">
      <alignment horizontal="center" shrinkToFit="1"/>
    </xf>
    <xf numFmtId="0" fontId="41" fillId="0" borderId="71" xfId="0" applyFont="1" applyFill="1" applyBorder="1" applyAlignment="1" applyProtection="1">
      <alignment horizontal="center" vertical="center" shrinkToFit="1"/>
      <protection locked="0"/>
    </xf>
    <xf numFmtId="0" fontId="41" fillId="0" borderId="72" xfId="0" applyFont="1" applyFill="1" applyBorder="1" applyAlignment="1" applyProtection="1">
      <alignment horizontal="center" vertical="center" shrinkToFit="1"/>
      <protection locked="0"/>
    </xf>
    <xf numFmtId="0" fontId="0" fillId="5" borderId="67" xfId="0" applyFill="1" applyBorder="1" applyAlignment="1" applyProtection="1">
      <alignment horizontal="center" vertical="center"/>
    </xf>
    <xf numFmtId="0" fontId="0" fillId="5" borderId="68" xfId="0" applyFill="1" applyBorder="1" applyAlignment="1" applyProtection="1">
      <alignment horizontal="center" vertical="center"/>
    </xf>
    <xf numFmtId="0" fontId="41" fillId="0" borderId="1" xfId="0" applyFont="1" applyFill="1" applyBorder="1" applyAlignment="1" applyProtection="1">
      <alignment horizontal="center" shrinkToFit="1"/>
      <protection locked="0"/>
    </xf>
    <xf numFmtId="0" fontId="41" fillId="0" borderId="2" xfId="0" applyFont="1" applyFill="1" applyBorder="1" applyAlignment="1" applyProtection="1">
      <alignment horizontal="center" shrinkToFit="1"/>
      <protection locked="0"/>
    </xf>
    <xf numFmtId="0" fontId="74" fillId="0" borderId="20" xfId="10" applyFont="1" applyBorder="1" applyAlignment="1" applyProtection="1">
      <alignment horizontal="left" vertical="center" wrapText="1"/>
      <protection hidden="1"/>
    </xf>
    <xf numFmtId="0" fontId="74" fillId="0" borderId="0" xfId="10" applyFont="1" applyBorder="1" applyAlignment="1" applyProtection="1">
      <alignment horizontal="left" vertical="center" wrapText="1"/>
      <protection hidden="1"/>
    </xf>
    <xf numFmtId="38" fontId="37" fillId="0" borderId="0" xfId="12" applyFont="1" applyBorder="1" applyAlignment="1" applyProtection="1">
      <alignment horizontal="center" vertical="center" shrinkToFit="1"/>
    </xf>
    <xf numFmtId="0" fontId="43" fillId="2" borderId="5" xfId="0" applyFont="1" applyFill="1" applyBorder="1" applyAlignment="1" applyProtection="1">
      <alignment horizontal="center" vertical="top" wrapText="1"/>
    </xf>
    <xf numFmtId="0" fontId="43" fillId="2" borderId="19" xfId="0" applyFont="1" applyFill="1" applyBorder="1" applyAlignment="1" applyProtection="1">
      <alignment horizontal="center" vertical="top" wrapText="1"/>
    </xf>
    <xf numFmtId="0" fontId="43" fillId="2" borderId="6" xfId="0" applyFont="1" applyFill="1" applyBorder="1" applyAlignment="1" applyProtection="1">
      <alignment horizontal="center" vertical="top" wrapText="1"/>
    </xf>
    <xf numFmtId="0" fontId="43" fillId="2" borderId="18" xfId="0" applyFont="1" applyFill="1" applyBorder="1" applyAlignment="1" applyProtection="1">
      <alignment horizontal="center" vertical="top" wrapText="1"/>
    </xf>
    <xf numFmtId="179" fontId="67" fillId="16" borderId="14" xfId="0" applyNumberFormat="1" applyFont="1" applyFill="1" applyBorder="1" applyAlignment="1" applyProtection="1">
      <alignment horizontal="center" vertical="center" wrapText="1" shrinkToFit="1"/>
    </xf>
    <xf numFmtId="179" fontId="67" fillId="16" borderId="70" xfId="0" applyNumberFormat="1" applyFont="1" applyFill="1" applyBorder="1" applyAlignment="1" applyProtection="1">
      <alignment horizontal="center" vertical="center" wrapText="1" shrinkToFit="1"/>
    </xf>
    <xf numFmtId="179" fontId="68" fillId="16" borderId="14" xfId="0" applyNumberFormat="1" applyFont="1" applyFill="1" applyBorder="1" applyAlignment="1" applyProtection="1">
      <alignment horizontal="center" vertical="center" wrapText="1" shrinkToFit="1"/>
    </xf>
    <xf numFmtId="179" fontId="68" fillId="16" borderId="70" xfId="0" applyNumberFormat="1" applyFont="1" applyFill="1" applyBorder="1" applyAlignment="1" applyProtection="1">
      <alignment horizontal="center" vertical="center" wrapText="1" shrinkToFit="1"/>
    </xf>
    <xf numFmtId="0" fontId="11" fillId="5" borderId="1" xfId="10" applyFill="1" applyBorder="1" applyAlignment="1" applyProtection="1">
      <alignment horizontal="left" vertical="top" indent="1" shrinkToFit="1"/>
    </xf>
    <xf numFmtId="0" fontId="11" fillId="5" borderId="4" xfId="10" applyFill="1" applyBorder="1" applyAlignment="1" applyProtection="1">
      <alignment horizontal="left" vertical="top" indent="1" shrinkToFit="1"/>
    </xf>
    <xf numFmtId="0" fontId="11" fillId="5" borderId="2" xfId="10" applyFill="1" applyBorder="1" applyAlignment="1" applyProtection="1">
      <alignment horizontal="left" vertical="top" indent="1" shrinkToFit="1"/>
    </xf>
    <xf numFmtId="177" fontId="0" fillId="5" borderId="1" xfId="1" applyNumberFormat="1" applyFont="1" applyFill="1" applyBorder="1" applyAlignment="1" applyProtection="1">
      <alignment horizontal="right" vertical="center"/>
    </xf>
    <xf numFmtId="177" fontId="0" fillId="5" borderId="2" xfId="1" applyNumberFormat="1" applyFont="1" applyFill="1" applyBorder="1" applyAlignment="1" applyProtection="1">
      <alignment horizontal="right" vertical="center"/>
    </xf>
    <xf numFmtId="0" fontId="43" fillId="2" borderId="14" xfId="0" applyFont="1" applyFill="1" applyBorder="1" applyAlignment="1" applyProtection="1">
      <alignment horizontal="center" vertical="top" wrapText="1"/>
    </xf>
    <xf numFmtId="0" fontId="43" fillId="2" borderId="10" xfId="0" applyFont="1" applyFill="1" applyBorder="1" applyAlignment="1" applyProtection="1">
      <alignment horizontal="center" vertical="top" wrapText="1"/>
    </xf>
    <xf numFmtId="176" fontId="0" fillId="5" borderId="1" xfId="1" applyNumberFormat="1" applyFont="1" applyFill="1" applyBorder="1" applyAlignment="1" applyProtection="1">
      <alignment horizontal="right" vertical="center"/>
    </xf>
    <xf numFmtId="176" fontId="0" fillId="5" borderId="2" xfId="1" applyNumberFormat="1" applyFont="1" applyFill="1" applyBorder="1" applyAlignment="1" applyProtection="1">
      <alignment horizontal="right" vertical="center"/>
    </xf>
    <xf numFmtId="177" fontId="0" fillId="5" borderId="1" xfId="0" applyNumberFormat="1" applyFill="1" applyBorder="1" applyAlignment="1" applyProtection="1">
      <alignment horizontal="right" vertical="center"/>
    </xf>
    <xf numFmtId="177" fontId="0" fillId="5" borderId="2" xfId="0" applyNumberFormat="1" applyFill="1" applyBorder="1" applyAlignment="1" applyProtection="1">
      <alignment horizontal="right" vertical="center"/>
    </xf>
    <xf numFmtId="0" fontId="41" fillId="13" borderId="3" xfId="10" applyFont="1" applyFill="1" applyBorder="1" applyAlignment="1" applyProtection="1">
      <alignment horizontal="center" vertical="center" shrinkToFit="1"/>
      <protection locked="0"/>
    </xf>
    <xf numFmtId="0" fontId="30" fillId="13" borderId="3" xfId="0" applyFont="1" applyFill="1" applyBorder="1" applyAlignment="1" applyProtection="1">
      <alignment horizontal="center" vertical="center" shrinkToFit="1"/>
      <protection locked="0"/>
    </xf>
    <xf numFmtId="0" fontId="11" fillId="13" borderId="3" xfId="10" applyFill="1" applyBorder="1" applyAlignment="1" applyProtection="1">
      <alignment horizontal="center" vertical="center" shrinkToFit="1"/>
      <protection locked="0"/>
    </xf>
    <xf numFmtId="0" fontId="0" fillId="2" borderId="3" xfId="0" applyFill="1" applyBorder="1" applyAlignment="1">
      <alignment horizontal="center" vertical="center"/>
    </xf>
    <xf numFmtId="177" fontId="0" fillId="5" borderId="3" xfId="1" applyNumberFormat="1" applyFont="1" applyFill="1" applyBorder="1" applyAlignment="1" applyProtection="1">
      <alignment horizontal="right" vertical="center"/>
    </xf>
    <xf numFmtId="177" fontId="0" fillId="5" borderId="3" xfId="0" applyNumberFormat="1" applyFill="1" applyBorder="1" applyAlignment="1">
      <alignment horizontal="right" vertical="center" wrapText="1"/>
    </xf>
    <xf numFmtId="176" fontId="0" fillId="5" borderId="3" xfId="1" applyNumberFormat="1" applyFont="1" applyFill="1" applyBorder="1" applyAlignment="1">
      <alignment horizontal="right" vertical="center" wrapText="1"/>
    </xf>
    <xf numFmtId="0" fontId="0" fillId="5" borderId="1" xfId="0" applyFill="1" applyBorder="1" applyAlignment="1">
      <alignment horizontal="left" vertical="top" indent="1" shrinkToFit="1"/>
    </xf>
    <xf numFmtId="0" fontId="0" fillId="5" borderId="4" xfId="0" applyFill="1" applyBorder="1" applyAlignment="1">
      <alignment horizontal="left" vertical="top" indent="1" shrinkToFit="1"/>
    </xf>
    <xf numFmtId="0" fontId="0" fillId="5" borderId="2" xfId="0" applyFill="1" applyBorder="1" applyAlignment="1">
      <alignment horizontal="left" vertical="top" indent="1" shrinkToFit="1"/>
    </xf>
    <xf numFmtId="0" fontId="41" fillId="2" borderId="14" xfId="0" applyFont="1" applyFill="1" applyBorder="1" applyAlignment="1">
      <alignment horizontal="center" vertical="center"/>
    </xf>
    <xf numFmtId="0" fontId="41" fillId="2" borderId="10" xfId="0" applyFont="1" applyFill="1" applyBorder="1" applyAlignment="1">
      <alignment horizontal="center" vertical="center"/>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177" fontId="0" fillId="5" borderId="3" xfId="0" applyNumberFormat="1" applyFill="1" applyBorder="1" applyAlignment="1">
      <alignment horizontal="right" vertical="center"/>
    </xf>
    <xf numFmtId="176" fontId="0" fillId="5" borderId="3" xfId="1" applyNumberFormat="1" applyFont="1" applyFill="1" applyBorder="1" applyAlignment="1">
      <alignment horizontal="right" vertical="center"/>
    </xf>
    <xf numFmtId="0" fontId="23" fillId="0" borderId="1" xfId="0" applyFont="1" applyBorder="1" applyAlignment="1" applyProtection="1">
      <alignment horizontal="left" vertical="center" indent="1" shrinkToFit="1"/>
      <protection hidden="1"/>
    </xf>
    <xf numFmtId="0" fontId="23" fillId="0" borderId="4" xfId="0" applyFont="1" applyBorder="1" applyAlignment="1" applyProtection="1">
      <alignment horizontal="left" vertical="center" indent="1" shrinkToFit="1"/>
      <protection hidden="1"/>
    </xf>
    <xf numFmtId="0" fontId="23" fillId="0" borderId="2" xfId="0" applyFont="1" applyBorder="1" applyAlignment="1" applyProtection="1">
      <alignment horizontal="left" vertical="center" indent="1" shrinkToFit="1"/>
      <protection hidden="1"/>
    </xf>
    <xf numFmtId="0" fontId="42" fillId="2" borderId="14" xfId="0" applyFont="1" applyFill="1" applyBorder="1" applyAlignment="1" applyProtection="1">
      <alignment horizontal="center" vertical="top" wrapText="1"/>
    </xf>
    <xf numFmtId="0" fontId="42" fillId="2" borderId="10" xfId="0" applyFont="1" applyFill="1" applyBorder="1" applyAlignment="1" applyProtection="1">
      <alignment horizontal="center" vertical="top" wrapText="1"/>
    </xf>
    <xf numFmtId="177" fontId="0" fillId="0" borderId="1" xfId="1" applyNumberFormat="1" applyFont="1" applyBorder="1" applyAlignment="1" applyProtection="1">
      <alignment horizontal="center" vertical="center"/>
    </xf>
    <xf numFmtId="177" fontId="0" fillId="0" borderId="2" xfId="1" applyNumberFormat="1" applyFont="1" applyBorder="1" applyAlignment="1" applyProtection="1">
      <alignment horizontal="center" vertical="center"/>
    </xf>
    <xf numFmtId="177" fontId="0" fillId="0" borderId="4" xfId="1" applyNumberFormat="1" applyFont="1" applyBorder="1" applyAlignment="1" applyProtection="1">
      <alignment horizontal="center" vertical="center"/>
    </xf>
    <xf numFmtId="0" fontId="11" fillId="0" borderId="1" xfId="10" applyBorder="1" applyAlignment="1" applyProtection="1">
      <alignment horizontal="center" vertical="center"/>
    </xf>
    <xf numFmtId="0" fontId="11" fillId="0" borderId="2" xfId="10" applyBorder="1" applyAlignment="1" applyProtection="1">
      <alignment horizontal="center" vertical="center"/>
    </xf>
    <xf numFmtId="0" fontId="11" fillId="0" borderId="4" xfId="10" applyBorder="1" applyAlignment="1" applyProtection="1">
      <alignment horizontal="center" vertical="center"/>
    </xf>
    <xf numFmtId="0" fontId="30" fillId="3" borderId="5" xfId="0" applyFont="1" applyFill="1" applyBorder="1" applyAlignment="1" applyProtection="1">
      <alignment horizontal="left" vertical="top" wrapText="1" shrinkToFit="1"/>
      <protection locked="0"/>
    </xf>
    <xf numFmtId="0" fontId="30" fillId="3" borderId="15" xfId="0" applyFont="1" applyFill="1" applyBorder="1" applyAlignment="1" applyProtection="1">
      <alignment horizontal="left" vertical="top" wrapText="1" shrinkToFit="1"/>
      <protection locked="0"/>
    </xf>
    <xf numFmtId="0" fontId="30" fillId="3" borderId="19" xfId="0" applyFont="1" applyFill="1" applyBorder="1" applyAlignment="1" applyProtection="1">
      <alignment horizontal="left" vertical="top" wrapText="1" shrinkToFit="1"/>
      <protection locked="0"/>
    </xf>
    <xf numFmtId="0" fontId="30" fillId="3" borderId="20" xfId="0" applyFont="1" applyFill="1" applyBorder="1" applyAlignment="1" applyProtection="1">
      <alignment horizontal="left" vertical="top" wrapText="1" shrinkToFit="1"/>
      <protection locked="0"/>
    </xf>
    <xf numFmtId="0" fontId="30" fillId="3" borderId="0" xfId="0" applyFont="1" applyFill="1" applyBorder="1" applyAlignment="1" applyProtection="1">
      <alignment horizontal="left" vertical="top" wrapText="1" shrinkToFit="1"/>
      <protection locked="0"/>
    </xf>
    <xf numFmtId="0" fontId="30" fillId="3" borderId="21" xfId="0" applyFont="1" applyFill="1" applyBorder="1" applyAlignment="1" applyProtection="1">
      <alignment horizontal="left" vertical="top" wrapText="1" shrinkToFit="1"/>
      <protection locked="0"/>
    </xf>
    <xf numFmtId="0" fontId="30" fillId="3" borderId="6" xfId="0" applyFont="1" applyFill="1" applyBorder="1" applyAlignment="1" applyProtection="1">
      <alignment horizontal="left" vertical="top" wrapText="1" shrinkToFit="1"/>
      <protection locked="0"/>
    </xf>
    <xf numFmtId="0" fontId="30" fillId="3" borderId="17" xfId="0" applyFont="1" applyFill="1" applyBorder="1" applyAlignment="1" applyProtection="1">
      <alignment horizontal="left" vertical="top" wrapText="1" shrinkToFit="1"/>
      <protection locked="0"/>
    </xf>
    <xf numFmtId="0" fontId="30" fillId="3" borderId="18" xfId="0" applyFont="1" applyFill="1" applyBorder="1" applyAlignment="1" applyProtection="1">
      <alignment horizontal="left" vertical="top" wrapText="1" shrinkToFit="1"/>
      <protection locked="0"/>
    </xf>
    <xf numFmtId="0" fontId="41" fillId="10" borderId="1" xfId="10" applyFont="1" applyFill="1" applyBorder="1" applyAlignment="1" applyProtection="1">
      <alignment horizontal="center" vertical="center" shrinkToFit="1"/>
      <protection locked="0"/>
    </xf>
    <xf numFmtId="0" fontId="41" fillId="10" borderId="4" xfId="10" applyFont="1" applyFill="1" applyBorder="1" applyAlignment="1" applyProtection="1">
      <alignment horizontal="center" vertical="center" shrinkToFit="1"/>
      <protection locked="0"/>
    </xf>
    <xf numFmtId="0" fontId="41" fillId="10" borderId="2" xfId="10" applyFont="1" applyFill="1" applyBorder="1" applyAlignment="1" applyProtection="1">
      <alignment horizontal="center" vertical="center" shrinkToFit="1"/>
      <protection locked="0"/>
    </xf>
    <xf numFmtId="0" fontId="30" fillId="10" borderId="1" xfId="0" applyFont="1" applyFill="1" applyBorder="1" applyAlignment="1" applyProtection="1">
      <alignment horizontal="center" vertical="top" shrinkToFit="1"/>
      <protection locked="0"/>
    </xf>
    <xf numFmtId="0" fontId="30" fillId="10" borderId="2" xfId="0" applyFont="1" applyFill="1" applyBorder="1" applyAlignment="1" applyProtection="1">
      <alignment horizontal="center" vertical="top" shrinkToFit="1"/>
      <protection locked="0"/>
    </xf>
    <xf numFmtId="0" fontId="11" fillId="10" borderId="1" xfId="10" applyFill="1" applyBorder="1" applyAlignment="1" applyProtection="1">
      <alignment horizontal="center" vertical="center" shrinkToFit="1"/>
      <protection locked="0"/>
    </xf>
    <xf numFmtId="0" fontId="11" fillId="10" borderId="2" xfId="10" applyFill="1" applyBorder="1" applyAlignment="1" applyProtection="1">
      <alignment horizontal="center" vertical="center" shrinkToFit="1"/>
      <protection locked="0"/>
    </xf>
    <xf numFmtId="0" fontId="0" fillId="2" borderId="4" xfId="0" applyFill="1" applyBorder="1" applyAlignment="1" applyProtection="1">
      <alignment horizontal="center" vertical="center"/>
    </xf>
    <xf numFmtId="176" fontId="0" fillId="0" borderId="1" xfId="1" applyNumberFormat="1" applyFont="1" applyBorder="1" applyAlignment="1" applyProtection="1">
      <alignment horizontal="center" vertical="center"/>
    </xf>
    <xf numFmtId="176" fontId="0" fillId="0" borderId="2" xfId="1" applyNumberFormat="1" applyFont="1" applyBorder="1" applyAlignment="1" applyProtection="1">
      <alignment horizontal="center" vertical="center"/>
    </xf>
    <xf numFmtId="177" fontId="0" fillId="0" borderId="1" xfId="0" applyNumberFormat="1" applyBorder="1" applyAlignment="1" applyProtection="1">
      <alignment horizontal="center" vertical="center"/>
    </xf>
    <xf numFmtId="177" fontId="0" fillId="0" borderId="2" xfId="0" applyNumberFormat="1" applyBorder="1" applyAlignment="1" applyProtection="1">
      <alignment horizontal="center" vertical="center"/>
    </xf>
    <xf numFmtId="177" fontId="0" fillId="0" borderId="4" xfId="0" applyNumberFormat="1" applyBorder="1" applyAlignment="1" applyProtection="1">
      <alignment horizontal="center" vertical="center"/>
    </xf>
    <xf numFmtId="176" fontId="0" fillId="0" borderId="4" xfId="1" applyNumberFormat="1" applyFont="1" applyBorder="1" applyAlignment="1" applyProtection="1">
      <alignment horizontal="center" vertical="center"/>
    </xf>
    <xf numFmtId="0" fontId="41" fillId="2" borderId="3" xfId="0" applyFont="1" applyFill="1" applyBorder="1" applyAlignment="1">
      <alignment horizontal="center" vertical="center"/>
    </xf>
    <xf numFmtId="176" fontId="41" fillId="5" borderId="3" xfId="1" applyNumberFormat="1" applyFont="1" applyFill="1" applyBorder="1" applyAlignment="1" applyProtection="1">
      <alignment horizontal="right" vertical="center"/>
    </xf>
    <xf numFmtId="177" fontId="41" fillId="5" borderId="3" xfId="0" applyNumberFormat="1" applyFont="1" applyFill="1" applyBorder="1" applyAlignment="1" applyProtection="1">
      <alignment horizontal="right" vertical="center"/>
    </xf>
    <xf numFmtId="177" fontId="41" fillId="5" borderId="3" xfId="1" applyNumberFormat="1" applyFont="1" applyFill="1" applyBorder="1" applyAlignment="1" applyProtection="1">
      <alignment horizontal="right" vertical="center"/>
    </xf>
    <xf numFmtId="0" fontId="41" fillId="2" borderId="1" xfId="0" applyFont="1" applyFill="1" applyBorder="1" applyAlignment="1" applyProtection="1">
      <alignment horizontal="center" vertical="center" shrinkToFit="1"/>
    </xf>
    <xf numFmtId="0" fontId="41" fillId="2" borderId="2" xfId="0" applyFont="1" applyFill="1" applyBorder="1" applyAlignment="1" applyProtection="1">
      <alignment horizontal="center" vertical="center" shrinkToFit="1"/>
    </xf>
    <xf numFmtId="0" fontId="41" fillId="2" borderId="1" xfId="0" applyFont="1" applyFill="1" applyBorder="1" applyAlignment="1">
      <alignment horizontal="center"/>
    </xf>
    <xf numFmtId="0" fontId="41" fillId="2" borderId="2" xfId="0" applyFont="1" applyFill="1" applyBorder="1" applyAlignment="1">
      <alignment horizontal="center"/>
    </xf>
    <xf numFmtId="0" fontId="41" fillId="2" borderId="1" xfId="0" applyFont="1" applyFill="1" applyBorder="1" applyAlignment="1" applyProtection="1">
      <alignment horizontal="center" vertical="center" wrapText="1"/>
    </xf>
    <xf numFmtId="0" fontId="41" fillId="2" borderId="2" xfId="0" applyFont="1" applyFill="1" applyBorder="1" applyAlignment="1" applyProtection="1">
      <alignment horizontal="center" vertical="center" wrapText="1"/>
    </xf>
    <xf numFmtId="0" fontId="41" fillId="5" borderId="1" xfId="0" applyFont="1" applyFill="1" applyBorder="1" applyAlignment="1" applyProtection="1">
      <alignment horizontal="left" vertical="top" indent="1" shrinkToFit="1"/>
    </xf>
    <xf numFmtId="0" fontId="41" fillId="5" borderId="4" xfId="0" applyFont="1" applyFill="1" applyBorder="1" applyAlignment="1" applyProtection="1">
      <alignment horizontal="left" vertical="top" indent="1" shrinkToFit="1"/>
    </xf>
    <xf numFmtId="0" fontId="41" fillId="5" borderId="2" xfId="0" applyFont="1" applyFill="1" applyBorder="1" applyAlignment="1" applyProtection="1">
      <alignment horizontal="left" vertical="top" indent="1" shrinkToFit="1"/>
    </xf>
    <xf numFmtId="0" fontId="41" fillId="2" borderId="1" xfId="0" applyFont="1" applyFill="1" applyBorder="1" applyAlignment="1">
      <alignment horizontal="center" vertical="top" wrapText="1"/>
    </xf>
    <xf numFmtId="0" fontId="41" fillId="2" borderId="2" xfId="0" applyFont="1" applyFill="1" applyBorder="1" applyAlignment="1">
      <alignment horizontal="center" vertical="top" wrapText="1"/>
    </xf>
    <xf numFmtId="0" fontId="41" fillId="2" borderId="1" xfId="0" applyFont="1" applyFill="1" applyBorder="1" applyAlignment="1">
      <alignment horizontal="center" vertical="center" shrinkToFit="1"/>
    </xf>
    <xf numFmtId="0" fontId="41" fillId="2" borderId="2" xfId="0" applyFont="1" applyFill="1" applyBorder="1" applyAlignment="1">
      <alignment horizontal="center" vertical="center" shrinkToFit="1"/>
    </xf>
    <xf numFmtId="0" fontId="41" fillId="2" borderId="1" xfId="0" applyFont="1" applyFill="1" applyBorder="1" applyAlignment="1">
      <alignment horizontal="center" vertical="center"/>
    </xf>
    <xf numFmtId="0" fontId="41" fillId="2" borderId="2" xfId="0" applyFont="1" applyFill="1" applyBorder="1" applyAlignment="1">
      <alignment horizontal="center" vertical="center"/>
    </xf>
    <xf numFmtId="176" fontId="41" fillId="5" borderId="1" xfId="1" applyNumberFormat="1" applyFont="1" applyFill="1" applyBorder="1" applyAlignment="1" applyProtection="1">
      <alignment horizontal="right" vertical="center" shrinkToFit="1"/>
    </xf>
    <xf numFmtId="176" fontId="41" fillId="5" borderId="2" xfId="1" applyNumberFormat="1" applyFont="1" applyFill="1" applyBorder="1" applyAlignment="1" applyProtection="1">
      <alignment horizontal="right" vertical="center" shrinkToFit="1"/>
    </xf>
    <xf numFmtId="177" fontId="41" fillId="5" borderId="1" xfId="0" applyNumberFormat="1" applyFont="1" applyFill="1" applyBorder="1" applyAlignment="1" applyProtection="1">
      <alignment horizontal="right" vertical="center"/>
    </xf>
    <xf numFmtId="177" fontId="41" fillId="5" borderId="2" xfId="0" applyNumberFormat="1" applyFont="1" applyFill="1" applyBorder="1" applyAlignment="1" applyProtection="1">
      <alignment horizontal="right" vertical="center"/>
    </xf>
    <xf numFmtId="177" fontId="41" fillId="5" borderId="1" xfId="1" applyNumberFormat="1" applyFont="1" applyFill="1" applyBorder="1" applyAlignment="1" applyProtection="1">
      <alignment horizontal="right" vertical="center"/>
    </xf>
    <xf numFmtId="177" fontId="41" fillId="5" borderId="2" xfId="1" applyNumberFormat="1" applyFont="1" applyFill="1" applyBorder="1" applyAlignment="1" applyProtection="1">
      <alignment horizontal="right" vertical="center"/>
    </xf>
    <xf numFmtId="0" fontId="30" fillId="5" borderId="5" xfId="0" applyFont="1" applyFill="1" applyBorder="1" applyAlignment="1" applyProtection="1">
      <alignment horizontal="left" vertical="top"/>
      <protection locked="0"/>
    </xf>
    <xf numFmtId="0" fontId="30" fillId="5" borderId="15" xfId="0" applyFont="1" applyFill="1" applyBorder="1" applyAlignment="1" applyProtection="1">
      <alignment horizontal="left" vertical="top"/>
      <protection locked="0"/>
    </xf>
    <xf numFmtId="0" fontId="30" fillId="5" borderId="19" xfId="0" applyFont="1" applyFill="1" applyBorder="1" applyAlignment="1" applyProtection="1">
      <alignment horizontal="left" vertical="top"/>
      <protection locked="0"/>
    </xf>
    <xf numFmtId="0" fontId="30" fillId="5" borderId="20" xfId="0" applyFont="1" applyFill="1" applyBorder="1" applyAlignment="1" applyProtection="1">
      <alignment horizontal="left" vertical="top"/>
      <protection locked="0"/>
    </xf>
    <xf numFmtId="0" fontId="30" fillId="5" borderId="0" xfId="0" applyFont="1" applyFill="1" applyBorder="1" applyAlignment="1" applyProtection="1">
      <alignment horizontal="left" vertical="top"/>
      <protection locked="0"/>
    </xf>
    <xf numFmtId="0" fontId="30" fillId="5" borderId="21" xfId="0" applyFont="1" applyFill="1" applyBorder="1" applyAlignment="1" applyProtection="1">
      <alignment horizontal="left" vertical="top"/>
      <protection locked="0"/>
    </xf>
    <xf numFmtId="0" fontId="30" fillId="5" borderId="6" xfId="0" applyFont="1" applyFill="1" applyBorder="1" applyAlignment="1" applyProtection="1">
      <alignment horizontal="left" vertical="top"/>
      <protection locked="0"/>
    </xf>
    <xf numFmtId="0" fontId="30" fillId="5" borderId="17" xfId="0" applyFont="1" applyFill="1" applyBorder="1" applyAlignment="1" applyProtection="1">
      <alignment horizontal="left" vertical="top"/>
      <protection locked="0"/>
    </xf>
    <xf numFmtId="0" fontId="30" fillId="5" borderId="18" xfId="0" applyFont="1" applyFill="1" applyBorder="1" applyAlignment="1" applyProtection="1">
      <alignment horizontal="left" vertical="top"/>
      <protection locked="0"/>
    </xf>
    <xf numFmtId="38" fontId="0" fillId="5" borderId="3" xfId="1" applyFont="1" applyFill="1" applyBorder="1" applyAlignment="1" applyProtection="1">
      <alignment horizontal="right" vertical="center"/>
    </xf>
    <xf numFmtId="176" fontId="0" fillId="5" borderId="3" xfId="1" applyNumberFormat="1" applyFont="1" applyFill="1" applyBorder="1" applyAlignment="1" applyProtection="1">
      <alignment horizontal="right" vertical="center"/>
    </xf>
    <xf numFmtId="198" fontId="41" fillId="5" borderId="3" xfId="10" applyNumberFormat="1" applyFont="1" applyFill="1" applyBorder="1" applyAlignment="1" applyProtection="1">
      <alignment horizontal="right" vertical="center"/>
    </xf>
    <xf numFmtId="0" fontId="11" fillId="2" borderId="1" xfId="10" applyFill="1" applyBorder="1" applyAlignment="1" applyProtection="1">
      <alignment horizontal="center" vertical="center"/>
    </xf>
    <xf numFmtId="0" fontId="11" fillId="2" borderId="2" xfId="10" applyFill="1" applyBorder="1" applyAlignment="1" applyProtection="1">
      <alignment horizontal="center" vertical="center"/>
    </xf>
    <xf numFmtId="198" fontId="41" fillId="5" borderId="1" xfId="10" applyNumberFormat="1" applyFont="1" applyFill="1" applyBorder="1" applyAlignment="1" applyProtection="1">
      <alignment horizontal="right" vertical="center"/>
    </xf>
    <xf numFmtId="198" fontId="41" fillId="5" borderId="2" xfId="10" applyNumberFormat="1" applyFont="1" applyFill="1" applyBorder="1" applyAlignment="1" applyProtection="1">
      <alignment horizontal="right" vertical="center"/>
    </xf>
    <xf numFmtId="38" fontId="0" fillId="5" borderId="1" xfId="1" applyFont="1" applyFill="1" applyBorder="1" applyAlignment="1" applyProtection="1">
      <alignment horizontal="right" vertical="center"/>
    </xf>
    <xf numFmtId="38" fontId="0" fillId="5" borderId="2" xfId="1" applyFont="1" applyFill="1" applyBorder="1" applyAlignment="1" applyProtection="1">
      <alignment horizontal="right" vertical="center"/>
    </xf>
    <xf numFmtId="38" fontId="41" fillId="5" borderId="1" xfId="1" applyFont="1" applyFill="1" applyBorder="1" applyAlignment="1" applyProtection="1">
      <alignment horizontal="right" vertical="center"/>
    </xf>
    <xf numFmtId="38" fontId="41" fillId="5" borderId="2" xfId="1" applyFont="1" applyFill="1" applyBorder="1" applyAlignment="1" applyProtection="1">
      <alignment horizontal="right" vertical="center"/>
    </xf>
    <xf numFmtId="198" fontId="41" fillId="5" borderId="1" xfId="1" applyNumberFormat="1" applyFont="1" applyFill="1" applyBorder="1" applyAlignment="1" applyProtection="1">
      <alignment horizontal="right" vertical="center"/>
    </xf>
    <xf numFmtId="198" fontId="41" fillId="5" borderId="2" xfId="1" applyNumberFormat="1" applyFont="1" applyFill="1" applyBorder="1" applyAlignment="1" applyProtection="1">
      <alignment horizontal="right" vertical="center"/>
    </xf>
    <xf numFmtId="9" fontId="0" fillId="5" borderId="3" xfId="7" applyFont="1" applyFill="1" applyBorder="1" applyAlignment="1" applyProtection="1">
      <alignment horizontal="right" vertical="center" shrinkToFit="1"/>
    </xf>
    <xf numFmtId="9" fontId="0" fillId="2" borderId="3" xfId="7" applyFont="1" applyFill="1" applyBorder="1" applyAlignment="1" applyProtection="1">
      <alignment horizontal="center" vertical="center" shrinkToFit="1"/>
    </xf>
    <xf numFmtId="38" fontId="41" fillId="5" borderId="1" xfId="10" applyNumberFormat="1" applyFont="1" applyFill="1" applyBorder="1" applyAlignment="1" applyProtection="1">
      <alignment horizontal="right" vertical="center" shrinkToFit="1"/>
    </xf>
    <xf numFmtId="38" fontId="41" fillId="5" borderId="2" xfId="10" applyNumberFormat="1" applyFont="1" applyFill="1" applyBorder="1" applyAlignment="1" applyProtection="1">
      <alignment horizontal="right" vertical="center" shrinkToFit="1"/>
    </xf>
    <xf numFmtId="0" fontId="42" fillId="2" borderId="20" xfId="0" applyFont="1" applyFill="1" applyBorder="1" applyAlignment="1" applyProtection="1">
      <alignment horizontal="center" vertical="top" wrapText="1"/>
    </xf>
    <xf numFmtId="0" fontId="23" fillId="5" borderId="3" xfId="0" applyFont="1" applyFill="1" applyBorder="1" applyAlignment="1" applyProtection="1">
      <alignment horizontal="left" vertical="center" shrinkToFit="1"/>
      <protection hidden="1"/>
    </xf>
    <xf numFmtId="38" fontId="41" fillId="5" borderId="3" xfId="10" applyNumberFormat="1" applyFont="1" applyFill="1" applyBorder="1" applyAlignment="1" applyProtection="1">
      <alignment horizontal="right" vertical="center" shrinkToFit="1"/>
    </xf>
    <xf numFmtId="0" fontId="41" fillId="13" borderId="3" xfId="0" applyFont="1" applyFill="1" applyBorder="1" applyAlignment="1" applyProtection="1">
      <alignment horizontal="center" vertical="center" shrinkToFit="1"/>
      <protection locked="0"/>
    </xf>
    <xf numFmtId="0" fontId="41" fillId="13" borderId="1" xfId="10" applyFont="1" applyFill="1" applyBorder="1" applyAlignment="1" applyProtection="1">
      <alignment horizontal="center" vertical="center" shrinkToFit="1"/>
      <protection locked="0"/>
    </xf>
    <xf numFmtId="0" fontId="41" fillId="13" borderId="4" xfId="10" applyFont="1" applyFill="1" applyBorder="1" applyAlignment="1" applyProtection="1">
      <alignment horizontal="center" vertical="center" shrinkToFit="1"/>
      <protection locked="0"/>
    </xf>
    <xf numFmtId="0" fontId="41" fillId="13" borderId="2" xfId="10" applyFont="1" applyFill="1" applyBorder="1" applyAlignment="1" applyProtection="1">
      <alignment horizontal="center" vertical="center" shrinkToFit="1"/>
      <protection locked="0"/>
    </xf>
    <xf numFmtId="0" fontId="20" fillId="2" borderId="3" xfId="6" applyFill="1" applyBorder="1" applyAlignment="1">
      <alignment horizontal="center" vertical="center"/>
    </xf>
    <xf numFmtId="0" fontId="20" fillId="2" borderId="3" xfId="6" applyFill="1" applyBorder="1" applyAlignment="1">
      <alignment horizontal="center"/>
    </xf>
    <xf numFmtId="0" fontId="0" fillId="0" borderId="3" xfId="0" applyBorder="1" applyAlignment="1">
      <alignment horizontal="center" vertical="center"/>
    </xf>
  </cellXfs>
  <cellStyles count="13">
    <cellStyle name="パーセント" xfId="2" builtinId="5"/>
    <cellStyle name="パーセント 12" xfId="9" xr:uid="{14C46148-00DE-4335-89E3-A52D4DF9B9C0}"/>
    <cellStyle name="パーセント 2" xfId="7" xr:uid="{DEA67D98-7EB5-4EF1-8DC3-D6E8EC15636B}"/>
    <cellStyle name="パーセント 3" xfId="11" xr:uid="{F1D4BDF4-515A-443F-A712-B734C24DC0ED}"/>
    <cellStyle name="桁区切り" xfId="1" builtinId="6"/>
    <cellStyle name="桁区切り 2" xfId="5" xr:uid="{AB8AE35C-6FF6-4732-B381-0D745C1AE31A}"/>
    <cellStyle name="桁区切り 3" xfId="12" xr:uid="{8B506C20-785F-4F01-ABBE-73E76566549F}"/>
    <cellStyle name="標準" xfId="0" builtinId="0"/>
    <cellStyle name="標準 2" xfId="3" xr:uid="{2C2D72D6-8AC7-4A0F-A903-DE06A849F123}"/>
    <cellStyle name="標準 2 7" xfId="8" xr:uid="{7A7D48BD-BA7D-4CCE-8BD9-79D00E8E553A}"/>
    <cellStyle name="標準 3" xfId="6" xr:uid="{F22DB981-BD7A-4C9E-8DD7-91A0218941D7}"/>
    <cellStyle name="標準 4" xfId="10" xr:uid="{E3209FB1-D16F-40A6-BED9-90B3CE00D730}"/>
    <cellStyle name="標準 5 8" xfId="4" xr:uid="{4188FE7A-5835-4CED-92EF-E8DEBEF83FD2}"/>
  </cellStyles>
  <dxfs count="110">
    <dxf>
      <fill>
        <patternFill>
          <bgColor rgb="FFFFFF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59996337778862885"/>
        </patternFill>
      </fill>
    </dxf>
    <dxf>
      <font>
        <color theme="0"/>
      </font>
    </dxf>
    <dxf>
      <fill>
        <patternFill>
          <bgColor theme="0" tint="-0.24994659260841701"/>
        </patternFill>
      </fill>
    </dxf>
    <dxf>
      <fill>
        <patternFill>
          <bgColor theme="0" tint="-0.2499465926084170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theme="7" tint="0.59996337778862885"/>
        </patternFill>
      </fill>
    </dxf>
    <dxf>
      <font>
        <color theme="0"/>
      </font>
    </dxf>
    <dxf>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ont>
        <color theme="9" tint="0.79998168889431442"/>
      </font>
    </dxf>
    <dxf>
      <font>
        <color theme="9" tint="0.79998168889431442"/>
      </font>
    </dxf>
    <dxf>
      <fill>
        <patternFill>
          <bgColor theme="0" tint="-0.24994659260841701"/>
        </patternFill>
      </fill>
    </dxf>
    <dxf>
      <fill>
        <patternFill>
          <bgColor theme="0" tint="-0.24994659260841701"/>
        </patternFill>
      </fill>
    </dxf>
    <dxf>
      <fill>
        <patternFill patternType="none">
          <bgColor auto="1"/>
        </patternFill>
      </fill>
    </dxf>
    <dxf>
      <fill>
        <patternFill>
          <bgColor rgb="FFFF4B4B"/>
        </patternFill>
      </fill>
    </dxf>
    <dxf>
      <fill>
        <patternFill>
          <bgColor theme="0" tint="-0.24994659260841701"/>
        </patternFill>
      </fill>
    </dxf>
    <dxf>
      <fill>
        <patternFill>
          <bgColor theme="0" tint="-0.24994659260841701"/>
        </patternFill>
      </fill>
    </dxf>
    <dxf>
      <font>
        <color rgb="FFFF0000"/>
      </font>
    </dxf>
    <dxf>
      <fill>
        <patternFill>
          <bgColor theme="0" tint="-0.24994659260841701"/>
        </patternFill>
      </fill>
    </dxf>
    <dxf>
      <fill>
        <patternFill>
          <bgColor theme="7" tint="0.59996337778862885"/>
        </patternFill>
      </fill>
    </dxf>
    <dxf>
      <font>
        <color theme="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ill>
        <patternFill>
          <bgColor rgb="FFFF0000"/>
        </patternFill>
      </fill>
    </dxf>
    <dxf>
      <fill>
        <patternFill patternType="none">
          <bgColor auto="1"/>
        </patternFill>
      </fill>
    </dxf>
    <dxf>
      <fill>
        <patternFill>
          <bgColor theme="0" tint="-0.24994659260841701"/>
        </patternFill>
      </fill>
    </dxf>
    <dxf>
      <fill>
        <patternFill patternType="none">
          <bgColor auto="1"/>
        </patternFill>
      </fill>
    </dxf>
    <dxf>
      <fill>
        <patternFill patternType="none">
          <bgColor auto="1"/>
        </patternFill>
      </fill>
    </dxf>
    <dxf>
      <font>
        <color rgb="FFFF0000"/>
      </font>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theme="7" tint="0.59996337778862885"/>
        </patternFill>
      </fill>
    </dxf>
    <dxf>
      <font>
        <color theme="0"/>
      </font>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ill>
        <patternFill patternType="none">
          <bgColor auto="1"/>
        </patternFill>
      </fill>
    </dxf>
    <dxf>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none">
          <bgColor auto="1"/>
        </patternFill>
      </fill>
    </dxf>
    <dxf>
      <fill>
        <patternFill patternType="none">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none">
          <bgColor auto="1"/>
        </patternFill>
      </fill>
    </dxf>
    <dxf>
      <fill>
        <patternFill>
          <bgColor theme="9" tint="0.79998168889431442"/>
        </patternFill>
      </fill>
    </dxf>
    <dxf>
      <border>
        <left style="thin">
          <color auto="1"/>
        </left>
        <right style="thin">
          <color auto="1"/>
        </right>
        <top style="thin">
          <color auto="1"/>
        </top>
        <bottom style="thin">
          <color auto="1"/>
        </bottom>
        <vertical/>
        <horizontal/>
      </border>
    </dxf>
    <dxf>
      <fill>
        <patternFill>
          <bgColor theme="9" tint="0.79998168889431442"/>
        </patternFill>
      </fill>
    </dxf>
    <dxf>
      <border>
        <left style="thin">
          <color auto="1"/>
        </left>
        <right style="thin">
          <color auto="1"/>
        </right>
        <top style="thin">
          <color auto="1"/>
        </top>
        <bottom style="thin">
          <color auto="1"/>
        </bottom>
        <vertical/>
        <horizontal/>
      </border>
    </dxf>
    <dxf>
      <font>
        <color theme="0"/>
      </font>
    </dxf>
    <dxf>
      <fill>
        <patternFill>
          <bgColor rgb="FFFFFF99"/>
        </patternFill>
      </fill>
      <border>
        <left style="thin">
          <color auto="1"/>
        </left>
        <right style="thin">
          <color auto="1"/>
        </right>
        <top style="thin">
          <color auto="1"/>
        </top>
        <bottom style="thin">
          <color auto="1"/>
        </bottom>
        <vertical/>
        <horizontal/>
      </border>
    </dxf>
    <dxf>
      <fill>
        <patternFill patternType="none">
          <bgColor auto="1"/>
        </patternFill>
      </fill>
    </dxf>
    <dxf>
      <fill>
        <patternFill>
          <bgColor rgb="FFFFFF99"/>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ill>
        <patternFill>
          <bgColor theme="7" tint="0.59996337778862885"/>
        </patternFill>
      </fill>
    </dxf>
    <dxf>
      <font>
        <color theme="0"/>
      </font>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59996337778862885"/>
        </patternFill>
      </fill>
    </dxf>
    <dxf>
      <font>
        <color theme="0"/>
      </font>
    </dxf>
    <dxf>
      <fill>
        <patternFill>
          <bgColor rgb="FFFFFF99"/>
        </patternFill>
      </fill>
    </dxf>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fmlaLink="$AL$13" lockText="1" noThreeD="1"/>
</file>

<file path=xl/drawings/_rels/drawing11.xml.rels><?xml version="1.0" encoding="UTF-8" standalone="yes"?>
<Relationships xmlns="http://schemas.openxmlformats.org/package/2006/relationships"><Relationship Id="rId1" Type="http://schemas.openxmlformats.org/officeDocument/2006/relationships/image" Target="../media/image17.emf"/></Relationships>
</file>

<file path=xl/drawings/_rels/drawing12.xml.rels><?xml version="1.0" encoding="UTF-8" standalone="yes"?>
<Relationships xmlns="http://schemas.openxmlformats.org/package/2006/relationships"><Relationship Id="rId2" Type="http://schemas.openxmlformats.org/officeDocument/2006/relationships/image" Target="../media/image19.emf"/><Relationship Id="rId1" Type="http://schemas.openxmlformats.org/officeDocument/2006/relationships/image" Target="../media/image18.emf"/></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png"/><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png"/><Relationship Id="rId14" Type="http://schemas.openxmlformats.org/officeDocument/2006/relationships/image" Target="../media/image14.emf"/></Relationships>
</file>

<file path=xl/drawings/_rels/drawing5.xml.rels><?xml version="1.0" encoding="UTF-8" standalone="yes"?>
<Relationships xmlns="http://schemas.openxmlformats.org/package/2006/relationships"><Relationship Id="rId1" Type="http://schemas.openxmlformats.org/officeDocument/2006/relationships/image" Target="../media/image16.png"/></Relationships>
</file>

<file path=xl/drawings/_rels/drawing6.xml.rels><?xml version="1.0" encoding="UTF-8" standalone="yes"?>
<Relationships xmlns="http://schemas.openxmlformats.org/package/2006/relationships"><Relationship Id="rId1" Type="http://schemas.openxmlformats.org/officeDocument/2006/relationships/image" Target="../media/image17.emf"/></Relationships>
</file>

<file path=xl/drawings/_rels/drawing8.xml.rels><?xml version="1.0" encoding="UTF-8" standalone="yes"?>
<Relationships xmlns="http://schemas.openxmlformats.org/package/2006/relationships"><Relationship Id="rId1"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xdr:from>
      <xdr:col>35</xdr:col>
      <xdr:colOff>111124</xdr:colOff>
      <xdr:row>3</xdr:row>
      <xdr:rowOff>120650</xdr:rowOff>
    </xdr:from>
    <xdr:to>
      <xdr:col>39</xdr:col>
      <xdr:colOff>769326</xdr:colOff>
      <xdr:row>6</xdr:row>
      <xdr:rowOff>57150</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6785951" y="867996"/>
          <a:ext cx="1969721" cy="683846"/>
        </a:xfrm>
        <a:prstGeom prst="wedgeRoundRectCallout">
          <a:avLst>
            <a:gd name="adj1" fmla="val -61651"/>
            <a:gd name="adj2" fmla="val 23296"/>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事業実施場所でなく、登記事項証明書の所在地です。</a:t>
          </a:r>
        </a:p>
      </xdr:txBody>
    </xdr:sp>
    <xdr:clientData/>
  </xdr:twoCellAnchor>
  <xdr:twoCellAnchor>
    <xdr:from>
      <xdr:col>35</xdr:col>
      <xdr:colOff>117231</xdr:colOff>
      <xdr:row>6</xdr:row>
      <xdr:rowOff>177311</xdr:rowOff>
    </xdr:from>
    <xdr:to>
      <xdr:col>39</xdr:col>
      <xdr:colOff>769327</xdr:colOff>
      <xdr:row>9</xdr:row>
      <xdr:rowOff>107461</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6792058" y="1672003"/>
          <a:ext cx="1963615" cy="677496"/>
        </a:xfrm>
        <a:prstGeom prst="wedgeRoundRectCallout">
          <a:avLst>
            <a:gd name="adj1" fmla="val -59151"/>
            <a:gd name="adj2" fmla="val -1895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役職名は、取締役、代表取締役、理事長など</a:t>
          </a:r>
        </a:p>
        <a:p>
          <a:pPr algn="l"/>
          <a:endParaRPr kumimoji="1" lang="ja-JP" altLang="en-US"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19050</xdr:colOff>
      <xdr:row>11</xdr:row>
      <xdr:rowOff>47625</xdr:rowOff>
    </xdr:from>
    <xdr:ext cx="7248526" cy="1085850"/>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266700" y="2400300"/>
          <a:ext cx="7248526" cy="1085850"/>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effectLst/>
              <a:latin typeface="+mn-ea"/>
              <a:ea typeface="+mn-ea"/>
              <a:cs typeface="+mn-cs"/>
            </a:rPr>
            <a:t>・</a:t>
          </a:r>
          <a:r>
            <a:rPr kumimoji="1" lang="ja-JP" altLang="en-US" sz="1200">
              <a:solidFill>
                <a:sysClr val="windowText" lastClr="000000"/>
              </a:solidFill>
              <a:effectLst/>
              <a:latin typeface="+mn-ea"/>
              <a:ea typeface="+mn-ea"/>
              <a:cs typeface="+mn-cs"/>
            </a:rPr>
            <a:t>記入例をご覧の上、設備する太陽光発電設備、蓄電池の各仕様値を記入します。</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・蓄電池だけの設置の場合は、既設の対象の太陽光発電設備の数値も記入します。</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・発電量については、別途シミュレーション結果、もしくは計算資料を添付してください。</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・記入する欄は白色の枠内です。色のついた欄は記載不要。</a:t>
          </a:r>
          <a:endParaRPr kumimoji="1" lang="en-US" altLang="ja-JP" sz="1200">
            <a:solidFill>
              <a:sysClr val="windowText" lastClr="000000"/>
            </a:solidFill>
            <a:effectLst/>
            <a:latin typeface="+mn-ea"/>
            <a:ea typeface="+mn-ea"/>
            <a:cs typeface="+mn-cs"/>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19049</xdr:colOff>
      <xdr:row>11</xdr:row>
      <xdr:rowOff>123832</xdr:rowOff>
    </xdr:from>
    <xdr:ext cx="7839075" cy="1838318"/>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266699" y="2466982"/>
          <a:ext cx="7839075" cy="1838318"/>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effectLst/>
              <a:latin typeface="+mn-ea"/>
              <a:ea typeface="+mn-ea"/>
              <a:cs typeface="+mn-cs"/>
            </a:rPr>
            <a:t>・</a:t>
          </a:r>
          <a:r>
            <a:rPr kumimoji="1" lang="ja-JP" altLang="en-US" sz="1200">
              <a:solidFill>
                <a:sysClr val="windowText" lastClr="000000"/>
              </a:solidFill>
              <a:effectLst/>
              <a:latin typeface="+mn-ea"/>
              <a:ea typeface="+mn-ea"/>
              <a:cs typeface="+mn-cs"/>
            </a:rPr>
            <a:t>記入例をご覧の上、設備更新による削減量を算定してください。</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・記入する欄は白色の枠内です。</a:t>
          </a:r>
          <a:r>
            <a:rPr kumimoji="1" lang="ja-JP" altLang="en-US" sz="1200">
              <a:solidFill>
                <a:schemeClr val="accent5">
                  <a:lumMod val="75000"/>
                </a:schemeClr>
              </a:solidFill>
              <a:effectLst/>
              <a:latin typeface="+mn-ea"/>
              <a:ea typeface="+mn-ea"/>
              <a:cs typeface="+mn-cs"/>
            </a:rPr>
            <a:t>水色</a:t>
          </a:r>
          <a:r>
            <a:rPr kumimoji="1" lang="ja-JP" altLang="en-US" sz="1200">
              <a:solidFill>
                <a:sysClr val="windowText" lastClr="000000"/>
              </a:solidFill>
              <a:effectLst/>
              <a:latin typeface="+mn-ea"/>
              <a:ea typeface="+mn-ea"/>
              <a:cs typeface="+mn-cs"/>
            </a:rPr>
            <a:t>欄は任意記載。その他色のついた欄は記載不要。</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・更新・前後の年間主要エネルギー消費量は根拠を示す実績値やシミュレーション結果などの資料が必要です。</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・エネルギー種別を選択後、エネルギー種類を選択し、各係数値を記入してください。</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　該当のエネルギー種類が無い場合は、右表の欄で選択記入します。１件のみ選択可能</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・更新後の</a:t>
          </a:r>
          <a:r>
            <a:rPr kumimoji="1" lang="en-US" altLang="ja-JP" sz="1200">
              <a:solidFill>
                <a:sysClr val="windowText" lastClr="000000"/>
              </a:solidFill>
              <a:effectLst/>
              <a:latin typeface="+mn-ea"/>
              <a:ea typeface="+mn-ea"/>
              <a:cs typeface="+mn-cs"/>
            </a:rPr>
            <a:t>n</a:t>
          </a:r>
          <a:r>
            <a:rPr kumimoji="1" lang="ja-JP" altLang="en-US" sz="1200">
              <a:solidFill>
                <a:sysClr val="windowText" lastClr="000000"/>
              </a:solidFill>
              <a:effectLst/>
              <a:latin typeface="+mn-ea"/>
              <a:ea typeface="+mn-ea"/>
              <a:cs typeface="+mn-cs"/>
            </a:rPr>
            <a:t>低減率は、インバータなど、追加する削減効果があれば記入します。</a:t>
          </a:r>
          <a:endParaRPr kumimoji="1" lang="en-US" altLang="ja-JP" sz="1200">
            <a:solidFill>
              <a:sysClr val="windowText" lastClr="000000"/>
            </a:solidFill>
            <a:latin typeface="+mn-ea"/>
            <a:ea typeface="+mn-ea"/>
          </a:endParaRPr>
        </a:p>
      </xdr:txBody>
    </xdr:sp>
    <xdr:clientData/>
  </xdr:oneCellAnchor>
  <xdr:twoCellAnchor editAs="oneCell">
    <xdr:from>
      <xdr:col>32</xdr:col>
      <xdr:colOff>619125</xdr:colOff>
      <xdr:row>12</xdr:row>
      <xdr:rowOff>114300</xdr:rowOff>
    </xdr:from>
    <xdr:to>
      <xdr:col>35</xdr:col>
      <xdr:colOff>638175</xdr:colOff>
      <xdr:row>20</xdr:row>
      <xdr:rowOff>247650</xdr:rowOff>
    </xdr:to>
    <xdr:pic>
      <xdr:nvPicPr>
        <xdr:cNvPr id="3" name="図 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49675" y="2714625"/>
          <a:ext cx="1676400" cy="2038350"/>
        </a:xfrm>
        <a:prstGeom prst="rect">
          <a:avLst/>
        </a:prstGeom>
        <a:solidFill>
          <a:schemeClr val="bg1">
            <a:lumMod val="95000"/>
          </a:schemeClr>
        </a:solid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457200</xdr:colOff>
      <xdr:row>1</xdr:row>
      <xdr:rowOff>132898</xdr:rowOff>
    </xdr:from>
    <xdr:to>
      <xdr:col>8</xdr:col>
      <xdr:colOff>561975</xdr:colOff>
      <xdr:row>12</xdr:row>
      <xdr:rowOff>152400</xdr:rowOff>
    </xdr:to>
    <xdr:pic>
      <xdr:nvPicPr>
        <xdr:cNvPr id="3" name="図 2">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0" y="304348"/>
          <a:ext cx="2162175" cy="1905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123826</xdr:colOff>
      <xdr:row>1</xdr:row>
      <xdr:rowOff>28574</xdr:rowOff>
    </xdr:from>
    <xdr:to>
      <xdr:col>5</xdr:col>
      <xdr:colOff>634734</xdr:colOff>
      <xdr:row>14</xdr:row>
      <xdr:rowOff>76199</xdr:rowOff>
    </xdr:to>
    <xdr:pic>
      <xdr:nvPicPr>
        <xdr:cNvPr id="5" name="図 4">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6" y="200024"/>
          <a:ext cx="3730358" cy="227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168</xdr:row>
      <xdr:rowOff>95251</xdr:rowOff>
    </xdr:from>
    <xdr:to>
      <xdr:col>20</xdr:col>
      <xdr:colOff>581025</xdr:colOff>
      <xdr:row>176</xdr:row>
      <xdr:rowOff>133351</xdr:rowOff>
    </xdr:to>
    <xdr:pic>
      <xdr:nvPicPr>
        <xdr:cNvPr id="106" name="図 105">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30794326"/>
          <a:ext cx="1315402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200026</xdr:colOff>
      <xdr:row>127</xdr:row>
      <xdr:rowOff>76201</xdr:rowOff>
    </xdr:from>
    <xdr:to>
      <xdr:col>20</xdr:col>
      <xdr:colOff>600076</xdr:colOff>
      <xdr:row>133</xdr:row>
      <xdr:rowOff>114301</xdr:rowOff>
    </xdr:to>
    <xdr:pic>
      <xdr:nvPicPr>
        <xdr:cNvPr id="104" name="図 103">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7676" y="23402926"/>
          <a:ext cx="13182600"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257174</xdr:colOff>
      <xdr:row>101</xdr:row>
      <xdr:rowOff>9525</xdr:rowOff>
    </xdr:from>
    <xdr:to>
      <xdr:col>20</xdr:col>
      <xdr:colOff>600075</xdr:colOff>
      <xdr:row>114</xdr:row>
      <xdr:rowOff>47625</xdr:rowOff>
    </xdr:to>
    <xdr:pic>
      <xdr:nvPicPr>
        <xdr:cNvPr id="103" name="図 102">
          <a:extLst>
            <a:ext uri="{FF2B5EF4-FFF2-40B4-BE49-F238E27FC236}">
              <a16:creationId xmlns:a16="http://schemas.microsoft.com/office/drawing/2014/main" id="{00000000-0008-0000-0200-00006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4824" y="18669000"/>
          <a:ext cx="13125451" cy="226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123826</xdr:colOff>
      <xdr:row>70</xdr:row>
      <xdr:rowOff>123825</xdr:rowOff>
    </xdr:from>
    <xdr:to>
      <xdr:col>20</xdr:col>
      <xdr:colOff>466726</xdr:colOff>
      <xdr:row>81</xdr:row>
      <xdr:rowOff>85725</xdr:rowOff>
    </xdr:to>
    <xdr:pic>
      <xdr:nvPicPr>
        <xdr:cNvPr id="101" name="図 100">
          <a:extLst>
            <a:ext uri="{FF2B5EF4-FFF2-40B4-BE49-F238E27FC236}">
              <a16:creationId xmlns:a16="http://schemas.microsoft.com/office/drawing/2014/main" id="{00000000-0008-0000-0200-00006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1476" y="13258800"/>
          <a:ext cx="13125450" cy="1847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295275</xdr:colOff>
      <xdr:row>35</xdr:row>
      <xdr:rowOff>28576</xdr:rowOff>
    </xdr:from>
    <xdr:to>
      <xdr:col>20</xdr:col>
      <xdr:colOff>495300</xdr:colOff>
      <xdr:row>41</xdr:row>
      <xdr:rowOff>161926</xdr:rowOff>
    </xdr:to>
    <xdr:pic>
      <xdr:nvPicPr>
        <xdr:cNvPr id="98" name="図 97">
          <a:extLst>
            <a:ext uri="{FF2B5EF4-FFF2-40B4-BE49-F238E27FC236}">
              <a16:creationId xmlns:a16="http://schemas.microsoft.com/office/drawing/2014/main" id="{00000000-0008-0000-0200-00006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2925" y="6924676"/>
          <a:ext cx="12982575"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304800</xdr:colOff>
      <xdr:row>25</xdr:row>
      <xdr:rowOff>104775</xdr:rowOff>
    </xdr:from>
    <xdr:to>
      <xdr:col>20</xdr:col>
      <xdr:colOff>504825</xdr:colOff>
      <xdr:row>31</xdr:row>
      <xdr:rowOff>114300</xdr:rowOff>
    </xdr:to>
    <xdr:pic>
      <xdr:nvPicPr>
        <xdr:cNvPr id="95" name="図 94">
          <a:extLst>
            <a:ext uri="{FF2B5EF4-FFF2-40B4-BE49-F238E27FC236}">
              <a16:creationId xmlns:a16="http://schemas.microsoft.com/office/drawing/2014/main" id="{00000000-0008-0000-0200-00005F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2450" y="5286375"/>
          <a:ext cx="12982575"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257175</xdr:colOff>
      <xdr:row>51</xdr:row>
      <xdr:rowOff>133350</xdr:rowOff>
    </xdr:from>
    <xdr:to>
      <xdr:col>18</xdr:col>
      <xdr:colOff>676275</xdr:colOff>
      <xdr:row>56</xdr:row>
      <xdr:rowOff>104775</xdr:rowOff>
    </xdr:to>
    <xdr:pic>
      <xdr:nvPicPr>
        <xdr:cNvPr id="84" name="図 83">
          <a:extLst>
            <a:ext uri="{FF2B5EF4-FFF2-40B4-BE49-F238E27FC236}">
              <a16:creationId xmlns:a16="http://schemas.microsoft.com/office/drawing/2014/main" id="{00000000-0008-0000-0200-000054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04825" y="9686925"/>
          <a:ext cx="1183005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201706</xdr:colOff>
      <xdr:row>147</xdr:row>
      <xdr:rowOff>56029</xdr:rowOff>
    </xdr:from>
    <xdr:to>
      <xdr:col>21</xdr:col>
      <xdr:colOff>29135</xdr:colOff>
      <xdr:row>155</xdr:row>
      <xdr:rowOff>56030</xdr:rowOff>
    </xdr:to>
    <xdr:pic>
      <xdr:nvPicPr>
        <xdr:cNvPr id="81" name="図 80">
          <a:extLst>
            <a:ext uri="{FF2B5EF4-FFF2-40B4-BE49-F238E27FC236}">
              <a16:creationId xmlns:a16="http://schemas.microsoft.com/office/drawing/2014/main" id="{00000000-0008-0000-0200-000051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48235" y="30289500"/>
          <a:ext cx="13178118" cy="1344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257175</xdr:colOff>
      <xdr:row>52</xdr:row>
      <xdr:rowOff>149600</xdr:rowOff>
    </xdr:from>
    <xdr:to>
      <xdr:col>8</xdr:col>
      <xdr:colOff>19050</xdr:colOff>
      <xdr:row>56</xdr:row>
      <xdr:rowOff>85725</xdr:rowOff>
    </xdr:to>
    <xdr:sp macro="" textlink="">
      <xdr:nvSpPr>
        <xdr:cNvPr id="6" name="四角形: 角を丸くする 5">
          <a:extLst>
            <a:ext uri="{FF2B5EF4-FFF2-40B4-BE49-F238E27FC236}">
              <a16:creationId xmlns:a16="http://schemas.microsoft.com/office/drawing/2014/main" id="{00000000-0008-0000-0200-000006000000}"/>
            </a:ext>
          </a:extLst>
        </xdr:cNvPr>
        <xdr:cNvSpPr/>
      </xdr:nvSpPr>
      <xdr:spPr>
        <a:xfrm>
          <a:off x="4371975" y="9874625"/>
          <a:ext cx="447675" cy="621925"/>
        </a:xfrm>
        <a:prstGeom prst="roundRect">
          <a:avLst>
            <a:gd name="adj" fmla="val 4403"/>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553012</xdr:colOff>
      <xdr:row>52</xdr:row>
      <xdr:rowOff>152401</xdr:rowOff>
    </xdr:from>
    <xdr:to>
      <xdr:col>13</xdr:col>
      <xdr:colOff>466725</xdr:colOff>
      <xdr:row>56</xdr:row>
      <xdr:rowOff>101906</xdr:rowOff>
    </xdr:to>
    <xdr:sp macro="" textlink="">
      <xdr:nvSpPr>
        <xdr:cNvPr id="7" name="四角形: 角を丸くする 6">
          <a:extLst>
            <a:ext uri="{FF2B5EF4-FFF2-40B4-BE49-F238E27FC236}">
              <a16:creationId xmlns:a16="http://schemas.microsoft.com/office/drawing/2014/main" id="{00000000-0008-0000-0200-000007000000}"/>
            </a:ext>
          </a:extLst>
        </xdr:cNvPr>
        <xdr:cNvSpPr/>
      </xdr:nvSpPr>
      <xdr:spPr>
        <a:xfrm>
          <a:off x="7411012" y="9877426"/>
          <a:ext cx="1285313" cy="635305"/>
        </a:xfrm>
        <a:prstGeom prst="roundRect">
          <a:avLst>
            <a:gd name="adj" fmla="val 874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52</xdr:row>
      <xdr:rowOff>166410</xdr:rowOff>
    </xdr:from>
    <xdr:to>
      <xdr:col>4</xdr:col>
      <xdr:colOff>295276</xdr:colOff>
      <xdr:row>56</xdr:row>
      <xdr:rowOff>104380</xdr:rowOff>
    </xdr:to>
    <xdr:sp macro="" textlink="">
      <xdr:nvSpPr>
        <xdr:cNvPr id="8" name="四角形: 角を丸くする 7">
          <a:extLst>
            <a:ext uri="{FF2B5EF4-FFF2-40B4-BE49-F238E27FC236}">
              <a16:creationId xmlns:a16="http://schemas.microsoft.com/office/drawing/2014/main" id="{00000000-0008-0000-0200-000008000000}"/>
            </a:ext>
          </a:extLst>
        </xdr:cNvPr>
        <xdr:cNvSpPr/>
      </xdr:nvSpPr>
      <xdr:spPr>
        <a:xfrm>
          <a:off x="1924050" y="9891435"/>
          <a:ext cx="428626" cy="623770"/>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308724</xdr:colOff>
      <xdr:row>52</xdr:row>
      <xdr:rowOff>163607</xdr:rowOff>
    </xdr:from>
    <xdr:to>
      <xdr:col>5</xdr:col>
      <xdr:colOff>676275</xdr:colOff>
      <xdr:row>56</xdr:row>
      <xdr:rowOff>103885</xdr:rowOff>
    </xdr:to>
    <xdr:sp macro="" textlink="">
      <xdr:nvSpPr>
        <xdr:cNvPr id="9" name="四角形: 角を丸くする 8">
          <a:extLst>
            <a:ext uri="{FF2B5EF4-FFF2-40B4-BE49-F238E27FC236}">
              <a16:creationId xmlns:a16="http://schemas.microsoft.com/office/drawing/2014/main" id="{00000000-0008-0000-0200-000009000000}"/>
            </a:ext>
          </a:extLst>
        </xdr:cNvPr>
        <xdr:cNvSpPr/>
      </xdr:nvSpPr>
      <xdr:spPr>
        <a:xfrm>
          <a:off x="2366124" y="9888632"/>
          <a:ext cx="1053351" cy="626078"/>
        </a:xfrm>
        <a:prstGeom prst="roundRect">
          <a:avLst>
            <a:gd name="adj" fmla="val 833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619125</xdr:colOff>
      <xdr:row>27</xdr:row>
      <xdr:rowOff>47625</xdr:rowOff>
    </xdr:from>
    <xdr:to>
      <xdr:col>17</xdr:col>
      <xdr:colOff>295275</xdr:colOff>
      <xdr:row>31</xdr:row>
      <xdr:rowOff>95250</xdr:rowOff>
    </xdr:to>
    <xdr:sp macro="" textlink="">
      <xdr:nvSpPr>
        <xdr:cNvPr id="15" name="四角形: 角を丸くする 14">
          <a:extLst>
            <a:ext uri="{FF2B5EF4-FFF2-40B4-BE49-F238E27FC236}">
              <a16:creationId xmlns:a16="http://schemas.microsoft.com/office/drawing/2014/main" id="{00000000-0008-0000-0200-00000F000000}"/>
            </a:ext>
          </a:extLst>
        </xdr:cNvPr>
        <xdr:cNvSpPr/>
      </xdr:nvSpPr>
      <xdr:spPr>
        <a:xfrm>
          <a:off x="9534525" y="5572125"/>
          <a:ext cx="1733550" cy="733425"/>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371475</xdr:colOff>
      <xdr:row>27</xdr:row>
      <xdr:rowOff>58830</xdr:rowOff>
    </xdr:from>
    <xdr:to>
      <xdr:col>10</xdr:col>
      <xdr:colOff>400050</xdr:colOff>
      <xdr:row>31</xdr:row>
      <xdr:rowOff>104775</xdr:rowOff>
    </xdr:to>
    <xdr:sp macro="" textlink="">
      <xdr:nvSpPr>
        <xdr:cNvPr id="16" name="四角形: 角を丸くする 15">
          <a:extLst>
            <a:ext uri="{FF2B5EF4-FFF2-40B4-BE49-F238E27FC236}">
              <a16:creationId xmlns:a16="http://schemas.microsoft.com/office/drawing/2014/main" id="{00000000-0008-0000-0200-000010000000}"/>
            </a:ext>
          </a:extLst>
        </xdr:cNvPr>
        <xdr:cNvSpPr/>
      </xdr:nvSpPr>
      <xdr:spPr>
        <a:xfrm>
          <a:off x="2428875" y="5583330"/>
          <a:ext cx="4143375" cy="731745"/>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300318</xdr:colOff>
      <xdr:row>27</xdr:row>
      <xdr:rowOff>28576</xdr:rowOff>
    </xdr:from>
    <xdr:to>
      <xdr:col>4</xdr:col>
      <xdr:colOff>28575</xdr:colOff>
      <xdr:row>31</xdr:row>
      <xdr:rowOff>95250</xdr:rowOff>
    </xdr:to>
    <xdr:sp macro="" textlink="">
      <xdr:nvSpPr>
        <xdr:cNvPr id="17" name="四角形: 角を丸くする 16">
          <a:extLst>
            <a:ext uri="{FF2B5EF4-FFF2-40B4-BE49-F238E27FC236}">
              <a16:creationId xmlns:a16="http://schemas.microsoft.com/office/drawing/2014/main" id="{00000000-0008-0000-0200-000011000000}"/>
            </a:ext>
          </a:extLst>
        </xdr:cNvPr>
        <xdr:cNvSpPr/>
      </xdr:nvSpPr>
      <xdr:spPr>
        <a:xfrm>
          <a:off x="1671918" y="5553076"/>
          <a:ext cx="414057" cy="752474"/>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36</xdr:row>
      <xdr:rowOff>170891</xdr:rowOff>
    </xdr:from>
    <xdr:to>
      <xdr:col>9</xdr:col>
      <xdr:colOff>200025</xdr:colOff>
      <xdr:row>41</xdr:row>
      <xdr:rowOff>152401</xdr:rowOff>
    </xdr:to>
    <xdr:sp macro="" textlink="">
      <xdr:nvSpPr>
        <xdr:cNvPr id="21" name="四角形: 角を丸くする 20">
          <a:extLst>
            <a:ext uri="{FF2B5EF4-FFF2-40B4-BE49-F238E27FC236}">
              <a16:creationId xmlns:a16="http://schemas.microsoft.com/office/drawing/2014/main" id="{00000000-0008-0000-0200-000015000000}"/>
            </a:ext>
          </a:extLst>
        </xdr:cNvPr>
        <xdr:cNvSpPr/>
      </xdr:nvSpPr>
      <xdr:spPr>
        <a:xfrm>
          <a:off x="2095500" y="7238441"/>
          <a:ext cx="3590925" cy="838760"/>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295274</xdr:colOff>
      <xdr:row>37</xdr:row>
      <xdr:rowOff>8965</xdr:rowOff>
    </xdr:from>
    <xdr:to>
      <xdr:col>16</xdr:col>
      <xdr:colOff>361949</xdr:colOff>
      <xdr:row>41</xdr:row>
      <xdr:rowOff>152400</xdr:rowOff>
    </xdr:to>
    <xdr:sp macro="" textlink="">
      <xdr:nvSpPr>
        <xdr:cNvPr id="24" name="四角形: 角を丸くする 23">
          <a:extLst>
            <a:ext uri="{FF2B5EF4-FFF2-40B4-BE49-F238E27FC236}">
              <a16:creationId xmlns:a16="http://schemas.microsoft.com/office/drawing/2014/main" id="{00000000-0008-0000-0200-000018000000}"/>
            </a:ext>
          </a:extLst>
        </xdr:cNvPr>
        <xdr:cNvSpPr/>
      </xdr:nvSpPr>
      <xdr:spPr>
        <a:xfrm>
          <a:off x="8524874" y="7247965"/>
          <a:ext cx="2124075" cy="829235"/>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18</xdr:col>
      <xdr:colOff>301635</xdr:colOff>
      <xdr:row>84</xdr:row>
      <xdr:rowOff>65986</xdr:rowOff>
    </xdr:from>
    <xdr:to>
      <xdr:col>20</xdr:col>
      <xdr:colOff>545195</xdr:colOff>
      <xdr:row>95</xdr:row>
      <xdr:rowOff>153866</xdr:rowOff>
    </xdr:to>
    <xdr:pic>
      <xdr:nvPicPr>
        <xdr:cNvPr id="36" name="図 35">
          <a:extLst>
            <a:ext uri="{FF2B5EF4-FFF2-40B4-BE49-F238E27FC236}">
              <a16:creationId xmlns:a16="http://schemas.microsoft.com/office/drawing/2014/main" id="{00000000-0008-0000-0200-000024000000}"/>
            </a:ext>
          </a:extLst>
        </xdr:cNvPr>
        <xdr:cNvPicPr>
          <a:picLocks noChangeAspect="1"/>
        </xdr:cNvPicPr>
      </xdr:nvPicPr>
      <xdr:blipFill>
        <a:blip xmlns:r="http://schemas.openxmlformats.org/officeDocument/2006/relationships" r:embed="rId9"/>
        <a:stretch>
          <a:fillRect/>
        </a:stretch>
      </xdr:blipFill>
      <xdr:spPr>
        <a:xfrm>
          <a:off x="12010058" y="14939640"/>
          <a:ext cx="1621022" cy="1941592"/>
        </a:xfrm>
        <a:prstGeom prst="rect">
          <a:avLst/>
        </a:prstGeom>
      </xdr:spPr>
    </xdr:pic>
    <xdr:clientData/>
  </xdr:twoCellAnchor>
  <xdr:twoCellAnchor>
    <xdr:from>
      <xdr:col>14</xdr:col>
      <xdr:colOff>205156</xdr:colOff>
      <xdr:row>72</xdr:row>
      <xdr:rowOff>117232</xdr:rowOff>
    </xdr:from>
    <xdr:to>
      <xdr:col>15</xdr:col>
      <xdr:colOff>561975</xdr:colOff>
      <xdr:row>81</xdr:row>
      <xdr:rowOff>80597</xdr:rowOff>
    </xdr:to>
    <xdr:sp macro="" textlink="">
      <xdr:nvSpPr>
        <xdr:cNvPr id="30" name="四角形: 角を丸くする 29">
          <a:extLst>
            <a:ext uri="{FF2B5EF4-FFF2-40B4-BE49-F238E27FC236}">
              <a16:creationId xmlns:a16="http://schemas.microsoft.com/office/drawing/2014/main" id="{00000000-0008-0000-0200-00001E000000}"/>
            </a:ext>
          </a:extLst>
        </xdr:cNvPr>
        <xdr:cNvSpPr/>
      </xdr:nvSpPr>
      <xdr:spPr>
        <a:xfrm>
          <a:off x="9120556" y="13595107"/>
          <a:ext cx="1042619" cy="1506415"/>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83529</xdr:colOff>
      <xdr:row>72</xdr:row>
      <xdr:rowOff>117231</xdr:rowOff>
    </xdr:from>
    <xdr:to>
      <xdr:col>20</xdr:col>
      <xdr:colOff>447675</xdr:colOff>
      <xdr:row>81</xdr:row>
      <xdr:rowOff>73269</xdr:rowOff>
    </xdr:to>
    <xdr:sp macro="" textlink="">
      <xdr:nvSpPr>
        <xdr:cNvPr id="31" name="四角形: 角を丸くする 30">
          <a:extLst>
            <a:ext uri="{FF2B5EF4-FFF2-40B4-BE49-F238E27FC236}">
              <a16:creationId xmlns:a16="http://schemas.microsoft.com/office/drawing/2014/main" id="{00000000-0008-0000-0200-00001F000000}"/>
            </a:ext>
          </a:extLst>
        </xdr:cNvPr>
        <xdr:cNvSpPr/>
      </xdr:nvSpPr>
      <xdr:spPr>
        <a:xfrm>
          <a:off x="12427929" y="13595106"/>
          <a:ext cx="1049946" cy="1499088"/>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525030</xdr:colOff>
      <xdr:row>102</xdr:row>
      <xdr:rowOff>29409</xdr:rowOff>
    </xdr:from>
    <xdr:to>
      <xdr:col>6</xdr:col>
      <xdr:colOff>485776</xdr:colOff>
      <xdr:row>108</xdr:row>
      <xdr:rowOff>47625</xdr:rowOff>
    </xdr:to>
    <xdr:sp macro="" textlink="">
      <xdr:nvSpPr>
        <xdr:cNvPr id="33" name="四角形: 角を丸くする 32">
          <a:extLst>
            <a:ext uri="{FF2B5EF4-FFF2-40B4-BE49-F238E27FC236}">
              <a16:creationId xmlns:a16="http://schemas.microsoft.com/office/drawing/2014/main" id="{00000000-0008-0000-0200-000021000000}"/>
            </a:ext>
          </a:extLst>
        </xdr:cNvPr>
        <xdr:cNvSpPr/>
      </xdr:nvSpPr>
      <xdr:spPr>
        <a:xfrm>
          <a:off x="1896630" y="18860334"/>
          <a:ext cx="2018146" cy="1046916"/>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352984</xdr:colOff>
      <xdr:row>102</xdr:row>
      <xdr:rowOff>35573</xdr:rowOff>
    </xdr:from>
    <xdr:to>
      <xdr:col>9</xdr:col>
      <xdr:colOff>676275</xdr:colOff>
      <xdr:row>108</xdr:row>
      <xdr:rowOff>76200</xdr:rowOff>
    </xdr:to>
    <xdr:sp macro="" textlink="">
      <xdr:nvSpPr>
        <xdr:cNvPr id="34" name="四角形: 角を丸くする 33">
          <a:extLst>
            <a:ext uri="{FF2B5EF4-FFF2-40B4-BE49-F238E27FC236}">
              <a16:creationId xmlns:a16="http://schemas.microsoft.com/office/drawing/2014/main" id="{00000000-0008-0000-0200-000022000000}"/>
            </a:ext>
          </a:extLst>
        </xdr:cNvPr>
        <xdr:cNvSpPr/>
      </xdr:nvSpPr>
      <xdr:spPr>
        <a:xfrm>
          <a:off x="4467784" y="18866498"/>
          <a:ext cx="1694891" cy="1069327"/>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416652</xdr:colOff>
      <xdr:row>109</xdr:row>
      <xdr:rowOff>114300</xdr:rowOff>
    </xdr:from>
    <xdr:to>
      <xdr:col>12</xdr:col>
      <xdr:colOff>66675</xdr:colOff>
      <xdr:row>112</xdr:row>
      <xdr:rowOff>127062</xdr:rowOff>
    </xdr:to>
    <xdr:sp macro="" textlink="">
      <xdr:nvSpPr>
        <xdr:cNvPr id="37" name="四角形: 角を丸くする 36">
          <a:extLst>
            <a:ext uri="{FF2B5EF4-FFF2-40B4-BE49-F238E27FC236}">
              <a16:creationId xmlns:a16="http://schemas.microsoft.com/office/drawing/2014/main" id="{00000000-0008-0000-0200-000025000000}"/>
            </a:ext>
          </a:extLst>
        </xdr:cNvPr>
        <xdr:cNvSpPr/>
      </xdr:nvSpPr>
      <xdr:spPr>
        <a:xfrm>
          <a:off x="7274652" y="20145375"/>
          <a:ext cx="335823" cy="52711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606307</xdr:colOff>
      <xdr:row>102</xdr:row>
      <xdr:rowOff>40889</xdr:rowOff>
    </xdr:from>
    <xdr:to>
      <xdr:col>16</xdr:col>
      <xdr:colOff>476251</xdr:colOff>
      <xdr:row>108</xdr:row>
      <xdr:rowOff>76201</xdr:rowOff>
    </xdr:to>
    <xdr:sp macro="" textlink="">
      <xdr:nvSpPr>
        <xdr:cNvPr id="38" name="四角形: 角を丸くする 37">
          <a:extLst>
            <a:ext uri="{FF2B5EF4-FFF2-40B4-BE49-F238E27FC236}">
              <a16:creationId xmlns:a16="http://schemas.microsoft.com/office/drawing/2014/main" id="{00000000-0008-0000-0200-000026000000}"/>
            </a:ext>
          </a:extLst>
        </xdr:cNvPr>
        <xdr:cNvSpPr/>
      </xdr:nvSpPr>
      <xdr:spPr>
        <a:xfrm>
          <a:off x="8835907" y="18871814"/>
          <a:ext cx="1927344" cy="106401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18</xdr:col>
      <xdr:colOff>370595</xdr:colOff>
      <xdr:row>179</xdr:row>
      <xdr:rowOff>165229</xdr:rowOff>
    </xdr:from>
    <xdr:to>
      <xdr:col>21</xdr:col>
      <xdr:colOff>11072</xdr:colOff>
      <xdr:row>192</xdr:row>
      <xdr:rowOff>0</xdr:rowOff>
    </xdr:to>
    <xdr:pic>
      <xdr:nvPicPr>
        <xdr:cNvPr id="46" name="図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9"/>
        <a:stretch>
          <a:fillRect/>
        </a:stretch>
      </xdr:blipFill>
      <xdr:spPr>
        <a:xfrm>
          <a:off x="12079018" y="31319306"/>
          <a:ext cx="1627539" cy="2025521"/>
        </a:xfrm>
        <a:prstGeom prst="rect">
          <a:avLst/>
        </a:prstGeom>
      </xdr:spPr>
    </xdr:pic>
    <xdr:clientData/>
  </xdr:twoCellAnchor>
  <xdr:twoCellAnchor>
    <xdr:from>
      <xdr:col>2</xdr:col>
      <xdr:colOff>657876</xdr:colOff>
      <xdr:row>170</xdr:row>
      <xdr:rowOff>123265</xdr:rowOff>
    </xdr:from>
    <xdr:to>
      <xdr:col>3</xdr:col>
      <xdr:colOff>390525</xdr:colOff>
      <xdr:row>176</xdr:row>
      <xdr:rowOff>126351</xdr:rowOff>
    </xdr:to>
    <xdr:sp macro="" textlink="">
      <xdr:nvSpPr>
        <xdr:cNvPr id="49" name="四角形: 角を丸くする 48">
          <a:extLst>
            <a:ext uri="{FF2B5EF4-FFF2-40B4-BE49-F238E27FC236}">
              <a16:creationId xmlns:a16="http://schemas.microsoft.com/office/drawing/2014/main" id="{00000000-0008-0000-0200-000031000000}"/>
            </a:ext>
          </a:extLst>
        </xdr:cNvPr>
        <xdr:cNvSpPr/>
      </xdr:nvSpPr>
      <xdr:spPr>
        <a:xfrm>
          <a:off x="1343676" y="31165240"/>
          <a:ext cx="418449" cy="1031786"/>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31981</xdr:colOff>
      <xdr:row>170</xdr:row>
      <xdr:rowOff>133350</xdr:rowOff>
    </xdr:from>
    <xdr:to>
      <xdr:col>13</xdr:col>
      <xdr:colOff>481291</xdr:colOff>
      <xdr:row>176</xdr:row>
      <xdr:rowOff>123242</xdr:rowOff>
    </xdr:to>
    <xdr:sp macro="" textlink="">
      <xdr:nvSpPr>
        <xdr:cNvPr id="50" name="四角形: 角を丸くする 49">
          <a:extLst>
            <a:ext uri="{FF2B5EF4-FFF2-40B4-BE49-F238E27FC236}">
              <a16:creationId xmlns:a16="http://schemas.microsoft.com/office/drawing/2014/main" id="{00000000-0008-0000-0200-000032000000}"/>
            </a:ext>
          </a:extLst>
        </xdr:cNvPr>
        <xdr:cNvSpPr/>
      </xdr:nvSpPr>
      <xdr:spPr>
        <a:xfrm>
          <a:off x="8261581" y="31175325"/>
          <a:ext cx="449310" cy="101859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247650</xdr:colOff>
      <xdr:row>170</xdr:row>
      <xdr:rowOff>133350</xdr:rowOff>
    </xdr:from>
    <xdr:to>
      <xdr:col>15</xdr:col>
      <xdr:colOff>441509</xdr:colOff>
      <xdr:row>176</xdr:row>
      <xdr:rowOff>129851</xdr:rowOff>
    </xdr:to>
    <xdr:sp macro="" textlink="">
      <xdr:nvSpPr>
        <xdr:cNvPr id="51" name="四角形: 角を丸くする 50">
          <a:extLst>
            <a:ext uri="{FF2B5EF4-FFF2-40B4-BE49-F238E27FC236}">
              <a16:creationId xmlns:a16="http://schemas.microsoft.com/office/drawing/2014/main" id="{00000000-0008-0000-0200-000033000000}"/>
            </a:ext>
          </a:extLst>
        </xdr:cNvPr>
        <xdr:cNvSpPr/>
      </xdr:nvSpPr>
      <xdr:spPr>
        <a:xfrm>
          <a:off x="9163050" y="31175325"/>
          <a:ext cx="879659" cy="1025201"/>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418312</xdr:colOff>
      <xdr:row>170</xdr:row>
      <xdr:rowOff>121207</xdr:rowOff>
    </xdr:from>
    <xdr:to>
      <xdr:col>4</xdr:col>
      <xdr:colOff>355787</xdr:colOff>
      <xdr:row>176</xdr:row>
      <xdr:rowOff>123265</xdr:rowOff>
    </xdr:to>
    <xdr:sp macro="" textlink="">
      <xdr:nvSpPr>
        <xdr:cNvPr id="52" name="四角形: 角を丸くする 51">
          <a:extLst>
            <a:ext uri="{FF2B5EF4-FFF2-40B4-BE49-F238E27FC236}">
              <a16:creationId xmlns:a16="http://schemas.microsoft.com/office/drawing/2014/main" id="{00000000-0008-0000-0200-000034000000}"/>
            </a:ext>
          </a:extLst>
        </xdr:cNvPr>
        <xdr:cNvSpPr/>
      </xdr:nvSpPr>
      <xdr:spPr>
        <a:xfrm>
          <a:off x="1789912" y="31163182"/>
          <a:ext cx="623275" cy="1030758"/>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301995</xdr:colOff>
      <xdr:row>170</xdr:row>
      <xdr:rowOff>133350</xdr:rowOff>
    </xdr:from>
    <xdr:to>
      <xdr:col>8</xdr:col>
      <xdr:colOff>606796</xdr:colOff>
      <xdr:row>176</xdr:row>
      <xdr:rowOff>119800</xdr:rowOff>
    </xdr:to>
    <xdr:sp macro="" textlink="">
      <xdr:nvSpPr>
        <xdr:cNvPr id="53" name="四角形: 角を丸くする 52">
          <a:extLst>
            <a:ext uri="{FF2B5EF4-FFF2-40B4-BE49-F238E27FC236}">
              <a16:creationId xmlns:a16="http://schemas.microsoft.com/office/drawing/2014/main" id="{00000000-0008-0000-0200-000035000000}"/>
            </a:ext>
          </a:extLst>
        </xdr:cNvPr>
        <xdr:cNvSpPr/>
      </xdr:nvSpPr>
      <xdr:spPr>
        <a:xfrm flipH="1">
          <a:off x="5102595" y="31175325"/>
          <a:ext cx="304801" cy="1015150"/>
        </a:xfrm>
        <a:prstGeom prst="roundRect">
          <a:avLst>
            <a:gd name="adj" fmla="val 1389"/>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359343</xdr:colOff>
      <xdr:row>170</xdr:row>
      <xdr:rowOff>145676</xdr:rowOff>
    </xdr:from>
    <xdr:to>
      <xdr:col>6</xdr:col>
      <xdr:colOff>506507</xdr:colOff>
      <xdr:row>176</xdr:row>
      <xdr:rowOff>122854</xdr:rowOff>
    </xdr:to>
    <xdr:sp macro="" textlink="">
      <xdr:nvSpPr>
        <xdr:cNvPr id="54" name="四角形: 角を丸くする 53">
          <a:extLst>
            <a:ext uri="{FF2B5EF4-FFF2-40B4-BE49-F238E27FC236}">
              <a16:creationId xmlns:a16="http://schemas.microsoft.com/office/drawing/2014/main" id="{00000000-0008-0000-0200-000036000000}"/>
            </a:ext>
          </a:extLst>
        </xdr:cNvPr>
        <xdr:cNvSpPr/>
      </xdr:nvSpPr>
      <xdr:spPr>
        <a:xfrm>
          <a:off x="2416743" y="31187651"/>
          <a:ext cx="1518764" cy="1005878"/>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617902</xdr:colOff>
      <xdr:row>132</xdr:row>
      <xdr:rowOff>44824</xdr:rowOff>
    </xdr:from>
    <xdr:to>
      <xdr:col>3</xdr:col>
      <xdr:colOff>485775</xdr:colOff>
      <xdr:row>133</xdr:row>
      <xdr:rowOff>109590</xdr:rowOff>
    </xdr:to>
    <xdr:sp macro="" textlink="">
      <xdr:nvSpPr>
        <xdr:cNvPr id="56" name="四角形: 角を丸くする 55">
          <a:extLst>
            <a:ext uri="{FF2B5EF4-FFF2-40B4-BE49-F238E27FC236}">
              <a16:creationId xmlns:a16="http://schemas.microsoft.com/office/drawing/2014/main" id="{00000000-0008-0000-0200-000038000000}"/>
            </a:ext>
          </a:extLst>
        </xdr:cNvPr>
        <xdr:cNvSpPr/>
      </xdr:nvSpPr>
      <xdr:spPr>
        <a:xfrm>
          <a:off x="1303702" y="24228799"/>
          <a:ext cx="553673" cy="236216"/>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498881</xdr:colOff>
      <xdr:row>129</xdr:row>
      <xdr:rowOff>28575</xdr:rowOff>
    </xdr:from>
    <xdr:to>
      <xdr:col>6</xdr:col>
      <xdr:colOff>335616</xdr:colOff>
      <xdr:row>133</xdr:row>
      <xdr:rowOff>110355</xdr:rowOff>
    </xdr:to>
    <xdr:sp macro="" textlink="">
      <xdr:nvSpPr>
        <xdr:cNvPr id="57" name="四角形: 角を丸くする 56">
          <a:extLst>
            <a:ext uri="{FF2B5EF4-FFF2-40B4-BE49-F238E27FC236}">
              <a16:creationId xmlns:a16="http://schemas.microsoft.com/office/drawing/2014/main" id="{00000000-0008-0000-0200-000039000000}"/>
            </a:ext>
          </a:extLst>
        </xdr:cNvPr>
        <xdr:cNvSpPr/>
      </xdr:nvSpPr>
      <xdr:spPr>
        <a:xfrm>
          <a:off x="2556281" y="23698200"/>
          <a:ext cx="1208335" cy="767580"/>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476249</xdr:colOff>
      <xdr:row>129</xdr:row>
      <xdr:rowOff>33617</xdr:rowOff>
    </xdr:from>
    <xdr:to>
      <xdr:col>15</xdr:col>
      <xdr:colOff>581024</xdr:colOff>
      <xdr:row>133</xdr:row>
      <xdr:rowOff>118255</xdr:rowOff>
    </xdr:to>
    <xdr:sp macro="" textlink="">
      <xdr:nvSpPr>
        <xdr:cNvPr id="58" name="四角形: 角を丸くする 57">
          <a:extLst>
            <a:ext uri="{FF2B5EF4-FFF2-40B4-BE49-F238E27FC236}">
              <a16:creationId xmlns:a16="http://schemas.microsoft.com/office/drawing/2014/main" id="{00000000-0008-0000-0200-00003A000000}"/>
            </a:ext>
          </a:extLst>
        </xdr:cNvPr>
        <xdr:cNvSpPr/>
      </xdr:nvSpPr>
      <xdr:spPr>
        <a:xfrm>
          <a:off x="8705849" y="23703242"/>
          <a:ext cx="1476375" cy="770438"/>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395007</xdr:colOff>
      <xdr:row>129</xdr:row>
      <xdr:rowOff>24092</xdr:rowOff>
    </xdr:from>
    <xdr:to>
      <xdr:col>9</xdr:col>
      <xdr:colOff>193302</xdr:colOff>
      <xdr:row>133</xdr:row>
      <xdr:rowOff>110881</xdr:rowOff>
    </xdr:to>
    <xdr:sp macro="" textlink="">
      <xdr:nvSpPr>
        <xdr:cNvPr id="59" name="四角形: 角を丸くする 58">
          <a:extLst>
            <a:ext uri="{FF2B5EF4-FFF2-40B4-BE49-F238E27FC236}">
              <a16:creationId xmlns:a16="http://schemas.microsoft.com/office/drawing/2014/main" id="{00000000-0008-0000-0200-00003B000000}"/>
            </a:ext>
          </a:extLst>
        </xdr:cNvPr>
        <xdr:cNvSpPr/>
      </xdr:nvSpPr>
      <xdr:spPr>
        <a:xfrm>
          <a:off x="5195607" y="23693717"/>
          <a:ext cx="484095" cy="772589"/>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199025</xdr:colOff>
      <xdr:row>129</xdr:row>
      <xdr:rowOff>35298</xdr:rowOff>
    </xdr:from>
    <xdr:to>
      <xdr:col>9</xdr:col>
      <xdr:colOff>667872</xdr:colOff>
      <xdr:row>133</xdr:row>
      <xdr:rowOff>117491</xdr:rowOff>
    </xdr:to>
    <xdr:sp macro="" textlink="">
      <xdr:nvSpPr>
        <xdr:cNvPr id="60" name="四角形: 角を丸くする 59">
          <a:extLst>
            <a:ext uri="{FF2B5EF4-FFF2-40B4-BE49-F238E27FC236}">
              <a16:creationId xmlns:a16="http://schemas.microsoft.com/office/drawing/2014/main" id="{00000000-0008-0000-0200-00003C000000}"/>
            </a:ext>
          </a:extLst>
        </xdr:cNvPr>
        <xdr:cNvSpPr/>
      </xdr:nvSpPr>
      <xdr:spPr>
        <a:xfrm>
          <a:off x="5685425" y="23704923"/>
          <a:ext cx="468847" cy="767993"/>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544045</xdr:colOff>
      <xdr:row>129</xdr:row>
      <xdr:rowOff>24091</xdr:rowOff>
    </xdr:from>
    <xdr:to>
      <xdr:col>17</xdr:col>
      <xdr:colOff>398369</xdr:colOff>
      <xdr:row>133</xdr:row>
      <xdr:rowOff>114379</xdr:rowOff>
    </xdr:to>
    <xdr:sp macro="" textlink="">
      <xdr:nvSpPr>
        <xdr:cNvPr id="61" name="四角形: 角を丸くする 60">
          <a:extLst>
            <a:ext uri="{FF2B5EF4-FFF2-40B4-BE49-F238E27FC236}">
              <a16:creationId xmlns:a16="http://schemas.microsoft.com/office/drawing/2014/main" id="{00000000-0008-0000-0200-00003D000000}"/>
            </a:ext>
          </a:extLst>
        </xdr:cNvPr>
        <xdr:cNvSpPr/>
      </xdr:nvSpPr>
      <xdr:spPr>
        <a:xfrm>
          <a:off x="10831045" y="23693716"/>
          <a:ext cx="540124" cy="776088"/>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423082</xdr:colOff>
      <xdr:row>149</xdr:row>
      <xdr:rowOff>100853</xdr:rowOff>
    </xdr:from>
    <xdr:to>
      <xdr:col>8</xdr:col>
      <xdr:colOff>322425</xdr:colOff>
      <xdr:row>155</xdr:row>
      <xdr:rowOff>48986</xdr:rowOff>
    </xdr:to>
    <xdr:sp macro="" textlink="">
      <xdr:nvSpPr>
        <xdr:cNvPr id="63" name="四角形: 角を丸くする 62">
          <a:extLst>
            <a:ext uri="{FF2B5EF4-FFF2-40B4-BE49-F238E27FC236}">
              <a16:creationId xmlns:a16="http://schemas.microsoft.com/office/drawing/2014/main" id="{00000000-0008-0000-0200-00003F000000}"/>
            </a:ext>
          </a:extLst>
        </xdr:cNvPr>
        <xdr:cNvSpPr/>
      </xdr:nvSpPr>
      <xdr:spPr>
        <a:xfrm>
          <a:off x="2473758" y="30670500"/>
          <a:ext cx="2633579" cy="95666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473803</xdr:colOff>
      <xdr:row>149</xdr:row>
      <xdr:rowOff>100749</xdr:rowOff>
    </xdr:from>
    <xdr:to>
      <xdr:col>4</xdr:col>
      <xdr:colOff>392047</xdr:colOff>
      <xdr:row>155</xdr:row>
      <xdr:rowOff>45874</xdr:rowOff>
    </xdr:to>
    <xdr:sp macro="" textlink="">
      <xdr:nvSpPr>
        <xdr:cNvPr id="64" name="四角形: 角を丸くする 63">
          <a:extLst>
            <a:ext uri="{FF2B5EF4-FFF2-40B4-BE49-F238E27FC236}">
              <a16:creationId xmlns:a16="http://schemas.microsoft.com/office/drawing/2014/main" id="{00000000-0008-0000-0200-000040000000}"/>
            </a:ext>
          </a:extLst>
        </xdr:cNvPr>
        <xdr:cNvSpPr/>
      </xdr:nvSpPr>
      <xdr:spPr>
        <a:xfrm>
          <a:off x="1840921" y="30670396"/>
          <a:ext cx="601802" cy="953654"/>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369794</xdr:colOff>
      <xdr:row>149</xdr:row>
      <xdr:rowOff>100839</xdr:rowOff>
    </xdr:from>
    <xdr:to>
      <xdr:col>9</xdr:col>
      <xdr:colOff>324970</xdr:colOff>
      <xdr:row>155</xdr:row>
      <xdr:rowOff>48597</xdr:rowOff>
    </xdr:to>
    <xdr:sp macro="" textlink="">
      <xdr:nvSpPr>
        <xdr:cNvPr id="65" name="四角形: 角を丸くする 64">
          <a:extLst>
            <a:ext uri="{FF2B5EF4-FFF2-40B4-BE49-F238E27FC236}">
              <a16:creationId xmlns:a16="http://schemas.microsoft.com/office/drawing/2014/main" id="{00000000-0008-0000-0200-000041000000}"/>
            </a:ext>
          </a:extLst>
        </xdr:cNvPr>
        <xdr:cNvSpPr/>
      </xdr:nvSpPr>
      <xdr:spPr>
        <a:xfrm>
          <a:off x="5154706" y="30670486"/>
          <a:ext cx="638735" cy="956287"/>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392206</xdr:colOff>
      <xdr:row>160</xdr:row>
      <xdr:rowOff>73981</xdr:rowOff>
    </xdr:from>
    <xdr:to>
      <xdr:col>20</xdr:col>
      <xdr:colOff>409702</xdr:colOff>
      <xdr:row>164</xdr:row>
      <xdr:rowOff>112427</xdr:rowOff>
    </xdr:to>
    <xdr:pic>
      <xdr:nvPicPr>
        <xdr:cNvPr id="68" name="図 67">
          <a:extLst>
            <a:ext uri="{FF2B5EF4-FFF2-40B4-BE49-F238E27FC236}">
              <a16:creationId xmlns:a16="http://schemas.microsoft.com/office/drawing/2014/main" id="{00000000-0008-0000-0200-000044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227794" y="32671893"/>
          <a:ext cx="6169526" cy="710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392207</xdr:colOff>
      <xdr:row>160</xdr:row>
      <xdr:rowOff>73980</xdr:rowOff>
    </xdr:from>
    <xdr:to>
      <xdr:col>20</xdr:col>
      <xdr:colOff>397009</xdr:colOff>
      <xdr:row>164</xdr:row>
      <xdr:rowOff>100028</xdr:rowOff>
    </xdr:to>
    <xdr:sp macro="" textlink="">
      <xdr:nvSpPr>
        <xdr:cNvPr id="70" name="四角形: 角を丸くする 69">
          <a:extLst>
            <a:ext uri="{FF2B5EF4-FFF2-40B4-BE49-F238E27FC236}">
              <a16:creationId xmlns:a16="http://schemas.microsoft.com/office/drawing/2014/main" id="{00000000-0008-0000-0200-000046000000}"/>
            </a:ext>
          </a:extLst>
        </xdr:cNvPr>
        <xdr:cNvSpPr/>
      </xdr:nvSpPr>
      <xdr:spPr>
        <a:xfrm>
          <a:off x="7227795" y="32671892"/>
          <a:ext cx="6156832" cy="698401"/>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403640</xdr:colOff>
      <xdr:row>153</xdr:row>
      <xdr:rowOff>112058</xdr:rowOff>
    </xdr:from>
    <xdr:to>
      <xdr:col>16</xdr:col>
      <xdr:colOff>306445</xdr:colOff>
      <xdr:row>155</xdr:row>
      <xdr:rowOff>48596</xdr:rowOff>
    </xdr:to>
    <xdr:sp macro="" textlink="">
      <xdr:nvSpPr>
        <xdr:cNvPr id="71" name="四角形: 角を丸くする 70">
          <a:extLst>
            <a:ext uri="{FF2B5EF4-FFF2-40B4-BE49-F238E27FC236}">
              <a16:creationId xmlns:a16="http://schemas.microsoft.com/office/drawing/2014/main" id="{00000000-0008-0000-0200-000047000000}"/>
            </a:ext>
          </a:extLst>
        </xdr:cNvPr>
        <xdr:cNvSpPr/>
      </xdr:nvSpPr>
      <xdr:spPr>
        <a:xfrm>
          <a:off x="9973464" y="31354058"/>
          <a:ext cx="586363" cy="272714"/>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11206</xdr:colOff>
      <xdr:row>155</xdr:row>
      <xdr:rowOff>48596</xdr:rowOff>
    </xdr:from>
    <xdr:to>
      <xdr:col>16</xdr:col>
      <xdr:colOff>13264</xdr:colOff>
      <xdr:row>161</xdr:row>
      <xdr:rowOff>22412</xdr:rowOff>
    </xdr:to>
    <xdr:cxnSp macro="">
      <xdr:nvCxnSpPr>
        <xdr:cNvPr id="72" name="直線矢印コネクタ 71">
          <a:extLst>
            <a:ext uri="{FF2B5EF4-FFF2-40B4-BE49-F238E27FC236}">
              <a16:creationId xmlns:a16="http://schemas.microsoft.com/office/drawing/2014/main" id="{00000000-0008-0000-0200-000048000000}"/>
            </a:ext>
          </a:extLst>
        </xdr:cNvPr>
        <xdr:cNvCxnSpPr>
          <a:stCxn id="71" idx="2"/>
        </xdr:cNvCxnSpPr>
      </xdr:nvCxnSpPr>
      <xdr:spPr>
        <a:xfrm flipH="1">
          <a:off x="9581030" y="31626772"/>
          <a:ext cx="685616" cy="98234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242984</xdr:colOff>
      <xdr:row>149</xdr:row>
      <xdr:rowOff>123265</xdr:rowOff>
    </xdr:from>
    <xdr:to>
      <xdr:col>13</xdr:col>
      <xdr:colOff>388775</xdr:colOff>
      <xdr:row>155</xdr:row>
      <xdr:rowOff>48597</xdr:rowOff>
    </xdr:to>
    <xdr:sp macro="" textlink="">
      <xdr:nvSpPr>
        <xdr:cNvPr id="73" name="四角形: 角を丸くする 72">
          <a:extLst>
            <a:ext uri="{FF2B5EF4-FFF2-40B4-BE49-F238E27FC236}">
              <a16:creationId xmlns:a16="http://schemas.microsoft.com/office/drawing/2014/main" id="{00000000-0008-0000-0200-000049000000}"/>
            </a:ext>
          </a:extLst>
        </xdr:cNvPr>
        <xdr:cNvSpPr/>
      </xdr:nvSpPr>
      <xdr:spPr>
        <a:xfrm>
          <a:off x="7078572" y="30692912"/>
          <a:ext cx="1512909" cy="933861"/>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470647</xdr:colOff>
      <xdr:row>155</xdr:row>
      <xdr:rowOff>26185</xdr:rowOff>
    </xdr:from>
    <xdr:to>
      <xdr:col>10</xdr:col>
      <xdr:colOff>578648</xdr:colOff>
      <xdr:row>156</xdr:row>
      <xdr:rowOff>11206</xdr:rowOff>
    </xdr:to>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a:xfrm flipV="1">
          <a:off x="6622676" y="29598509"/>
          <a:ext cx="108001" cy="15310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191279</xdr:colOff>
      <xdr:row>153</xdr:row>
      <xdr:rowOff>116633</xdr:rowOff>
    </xdr:from>
    <xdr:to>
      <xdr:col>11</xdr:col>
      <xdr:colOff>252703</xdr:colOff>
      <xdr:row>155</xdr:row>
      <xdr:rowOff>45487</xdr:rowOff>
    </xdr:to>
    <xdr:sp macro="" textlink="">
      <xdr:nvSpPr>
        <xdr:cNvPr id="62" name="四角形: 角を丸くする 61">
          <a:extLst>
            <a:ext uri="{FF2B5EF4-FFF2-40B4-BE49-F238E27FC236}">
              <a16:creationId xmlns:a16="http://schemas.microsoft.com/office/drawing/2014/main" id="{00000000-0008-0000-0200-00003E000000}"/>
            </a:ext>
          </a:extLst>
        </xdr:cNvPr>
        <xdr:cNvSpPr/>
      </xdr:nvSpPr>
      <xdr:spPr>
        <a:xfrm>
          <a:off x="6392248" y="31276990"/>
          <a:ext cx="751501" cy="27875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123825</xdr:colOff>
      <xdr:row>111</xdr:row>
      <xdr:rowOff>152400</xdr:rowOff>
    </xdr:from>
    <xdr:to>
      <xdr:col>12</xdr:col>
      <xdr:colOff>661148</xdr:colOff>
      <xdr:row>115</xdr:row>
      <xdr:rowOff>145677</xdr:rowOff>
    </xdr:to>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flipH="1" flipV="1">
          <a:off x="7667625" y="20526375"/>
          <a:ext cx="537323" cy="67907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428625</xdr:colOff>
      <xdr:row>133</xdr:row>
      <xdr:rowOff>9525</xdr:rowOff>
    </xdr:from>
    <xdr:to>
      <xdr:col>11</xdr:col>
      <xdr:colOff>201707</xdr:colOff>
      <xdr:row>135</xdr:row>
      <xdr:rowOff>56031</xdr:rowOff>
    </xdr:to>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flipH="1" flipV="1">
          <a:off x="5915025" y="24364950"/>
          <a:ext cx="1144682" cy="38940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493059</xdr:colOff>
      <xdr:row>133</xdr:row>
      <xdr:rowOff>128524</xdr:rowOff>
    </xdr:from>
    <xdr:to>
      <xdr:col>17</xdr:col>
      <xdr:colOff>11206</xdr:colOff>
      <xdr:row>134</xdr:row>
      <xdr:rowOff>123264</xdr:rowOff>
    </xdr:to>
    <xdr:cxnSp macro="">
      <xdr:nvCxnSpPr>
        <xdr:cNvPr id="43" name="直線矢印コネクタ 42">
          <a:extLst>
            <a:ext uri="{FF2B5EF4-FFF2-40B4-BE49-F238E27FC236}">
              <a16:creationId xmlns:a16="http://schemas.microsoft.com/office/drawing/2014/main" id="{00000000-0008-0000-0200-00002B000000}"/>
            </a:ext>
          </a:extLst>
        </xdr:cNvPr>
        <xdr:cNvCxnSpPr/>
      </xdr:nvCxnSpPr>
      <xdr:spPr>
        <a:xfrm flipV="1">
          <a:off x="10746441" y="21890348"/>
          <a:ext cx="201706" cy="16282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358286</xdr:colOff>
      <xdr:row>79</xdr:row>
      <xdr:rowOff>50555</xdr:rowOff>
    </xdr:from>
    <xdr:to>
      <xdr:col>6</xdr:col>
      <xdr:colOff>365613</xdr:colOff>
      <xdr:row>81</xdr:row>
      <xdr:rowOff>141410</xdr:rowOff>
    </xdr:to>
    <xdr:cxnSp macro="">
      <xdr:nvCxnSpPr>
        <xdr:cNvPr id="47" name="直線矢印コネクタ 46">
          <a:extLst>
            <a:ext uri="{FF2B5EF4-FFF2-40B4-BE49-F238E27FC236}">
              <a16:creationId xmlns:a16="http://schemas.microsoft.com/office/drawing/2014/main" id="{00000000-0008-0000-0200-00002F000000}"/>
            </a:ext>
          </a:extLst>
        </xdr:cNvPr>
        <xdr:cNvCxnSpPr/>
      </xdr:nvCxnSpPr>
      <xdr:spPr>
        <a:xfrm flipV="1">
          <a:off x="3787286" y="14728580"/>
          <a:ext cx="7327" cy="43375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540965</xdr:colOff>
      <xdr:row>56</xdr:row>
      <xdr:rowOff>127189</xdr:rowOff>
    </xdr:from>
    <xdr:to>
      <xdr:col>5</xdr:col>
      <xdr:colOff>609600</xdr:colOff>
      <xdr:row>57</xdr:row>
      <xdr:rowOff>104775</xdr:rowOff>
    </xdr:to>
    <xdr:cxnSp macro="">
      <xdr:nvCxnSpPr>
        <xdr:cNvPr id="76" name="直線矢印コネクタ 75">
          <a:extLst>
            <a:ext uri="{FF2B5EF4-FFF2-40B4-BE49-F238E27FC236}">
              <a16:creationId xmlns:a16="http://schemas.microsoft.com/office/drawing/2014/main" id="{00000000-0008-0000-0200-00004C000000}"/>
            </a:ext>
          </a:extLst>
        </xdr:cNvPr>
        <xdr:cNvCxnSpPr/>
      </xdr:nvCxnSpPr>
      <xdr:spPr>
        <a:xfrm flipH="1" flipV="1">
          <a:off x="2598365" y="10538014"/>
          <a:ext cx="754435" cy="14903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358589</xdr:colOff>
      <xdr:row>154</xdr:row>
      <xdr:rowOff>112061</xdr:rowOff>
    </xdr:from>
    <xdr:to>
      <xdr:col>16</xdr:col>
      <xdr:colOff>493059</xdr:colOff>
      <xdr:row>156</xdr:row>
      <xdr:rowOff>0</xdr:rowOff>
    </xdr:to>
    <xdr:cxnSp macro="">
      <xdr:nvCxnSpPr>
        <xdr:cNvPr id="94" name="直線矢印コネクタ 93">
          <a:extLst>
            <a:ext uri="{FF2B5EF4-FFF2-40B4-BE49-F238E27FC236}">
              <a16:creationId xmlns:a16="http://schemas.microsoft.com/office/drawing/2014/main" id="{00000000-0008-0000-0200-00005E000000}"/>
            </a:ext>
          </a:extLst>
        </xdr:cNvPr>
        <xdr:cNvCxnSpPr/>
      </xdr:nvCxnSpPr>
      <xdr:spPr>
        <a:xfrm flipV="1">
          <a:off x="10611971" y="29684385"/>
          <a:ext cx="134470" cy="26893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676274</xdr:colOff>
      <xdr:row>173</xdr:row>
      <xdr:rowOff>11766</xdr:rowOff>
    </xdr:from>
    <xdr:to>
      <xdr:col>19</xdr:col>
      <xdr:colOff>400049</xdr:colOff>
      <xdr:row>176</xdr:row>
      <xdr:rowOff>123825</xdr:rowOff>
    </xdr:to>
    <xdr:sp macro="" textlink="">
      <xdr:nvSpPr>
        <xdr:cNvPr id="102" name="四角形: 角を丸くする 101">
          <a:extLst>
            <a:ext uri="{FF2B5EF4-FFF2-40B4-BE49-F238E27FC236}">
              <a16:creationId xmlns:a16="http://schemas.microsoft.com/office/drawing/2014/main" id="{00000000-0008-0000-0200-000066000000}"/>
            </a:ext>
          </a:extLst>
        </xdr:cNvPr>
        <xdr:cNvSpPr/>
      </xdr:nvSpPr>
      <xdr:spPr>
        <a:xfrm>
          <a:off x="12334874" y="31568091"/>
          <a:ext cx="409575" cy="626409"/>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251570</xdr:colOff>
      <xdr:row>170</xdr:row>
      <xdr:rowOff>131669</xdr:rowOff>
    </xdr:from>
    <xdr:to>
      <xdr:col>16</xdr:col>
      <xdr:colOff>554130</xdr:colOff>
      <xdr:row>176</xdr:row>
      <xdr:rowOff>133350</xdr:rowOff>
    </xdr:to>
    <xdr:sp macro="" textlink="">
      <xdr:nvSpPr>
        <xdr:cNvPr id="105" name="四角形: 角を丸くする 104">
          <a:extLst>
            <a:ext uri="{FF2B5EF4-FFF2-40B4-BE49-F238E27FC236}">
              <a16:creationId xmlns:a16="http://schemas.microsoft.com/office/drawing/2014/main" id="{00000000-0008-0000-0200-000069000000}"/>
            </a:ext>
          </a:extLst>
        </xdr:cNvPr>
        <xdr:cNvSpPr/>
      </xdr:nvSpPr>
      <xdr:spPr>
        <a:xfrm flipH="1">
          <a:off x="10538570" y="31173644"/>
          <a:ext cx="302560" cy="1030381"/>
        </a:xfrm>
        <a:prstGeom prst="roundRect">
          <a:avLst>
            <a:gd name="adj" fmla="val 1389"/>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549088</xdr:colOff>
      <xdr:row>155</xdr:row>
      <xdr:rowOff>56029</xdr:rowOff>
    </xdr:from>
    <xdr:to>
      <xdr:col>13</xdr:col>
      <xdr:colOff>212912</xdr:colOff>
      <xdr:row>158</xdr:row>
      <xdr:rowOff>0</xdr:rowOff>
    </xdr:to>
    <xdr:cxnSp macro="">
      <xdr:nvCxnSpPr>
        <xdr:cNvPr id="110" name="直線矢印コネクタ 109">
          <a:extLst>
            <a:ext uri="{FF2B5EF4-FFF2-40B4-BE49-F238E27FC236}">
              <a16:creationId xmlns:a16="http://schemas.microsoft.com/office/drawing/2014/main" id="{00000000-0008-0000-0200-00006E000000}"/>
            </a:ext>
          </a:extLst>
        </xdr:cNvPr>
        <xdr:cNvCxnSpPr/>
      </xdr:nvCxnSpPr>
      <xdr:spPr>
        <a:xfrm flipH="1" flipV="1">
          <a:off x="8068235" y="29628353"/>
          <a:ext cx="347383" cy="44823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609599</xdr:colOff>
      <xdr:row>170</xdr:row>
      <xdr:rowOff>133350</xdr:rowOff>
    </xdr:from>
    <xdr:to>
      <xdr:col>9</xdr:col>
      <xdr:colOff>337296</xdr:colOff>
      <xdr:row>176</xdr:row>
      <xdr:rowOff>129326</xdr:rowOff>
    </xdr:to>
    <xdr:sp macro="" textlink="">
      <xdr:nvSpPr>
        <xdr:cNvPr id="74" name="四角形: 角を丸くする 73">
          <a:extLst>
            <a:ext uri="{FF2B5EF4-FFF2-40B4-BE49-F238E27FC236}">
              <a16:creationId xmlns:a16="http://schemas.microsoft.com/office/drawing/2014/main" id="{00000000-0008-0000-0200-00004A000000}"/>
            </a:ext>
          </a:extLst>
        </xdr:cNvPr>
        <xdr:cNvSpPr/>
      </xdr:nvSpPr>
      <xdr:spPr>
        <a:xfrm flipH="1">
          <a:off x="5410199" y="31175325"/>
          <a:ext cx="413497" cy="1024676"/>
        </a:xfrm>
        <a:prstGeom prst="roundRect">
          <a:avLst>
            <a:gd name="adj" fmla="val 1389"/>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280147</xdr:colOff>
      <xdr:row>175</xdr:row>
      <xdr:rowOff>22412</xdr:rowOff>
    </xdr:from>
    <xdr:to>
      <xdr:col>19</xdr:col>
      <xdr:colOff>100853</xdr:colOff>
      <xdr:row>177</xdr:row>
      <xdr:rowOff>156882</xdr:rowOff>
    </xdr:to>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flipV="1">
          <a:off x="11900647" y="26759647"/>
          <a:ext cx="504265" cy="47064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271096</xdr:colOff>
      <xdr:row>77</xdr:row>
      <xdr:rowOff>117230</xdr:rowOff>
    </xdr:from>
    <xdr:to>
      <xdr:col>19</xdr:col>
      <xdr:colOff>454269</xdr:colOff>
      <xdr:row>82</xdr:row>
      <xdr:rowOff>29308</xdr:rowOff>
    </xdr:to>
    <xdr:cxnSp macro="">
      <xdr:nvCxnSpPr>
        <xdr:cNvPr id="107" name="直線矢印コネクタ 106">
          <a:extLst>
            <a:ext uri="{FF2B5EF4-FFF2-40B4-BE49-F238E27FC236}">
              <a16:creationId xmlns:a16="http://schemas.microsoft.com/office/drawing/2014/main" id="{00000000-0008-0000-0200-00006B000000}"/>
            </a:ext>
          </a:extLst>
        </xdr:cNvPr>
        <xdr:cNvCxnSpPr/>
      </xdr:nvCxnSpPr>
      <xdr:spPr>
        <a:xfrm flipV="1">
          <a:off x="12668250" y="14148288"/>
          <a:ext cx="183173" cy="75467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380441</xdr:colOff>
      <xdr:row>9</xdr:row>
      <xdr:rowOff>24093</xdr:rowOff>
    </xdr:from>
    <xdr:to>
      <xdr:col>20</xdr:col>
      <xdr:colOff>526116</xdr:colOff>
      <xdr:row>18</xdr:row>
      <xdr:rowOff>153521</xdr:rowOff>
    </xdr:to>
    <xdr:pic>
      <xdr:nvPicPr>
        <xdr:cNvPr id="112" name="図 111">
          <a:extLst>
            <a:ext uri="{FF2B5EF4-FFF2-40B4-BE49-F238E27FC236}">
              <a16:creationId xmlns:a16="http://schemas.microsoft.com/office/drawing/2014/main" id="{00000000-0008-0000-0200-000070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552641" y="1900518"/>
          <a:ext cx="7003675" cy="17201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11205</xdr:colOff>
      <xdr:row>185</xdr:row>
      <xdr:rowOff>89645</xdr:rowOff>
    </xdr:from>
    <xdr:to>
      <xdr:col>14</xdr:col>
      <xdr:colOff>537882</xdr:colOff>
      <xdr:row>192</xdr:row>
      <xdr:rowOff>0</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2"/>
        <a:stretch>
          <a:fillRect/>
        </a:stretch>
      </xdr:blipFill>
      <xdr:spPr>
        <a:xfrm>
          <a:off x="7587243" y="32254837"/>
          <a:ext cx="1904139" cy="1089990"/>
        </a:xfrm>
        <a:prstGeom prst="rect">
          <a:avLst/>
        </a:prstGeom>
      </xdr:spPr>
    </xdr:pic>
    <xdr:clientData/>
  </xdr:twoCellAnchor>
  <xdr:twoCellAnchor>
    <xdr:from>
      <xdr:col>6</xdr:col>
      <xdr:colOff>661046</xdr:colOff>
      <xdr:row>132</xdr:row>
      <xdr:rowOff>76200</xdr:rowOff>
    </xdr:from>
    <xdr:to>
      <xdr:col>7</xdr:col>
      <xdr:colOff>314326</xdr:colOff>
      <xdr:row>133</xdr:row>
      <xdr:rowOff>100854</xdr:rowOff>
    </xdr:to>
    <xdr:sp macro="" textlink="">
      <xdr:nvSpPr>
        <xdr:cNvPr id="78" name="四角形: 角を丸くする 77">
          <a:extLst>
            <a:ext uri="{FF2B5EF4-FFF2-40B4-BE49-F238E27FC236}">
              <a16:creationId xmlns:a16="http://schemas.microsoft.com/office/drawing/2014/main" id="{00000000-0008-0000-0200-00004E000000}"/>
            </a:ext>
          </a:extLst>
        </xdr:cNvPr>
        <xdr:cNvSpPr/>
      </xdr:nvSpPr>
      <xdr:spPr>
        <a:xfrm>
          <a:off x="4090046" y="24260175"/>
          <a:ext cx="339080" cy="196104"/>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256442</xdr:colOff>
      <xdr:row>80</xdr:row>
      <xdr:rowOff>58616</xdr:rowOff>
    </xdr:from>
    <xdr:to>
      <xdr:col>11</xdr:col>
      <xdr:colOff>451339</xdr:colOff>
      <xdr:row>81</xdr:row>
      <xdr:rowOff>146538</xdr:rowOff>
    </xdr:to>
    <xdr:cxnSp macro="">
      <xdr:nvCxnSpPr>
        <xdr:cNvPr id="11" name="直線矢印コネクタ 10">
          <a:extLst>
            <a:ext uri="{FF2B5EF4-FFF2-40B4-BE49-F238E27FC236}">
              <a16:creationId xmlns:a16="http://schemas.microsoft.com/office/drawing/2014/main" id="{00000000-0008-0000-0200-00000B000000}"/>
            </a:ext>
          </a:extLst>
        </xdr:cNvPr>
        <xdr:cNvCxnSpPr/>
      </xdr:nvCxnSpPr>
      <xdr:spPr>
        <a:xfrm flipV="1">
          <a:off x="7114442" y="14908091"/>
          <a:ext cx="194897" cy="25937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29510</xdr:colOff>
      <xdr:row>91</xdr:row>
      <xdr:rowOff>56055</xdr:rowOff>
    </xdr:from>
    <xdr:to>
      <xdr:col>13</xdr:col>
      <xdr:colOff>668473</xdr:colOff>
      <xdr:row>96</xdr:row>
      <xdr:rowOff>139212</xdr:rowOff>
    </xdr:to>
    <xdr:pic>
      <xdr:nvPicPr>
        <xdr:cNvPr id="83" name="図 82">
          <a:extLst>
            <a:ext uri="{FF2B5EF4-FFF2-40B4-BE49-F238E27FC236}">
              <a16:creationId xmlns:a16="http://schemas.microsoft.com/office/drawing/2014/main" id="{00000000-0008-0000-0200-000053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573310" y="16677180"/>
          <a:ext cx="2010563" cy="9404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72</xdr:row>
      <xdr:rowOff>109904</xdr:rowOff>
    </xdr:from>
    <xdr:to>
      <xdr:col>5</xdr:col>
      <xdr:colOff>552450</xdr:colOff>
      <xdr:row>81</xdr:row>
      <xdr:rowOff>80596</xdr:rowOff>
    </xdr:to>
    <xdr:sp macro="" textlink="">
      <xdr:nvSpPr>
        <xdr:cNvPr id="85" name="四角形: 角を丸くする 84">
          <a:extLst>
            <a:ext uri="{FF2B5EF4-FFF2-40B4-BE49-F238E27FC236}">
              <a16:creationId xmlns:a16="http://schemas.microsoft.com/office/drawing/2014/main" id="{00000000-0008-0000-0200-000055000000}"/>
            </a:ext>
          </a:extLst>
        </xdr:cNvPr>
        <xdr:cNvSpPr/>
      </xdr:nvSpPr>
      <xdr:spPr>
        <a:xfrm>
          <a:off x="1371600" y="13587779"/>
          <a:ext cx="1924050" cy="151374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466726</xdr:colOff>
      <xdr:row>77</xdr:row>
      <xdr:rowOff>143607</xdr:rowOff>
    </xdr:from>
    <xdr:to>
      <xdr:col>8</xdr:col>
      <xdr:colOff>485776</xdr:colOff>
      <xdr:row>80</xdr:row>
      <xdr:rowOff>63012</xdr:rowOff>
    </xdr:to>
    <xdr:sp macro="" textlink="">
      <xdr:nvSpPr>
        <xdr:cNvPr id="86" name="四角形: 角を丸くする 85">
          <a:extLst>
            <a:ext uri="{FF2B5EF4-FFF2-40B4-BE49-F238E27FC236}">
              <a16:creationId xmlns:a16="http://schemas.microsoft.com/office/drawing/2014/main" id="{00000000-0008-0000-0200-000056000000}"/>
            </a:ext>
          </a:extLst>
        </xdr:cNvPr>
        <xdr:cNvSpPr/>
      </xdr:nvSpPr>
      <xdr:spPr>
        <a:xfrm>
          <a:off x="3895726" y="14478732"/>
          <a:ext cx="1390650" cy="433755"/>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211755</xdr:colOff>
      <xdr:row>72</xdr:row>
      <xdr:rowOff>109904</xdr:rowOff>
    </xdr:from>
    <xdr:to>
      <xdr:col>19</xdr:col>
      <xdr:colOff>76200</xdr:colOff>
      <xdr:row>81</xdr:row>
      <xdr:rowOff>65942</xdr:rowOff>
    </xdr:to>
    <xdr:sp macro="" textlink="">
      <xdr:nvSpPr>
        <xdr:cNvPr id="90" name="四角形: 角を丸くする 89">
          <a:extLst>
            <a:ext uri="{FF2B5EF4-FFF2-40B4-BE49-F238E27FC236}">
              <a16:creationId xmlns:a16="http://schemas.microsoft.com/office/drawing/2014/main" id="{00000000-0008-0000-0200-00005A000000}"/>
            </a:ext>
          </a:extLst>
        </xdr:cNvPr>
        <xdr:cNvSpPr/>
      </xdr:nvSpPr>
      <xdr:spPr>
        <a:xfrm>
          <a:off x="11184555" y="13587779"/>
          <a:ext cx="1236045" cy="1499088"/>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227870</xdr:colOff>
      <xdr:row>72</xdr:row>
      <xdr:rowOff>109903</xdr:rowOff>
    </xdr:from>
    <xdr:to>
      <xdr:col>12</xdr:col>
      <xdr:colOff>47625</xdr:colOff>
      <xdr:row>80</xdr:row>
      <xdr:rowOff>36635</xdr:rowOff>
    </xdr:to>
    <xdr:sp macro="" textlink="">
      <xdr:nvSpPr>
        <xdr:cNvPr id="96" name="四角形: 角を丸くする 95">
          <a:extLst>
            <a:ext uri="{FF2B5EF4-FFF2-40B4-BE49-F238E27FC236}">
              <a16:creationId xmlns:a16="http://schemas.microsoft.com/office/drawing/2014/main" id="{00000000-0008-0000-0200-000060000000}"/>
            </a:ext>
          </a:extLst>
        </xdr:cNvPr>
        <xdr:cNvSpPr/>
      </xdr:nvSpPr>
      <xdr:spPr>
        <a:xfrm>
          <a:off x="7085870" y="13587778"/>
          <a:ext cx="505555" cy="129833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571500</xdr:colOff>
      <xdr:row>80</xdr:row>
      <xdr:rowOff>9525</xdr:rowOff>
    </xdr:from>
    <xdr:to>
      <xdr:col>10</xdr:col>
      <xdr:colOff>117231</xdr:colOff>
      <xdr:row>82</xdr:row>
      <xdr:rowOff>117232</xdr:rowOff>
    </xdr:to>
    <xdr:cxnSp macro="">
      <xdr:nvCxnSpPr>
        <xdr:cNvPr id="99" name="直線矢印コネクタ 98">
          <a:extLst>
            <a:ext uri="{FF2B5EF4-FFF2-40B4-BE49-F238E27FC236}">
              <a16:creationId xmlns:a16="http://schemas.microsoft.com/office/drawing/2014/main" id="{00000000-0008-0000-0200-000063000000}"/>
            </a:ext>
          </a:extLst>
        </xdr:cNvPr>
        <xdr:cNvCxnSpPr/>
      </xdr:nvCxnSpPr>
      <xdr:spPr>
        <a:xfrm flipH="1" flipV="1">
          <a:off x="5372100" y="14859000"/>
          <a:ext cx="917331" cy="45060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476812</xdr:colOff>
      <xdr:row>52</xdr:row>
      <xdr:rowOff>152401</xdr:rowOff>
    </xdr:from>
    <xdr:to>
      <xdr:col>14</xdr:col>
      <xdr:colOff>295275</xdr:colOff>
      <xdr:row>56</xdr:row>
      <xdr:rowOff>101907</xdr:rowOff>
    </xdr:to>
    <xdr:sp macro="" textlink="">
      <xdr:nvSpPr>
        <xdr:cNvPr id="80" name="四角形: 角を丸くする 79">
          <a:extLst>
            <a:ext uri="{FF2B5EF4-FFF2-40B4-BE49-F238E27FC236}">
              <a16:creationId xmlns:a16="http://schemas.microsoft.com/office/drawing/2014/main" id="{00000000-0008-0000-0200-000050000000}"/>
            </a:ext>
          </a:extLst>
        </xdr:cNvPr>
        <xdr:cNvSpPr/>
      </xdr:nvSpPr>
      <xdr:spPr>
        <a:xfrm>
          <a:off x="8706412" y="9877426"/>
          <a:ext cx="504263" cy="635306"/>
        </a:xfrm>
        <a:prstGeom prst="roundRect">
          <a:avLst>
            <a:gd name="adj" fmla="val 874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71718</xdr:colOff>
      <xdr:row>37</xdr:row>
      <xdr:rowOff>0</xdr:rowOff>
    </xdr:from>
    <xdr:to>
      <xdr:col>3</xdr:col>
      <xdr:colOff>428625</xdr:colOff>
      <xdr:row>41</xdr:row>
      <xdr:rowOff>142875</xdr:rowOff>
    </xdr:to>
    <xdr:sp macro="" textlink="">
      <xdr:nvSpPr>
        <xdr:cNvPr id="92" name="四角形: 角を丸くする 91">
          <a:extLst>
            <a:ext uri="{FF2B5EF4-FFF2-40B4-BE49-F238E27FC236}">
              <a16:creationId xmlns:a16="http://schemas.microsoft.com/office/drawing/2014/main" id="{00000000-0008-0000-0200-00005C000000}"/>
            </a:ext>
          </a:extLst>
        </xdr:cNvPr>
        <xdr:cNvSpPr/>
      </xdr:nvSpPr>
      <xdr:spPr>
        <a:xfrm>
          <a:off x="1443318" y="7239000"/>
          <a:ext cx="356907" cy="828675"/>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295275</xdr:colOff>
      <xdr:row>32</xdr:row>
      <xdr:rowOff>85725</xdr:rowOff>
    </xdr:from>
    <xdr:to>
      <xdr:col>8</xdr:col>
      <xdr:colOff>400050</xdr:colOff>
      <xdr:row>34</xdr:row>
      <xdr:rowOff>142875</xdr:rowOff>
    </xdr:to>
    <xdr:pic>
      <xdr:nvPicPr>
        <xdr:cNvPr id="87" name="図 86">
          <a:extLst>
            <a:ext uri="{FF2B5EF4-FFF2-40B4-BE49-F238E27FC236}">
              <a16:creationId xmlns:a16="http://schemas.microsoft.com/office/drawing/2014/main" id="{00000000-0008-0000-0200-000057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42925" y="6067425"/>
          <a:ext cx="4657725"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504825</xdr:colOff>
      <xdr:row>32</xdr:row>
      <xdr:rowOff>66675</xdr:rowOff>
    </xdr:from>
    <xdr:to>
      <xdr:col>5</xdr:col>
      <xdr:colOff>190500</xdr:colOff>
      <xdr:row>33</xdr:row>
      <xdr:rowOff>123825</xdr:rowOff>
    </xdr:to>
    <xdr:sp macro="" textlink="">
      <xdr:nvSpPr>
        <xdr:cNvPr id="88" name="四角形: 角を丸くする 87">
          <a:extLst>
            <a:ext uri="{FF2B5EF4-FFF2-40B4-BE49-F238E27FC236}">
              <a16:creationId xmlns:a16="http://schemas.microsoft.com/office/drawing/2014/main" id="{00000000-0008-0000-0200-000058000000}"/>
            </a:ext>
          </a:extLst>
        </xdr:cNvPr>
        <xdr:cNvSpPr/>
      </xdr:nvSpPr>
      <xdr:spPr>
        <a:xfrm>
          <a:off x="2562225" y="6048375"/>
          <a:ext cx="371475" cy="228600"/>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43144</xdr:colOff>
      <xdr:row>56</xdr:row>
      <xdr:rowOff>101907</xdr:rowOff>
    </xdr:from>
    <xdr:to>
      <xdr:col>14</xdr:col>
      <xdr:colOff>247650</xdr:colOff>
      <xdr:row>58</xdr:row>
      <xdr:rowOff>161925</xdr:rowOff>
    </xdr:to>
    <xdr:cxnSp macro="">
      <xdr:nvCxnSpPr>
        <xdr:cNvPr id="93" name="直線矢印コネクタ 92">
          <a:extLst>
            <a:ext uri="{FF2B5EF4-FFF2-40B4-BE49-F238E27FC236}">
              <a16:creationId xmlns:a16="http://schemas.microsoft.com/office/drawing/2014/main" id="{00000000-0008-0000-0200-00005D000000}"/>
            </a:ext>
          </a:extLst>
        </xdr:cNvPr>
        <xdr:cNvCxnSpPr>
          <a:endCxn id="80" idx="2"/>
        </xdr:cNvCxnSpPr>
      </xdr:nvCxnSpPr>
      <xdr:spPr>
        <a:xfrm flipH="1" flipV="1">
          <a:off x="8958544" y="10579407"/>
          <a:ext cx="204506" cy="40291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9526</xdr:colOff>
      <xdr:row>18</xdr:row>
      <xdr:rowOff>19049</xdr:rowOff>
    </xdr:from>
    <xdr:to>
      <xdr:col>7</xdr:col>
      <xdr:colOff>469108</xdr:colOff>
      <xdr:row>21</xdr:row>
      <xdr:rowOff>180974</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695326" y="3486149"/>
          <a:ext cx="3888582" cy="676275"/>
          <a:chOff x="695326" y="3486149"/>
          <a:chExt cx="3888582" cy="676275"/>
        </a:xfrm>
      </xdr:grpSpPr>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5"/>
          <a:stretch>
            <a:fillRect/>
          </a:stretch>
        </xdr:blipFill>
        <xdr:spPr>
          <a:xfrm>
            <a:off x="695326" y="3486149"/>
            <a:ext cx="3888582" cy="676275"/>
          </a:xfrm>
          <a:prstGeom prst="rect">
            <a:avLst/>
          </a:prstGeom>
        </xdr:spPr>
      </xdr:pic>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04850" y="3514725"/>
            <a:ext cx="171450" cy="628650"/>
          </a:xfrm>
          <a:prstGeom prst="rect">
            <a:avLst/>
          </a:prstGeom>
          <a:solidFill>
            <a:srgbClr val="FF0000">
              <a:alpha val="1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11</xdr:row>
      <xdr:rowOff>9524</xdr:rowOff>
    </xdr:from>
    <xdr:to>
      <xdr:col>14</xdr:col>
      <xdr:colOff>247650</xdr:colOff>
      <xdr:row>14</xdr:row>
      <xdr:rowOff>180974</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219075" y="2247899"/>
          <a:ext cx="5695950" cy="942975"/>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・記入例をご覧の上、設備更新による削減量を算定してください。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・負荷率は県の標準テーブルで計算されます。</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・記入する欄は</a:t>
          </a:r>
          <a:r>
            <a:rPr kumimoji="1" lang="ja-JP" altLang="ja-JP" sz="1100">
              <a:solidFill>
                <a:schemeClr val="dk1"/>
              </a:solidFill>
              <a:effectLst/>
              <a:latin typeface="+mn-lt"/>
              <a:ea typeface="+mn-ea"/>
              <a:cs typeface="+mn-cs"/>
            </a:rPr>
            <a:t>白色の枠内</a:t>
          </a:r>
          <a:r>
            <a:rPr kumimoji="1" lang="ja-JP" altLang="en-US" sz="1100">
              <a:solidFill>
                <a:schemeClr val="dk1"/>
              </a:solidFill>
              <a:effectLst/>
              <a:latin typeface="+mn-lt"/>
              <a:ea typeface="+mn-ea"/>
              <a:cs typeface="+mn-cs"/>
            </a:rPr>
            <a:t>です</a:t>
          </a:r>
          <a:r>
            <a:rPr kumimoji="1" lang="ja-JP" altLang="ja-JP" sz="1100">
              <a:solidFill>
                <a:schemeClr val="dk1"/>
              </a:solidFill>
              <a:effectLst/>
              <a:latin typeface="+mn-lt"/>
              <a:ea typeface="+mn-ea"/>
              <a:cs typeface="+mn-cs"/>
            </a:rPr>
            <a:t>。色のついた欄は記載不要。</a:t>
          </a:r>
          <a:endParaRPr kumimoji="1" lang="en-US" altLang="ja-JP" sz="12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238125</xdr:colOff>
      <xdr:row>13</xdr:row>
      <xdr:rowOff>114300</xdr:rowOff>
    </xdr:from>
    <xdr:to>
      <xdr:col>16</xdr:col>
      <xdr:colOff>295275</xdr:colOff>
      <xdr:row>18</xdr:row>
      <xdr:rowOff>104775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238125" y="2819400"/>
          <a:ext cx="7639050" cy="1276350"/>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・記入例をご覧の上、設備更新による削減量を算定してください。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・負荷率は県の標準テーブルで計算されます。</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・記入する欄は</a:t>
          </a:r>
          <a:r>
            <a:rPr kumimoji="1" lang="ja-JP" altLang="ja-JP" sz="1200">
              <a:solidFill>
                <a:schemeClr val="dk1"/>
              </a:solidFill>
              <a:effectLst/>
              <a:latin typeface="+mn-lt"/>
              <a:ea typeface="+mn-ea"/>
              <a:cs typeface="+mn-cs"/>
            </a:rPr>
            <a:t>白色の枠内で</a:t>
          </a:r>
          <a:r>
            <a:rPr kumimoji="1" lang="ja-JP" altLang="en-US" sz="1200">
              <a:solidFill>
                <a:schemeClr val="dk1"/>
              </a:solidFill>
              <a:effectLst/>
              <a:latin typeface="+mn-lt"/>
              <a:ea typeface="+mn-ea"/>
              <a:cs typeface="+mn-cs"/>
            </a:rPr>
            <a:t>す</a:t>
          </a:r>
          <a:r>
            <a:rPr kumimoji="1" lang="ja-JP" altLang="ja-JP" sz="1200">
              <a:solidFill>
                <a:schemeClr val="dk1"/>
              </a:solidFill>
              <a:effectLst/>
              <a:latin typeface="+mn-lt"/>
              <a:ea typeface="+mn-ea"/>
              <a:cs typeface="+mn-cs"/>
            </a:rPr>
            <a:t>。色のついた欄は記載不要。</a:t>
          </a:r>
          <a:endParaRPr kumimoji="1" lang="en-US" altLang="ja-JP"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・ガスの種類を選択します。更新後に燃転する場合は下の□にチェックを入れ、種類を選択します。</a:t>
          </a:r>
          <a:endParaRPr kumimoji="1" lang="en-US" altLang="ja-JP" sz="12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7</xdr:col>
          <xdr:colOff>171450</xdr:colOff>
          <xdr:row>19</xdr:row>
          <xdr:rowOff>0</xdr:rowOff>
        </xdr:from>
        <xdr:to>
          <xdr:col>7</xdr:col>
          <xdr:colOff>409575</xdr:colOff>
          <xdr:row>20</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16</xdr:col>
      <xdr:colOff>336353</xdr:colOff>
      <xdr:row>30</xdr:row>
      <xdr:rowOff>38788</xdr:rowOff>
    </xdr:from>
    <xdr:to>
      <xdr:col>22</xdr:col>
      <xdr:colOff>569918</xdr:colOff>
      <xdr:row>40</xdr:row>
      <xdr:rowOff>19826</xdr:rowOff>
    </xdr:to>
    <xdr:grpSp>
      <xdr:nvGrpSpPr>
        <xdr:cNvPr id="21" name="グループ化 20">
          <a:extLst>
            <a:ext uri="{FF2B5EF4-FFF2-40B4-BE49-F238E27FC236}">
              <a16:creationId xmlns:a16="http://schemas.microsoft.com/office/drawing/2014/main" id="{00000000-0008-0000-0500-000015000000}"/>
            </a:ext>
          </a:extLst>
        </xdr:cNvPr>
        <xdr:cNvGrpSpPr/>
      </xdr:nvGrpSpPr>
      <xdr:grpSpPr>
        <a:xfrm>
          <a:off x="8733007" y="6039538"/>
          <a:ext cx="3948315" cy="2655365"/>
          <a:chOff x="8816190" y="6757147"/>
          <a:chExt cx="4004776" cy="2636645"/>
        </a:xfrm>
      </xdr:grpSpPr>
      <xdr:pic>
        <xdr:nvPicPr>
          <xdr:cNvPr id="16" name="図 15">
            <a:extLst>
              <a:ext uri="{FF2B5EF4-FFF2-40B4-BE49-F238E27FC236}">
                <a16:creationId xmlns:a16="http://schemas.microsoft.com/office/drawing/2014/main" id="{00000000-0008-0000-0500-000010000000}"/>
              </a:ext>
            </a:extLst>
          </xdr:cNvPr>
          <xdr:cNvPicPr>
            <a:picLocks noChangeAspect="1"/>
          </xdr:cNvPicPr>
        </xdr:nvPicPr>
        <xdr:blipFill>
          <a:blip xmlns:r="http://schemas.openxmlformats.org/officeDocument/2006/relationships" r:embed="rId1"/>
          <a:stretch>
            <a:fillRect/>
          </a:stretch>
        </xdr:blipFill>
        <xdr:spPr>
          <a:xfrm>
            <a:off x="8816190" y="6757147"/>
            <a:ext cx="4004776" cy="2389654"/>
          </a:xfrm>
          <a:prstGeom prst="rect">
            <a:avLst/>
          </a:prstGeom>
          <a:effectLst>
            <a:outerShdw blurRad="50800" dist="38100" dir="2700000" algn="tl" rotWithShape="0">
              <a:prstClr val="black">
                <a:alpha val="40000"/>
              </a:prstClr>
            </a:outerShdw>
          </a:effectLst>
        </xdr:spPr>
      </xdr:pic>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9531981" y="9129835"/>
            <a:ext cx="2274795" cy="2639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algn="ctr"/>
            <a:r>
              <a:rPr kumimoji="1" lang="ja-JP" altLang="en-US" sz="1100"/>
              <a:t>出典：各メーカカタログ図より</a:t>
            </a:r>
          </a:p>
        </xdr:txBody>
      </xdr:sp>
    </xdr:grpSp>
    <xdr:clientData/>
  </xdr:twoCellAnchor>
  <xdr:twoCellAnchor>
    <xdr:from>
      <xdr:col>0</xdr:col>
      <xdr:colOff>215714</xdr:colOff>
      <xdr:row>10</xdr:row>
      <xdr:rowOff>32018</xdr:rowOff>
    </xdr:from>
    <xdr:to>
      <xdr:col>12</xdr:col>
      <xdr:colOff>381000</xdr:colOff>
      <xdr:row>13</xdr:row>
      <xdr:rowOff>44825</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215714" y="1783153"/>
          <a:ext cx="6510401" cy="723518"/>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・記入例をご覧の上、設備更新による削減量を算定してください。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・記入する欄は</a:t>
          </a:r>
          <a:r>
            <a:rPr kumimoji="1" lang="ja-JP" altLang="ja-JP" sz="1200">
              <a:solidFill>
                <a:schemeClr val="dk1"/>
              </a:solidFill>
              <a:effectLst/>
              <a:latin typeface="+mn-lt"/>
              <a:ea typeface="+mn-ea"/>
              <a:cs typeface="+mn-cs"/>
            </a:rPr>
            <a:t>白色の枠内で</a:t>
          </a:r>
          <a:r>
            <a:rPr kumimoji="1" lang="ja-JP" altLang="en-US" sz="1200">
              <a:solidFill>
                <a:schemeClr val="dk1"/>
              </a:solidFill>
              <a:effectLst/>
              <a:latin typeface="+mn-lt"/>
              <a:ea typeface="+mn-ea"/>
              <a:cs typeface="+mn-cs"/>
            </a:rPr>
            <a:t>す</a:t>
          </a:r>
          <a:r>
            <a:rPr kumimoji="1" lang="ja-JP" altLang="ja-JP" sz="1200">
              <a:solidFill>
                <a:schemeClr val="dk1"/>
              </a:solidFill>
              <a:effectLst/>
              <a:latin typeface="+mn-lt"/>
              <a:ea typeface="+mn-ea"/>
              <a:cs typeface="+mn-cs"/>
            </a:rPr>
            <a:t>。色のついた欄は記載不要。</a:t>
          </a:r>
          <a:endParaRPr lang="ja-JP" altLang="ja-JP" sz="1200">
            <a:effectLst/>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19049</xdr:colOff>
      <xdr:row>11</xdr:row>
      <xdr:rowOff>47625</xdr:rowOff>
    </xdr:from>
    <xdr:ext cx="7496175" cy="2171699"/>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66699" y="2390775"/>
          <a:ext cx="7496175" cy="2171699"/>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・記入例をご覧の上、設備更新による削減量を算定してください。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mn-lt"/>
              <a:ea typeface="+mn-ea"/>
              <a:cs typeface="+mn-cs"/>
            </a:rPr>
            <a:t>・</a:t>
          </a:r>
          <a:r>
            <a:rPr kumimoji="1" lang="ja-JP" altLang="en-US" sz="1200">
              <a:solidFill>
                <a:schemeClr val="dk1"/>
              </a:solidFill>
              <a:effectLst/>
              <a:latin typeface="+mn-lt"/>
              <a:ea typeface="+mn-ea"/>
              <a:cs typeface="+mn-cs"/>
            </a:rPr>
            <a:t>記入する欄は</a:t>
          </a:r>
          <a:r>
            <a:rPr kumimoji="1" lang="ja-JP" altLang="ja-JP" sz="1200">
              <a:solidFill>
                <a:schemeClr val="dk1"/>
              </a:solidFill>
              <a:effectLst/>
              <a:latin typeface="+mn-lt"/>
              <a:ea typeface="+mn-ea"/>
              <a:cs typeface="+mn-cs"/>
            </a:rPr>
            <a:t>白色の枠内で</a:t>
          </a:r>
          <a:r>
            <a:rPr kumimoji="1" lang="ja-JP" altLang="en-US" sz="1200">
              <a:solidFill>
                <a:schemeClr val="dk1"/>
              </a:solidFill>
              <a:effectLst/>
              <a:latin typeface="+mn-lt"/>
              <a:ea typeface="+mn-ea"/>
              <a:cs typeface="+mn-cs"/>
            </a:rPr>
            <a:t>す</a:t>
          </a:r>
          <a:r>
            <a:rPr kumimoji="1" lang="ja-JP" altLang="ja-JP" sz="1200">
              <a:solidFill>
                <a:schemeClr val="dk1"/>
              </a:solidFill>
              <a:effectLst/>
              <a:latin typeface="+mn-lt"/>
              <a:ea typeface="+mn-ea"/>
              <a:cs typeface="+mn-cs"/>
            </a:rPr>
            <a:t>。色のついた欄は記載不要。</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・燃料種別を選択後、燃料の種類を選択、各係数値を記入してください。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　該当の燃料種類が無い場合は右表の欄で選択記入してください。１件のみ選択可能</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・更新後の機種の負荷をグループで按分する場合、按分比のグループ合計は１となるようにします。</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　按分比が１：０の場合は０も記入します。按分対象機はグループに◎か○をつけます。</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・グループにした場合は、更新前の定格効率、稼働日数、</a:t>
          </a:r>
          <a:r>
            <a:rPr kumimoji="1" lang="en-US" altLang="ja-JP" sz="1200">
              <a:solidFill>
                <a:sysClr val="windowText" lastClr="000000"/>
              </a:solidFill>
              <a:effectLst/>
              <a:latin typeface="+mn-lt"/>
              <a:ea typeface="+mn-ea"/>
              <a:cs typeface="+mn-cs"/>
            </a:rPr>
            <a:t>1</a:t>
          </a:r>
          <a:r>
            <a:rPr kumimoji="1" lang="ja-JP" altLang="en-US" sz="1200">
              <a:solidFill>
                <a:sysClr val="windowText" lastClr="000000"/>
              </a:solidFill>
              <a:effectLst/>
              <a:latin typeface="+mn-lt"/>
              <a:ea typeface="+mn-ea"/>
              <a:cs typeface="+mn-cs"/>
            </a:rPr>
            <a:t>日あたり稼働時間、負荷率には空欄にせず、</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　グループで同じ数値を必ず記入します。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ysClr val="windowText" lastClr="000000"/>
            </a:solidFill>
            <a:effectLst/>
            <a:latin typeface="+mn-lt"/>
            <a:ea typeface="+mn-ea"/>
            <a:cs typeface="+mn-cs"/>
          </a:endParaRPr>
        </a:p>
      </xdr:txBody>
    </xdr:sp>
    <xdr:clientData/>
  </xdr:oneCellAnchor>
  <xdr:twoCellAnchor editAs="oneCell">
    <xdr:from>
      <xdr:col>30</xdr:col>
      <xdr:colOff>352425</xdr:colOff>
      <xdr:row>12</xdr:row>
      <xdr:rowOff>38100</xdr:rowOff>
    </xdr:from>
    <xdr:to>
      <xdr:col>33</xdr:col>
      <xdr:colOff>361950</xdr:colOff>
      <xdr:row>21</xdr:row>
      <xdr:rowOff>19051</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96875" y="2638425"/>
          <a:ext cx="1619250" cy="2143126"/>
        </a:xfrm>
        <a:prstGeom prst="rect">
          <a:avLst/>
        </a:prstGeom>
        <a:solidFill>
          <a:schemeClr val="bg1">
            <a:lumMod val="95000"/>
          </a:schemeClr>
        </a:solidFill>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247650</xdr:colOff>
      <xdr:row>14</xdr:row>
      <xdr:rowOff>133349</xdr:rowOff>
    </xdr:from>
    <xdr:ext cx="7162800" cy="1567544"/>
    <xdr:sp macro="" textlink="">
      <xdr:nvSpPr>
        <xdr:cNvPr id="16" name="テキスト ボックス 15">
          <a:extLst>
            <a:ext uri="{FF2B5EF4-FFF2-40B4-BE49-F238E27FC236}">
              <a16:creationId xmlns:a16="http://schemas.microsoft.com/office/drawing/2014/main" id="{00000000-0008-0000-0700-000010000000}"/>
            </a:ext>
          </a:extLst>
        </xdr:cNvPr>
        <xdr:cNvSpPr txBox="1"/>
      </xdr:nvSpPr>
      <xdr:spPr>
        <a:xfrm>
          <a:off x="247650" y="2827563"/>
          <a:ext cx="7162800" cy="1567544"/>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・記入例をご覧の上、設備更新による削減量を算定してください。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・記入する欄は</a:t>
          </a:r>
          <a:r>
            <a:rPr kumimoji="1" lang="ja-JP" altLang="ja-JP" sz="1100">
              <a:solidFill>
                <a:schemeClr val="dk1"/>
              </a:solidFill>
              <a:effectLst/>
              <a:latin typeface="+mn-lt"/>
              <a:ea typeface="+mn-ea"/>
              <a:cs typeface="+mn-cs"/>
            </a:rPr>
            <a:t>白色の枠内で</a:t>
          </a:r>
          <a:r>
            <a:rPr kumimoji="1" lang="ja-JP" altLang="en-US" sz="1100">
              <a:solidFill>
                <a:schemeClr val="dk1"/>
              </a:solidFill>
              <a:effectLst/>
              <a:latin typeface="+mn-lt"/>
              <a:ea typeface="+mn-ea"/>
              <a:cs typeface="+mn-cs"/>
            </a:rPr>
            <a:t>す</a:t>
          </a:r>
          <a:r>
            <a:rPr kumimoji="1" lang="ja-JP" altLang="ja-JP" sz="1100">
              <a:solidFill>
                <a:schemeClr val="dk1"/>
              </a:solidFill>
              <a:effectLst/>
              <a:latin typeface="+mn-lt"/>
              <a:ea typeface="+mn-ea"/>
              <a:cs typeface="+mn-cs"/>
            </a:rPr>
            <a:t>。</a:t>
          </a:r>
          <a:r>
            <a:rPr kumimoji="1" lang="ja-JP" altLang="ja-JP" sz="1100">
              <a:solidFill>
                <a:srgbClr val="00B0F0"/>
              </a:solidFill>
              <a:effectLst/>
              <a:latin typeface="+mn-lt"/>
              <a:ea typeface="+mn-ea"/>
              <a:cs typeface="+mn-cs"/>
            </a:rPr>
            <a:t>水色</a:t>
          </a:r>
          <a:r>
            <a:rPr kumimoji="1" lang="ja-JP" altLang="ja-JP" sz="1100">
              <a:solidFill>
                <a:schemeClr val="dk1"/>
              </a:solidFill>
              <a:effectLst/>
              <a:latin typeface="+mn-lt"/>
              <a:ea typeface="+mn-ea"/>
              <a:cs typeface="+mn-cs"/>
            </a:rPr>
            <a:t>欄は任意記載。その他色のついた欄は記載不要。</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・仕様を選択、各数値を記入してください。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・統合する場合は、更新後の対象機に●をつけてください。更新前の統合対象は３台までです。</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　（分散計算には対応していません。）</a:t>
          </a:r>
          <a:endParaRPr kumimoji="1" lang="en-US" altLang="ja-JP" sz="1200">
            <a:solidFill>
              <a:sysClr val="windowText" lastClr="000000"/>
            </a:solidFill>
            <a:effectLst/>
            <a:latin typeface="+mn-lt"/>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19050</xdr:colOff>
      <xdr:row>9</xdr:row>
      <xdr:rowOff>123832</xdr:rowOff>
    </xdr:from>
    <xdr:ext cx="6546476" cy="1133468"/>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266700" y="2466982"/>
          <a:ext cx="6546476" cy="1133468"/>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記入例をご覧の上、設備更新による削減量を算定してください。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　記入できる欄は黄色の枠内です。</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　燃料の種類を選択、各係数値を記入してください。該当の燃料種類が無い場合は</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　右表の欄で選択記入する。１件のみ選択可能</a:t>
          </a:r>
          <a:endParaRPr kumimoji="1" lang="en-US" altLang="ja-JP" sz="1200">
            <a:solidFill>
              <a:sysClr val="windowText" lastClr="000000"/>
            </a:solidFill>
          </a:endParaRPr>
        </a:p>
      </xdr:txBody>
    </xdr:sp>
    <xdr:clientData/>
  </xdr:oneCellAnchor>
  <xdr:twoCellAnchor editAs="oneCell">
    <xdr:from>
      <xdr:col>32</xdr:col>
      <xdr:colOff>352425</xdr:colOff>
      <xdr:row>10</xdr:row>
      <xdr:rowOff>38100</xdr:rowOff>
    </xdr:from>
    <xdr:to>
      <xdr:col>35</xdr:col>
      <xdr:colOff>657225</xdr:colOff>
      <xdr:row>18</xdr:row>
      <xdr:rowOff>209551</xdr:rowOff>
    </xdr:to>
    <xdr:pic>
      <xdr:nvPicPr>
        <xdr:cNvPr id="3" name="図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96875" y="2638425"/>
          <a:ext cx="1619250" cy="2143126"/>
        </a:xfrm>
        <a:prstGeom prst="rect">
          <a:avLst/>
        </a:prstGeom>
        <a:solidFill>
          <a:schemeClr val="bg1">
            <a:lumMod val="95000"/>
          </a:schemeClr>
        </a:solidFill>
      </xdr:spPr>
    </xdr:pic>
    <xdr:clientData/>
  </xdr:twoCellAnchor>
</xdr:wsDr>
</file>

<file path=xl/drawings/drawing9.xml><?xml version="1.0" encoding="utf-8"?>
<xdr:wsDr xmlns:xdr="http://schemas.openxmlformats.org/drawingml/2006/spreadsheetDrawing" xmlns:a="http://schemas.openxmlformats.org/drawingml/2006/main">
  <xdr:oneCellAnchor>
    <xdr:from>
      <xdr:col>1</xdr:col>
      <xdr:colOff>1</xdr:colOff>
      <xdr:row>11</xdr:row>
      <xdr:rowOff>139512</xdr:rowOff>
    </xdr:from>
    <xdr:ext cx="6867525" cy="1485900"/>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280148" y="2268630"/>
          <a:ext cx="6867525" cy="1485900"/>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ea"/>
              <a:ea typeface="+mn-ea"/>
              <a:cs typeface="+mn-cs"/>
            </a:rPr>
            <a:t>・記入例をご覧の上、設備更新による削減量を算定してください。</a:t>
          </a:r>
          <a:endParaRPr kumimoji="1" lang="en-US" altLang="ja-JP" sz="11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ea"/>
              <a:ea typeface="+mn-ea"/>
              <a:cs typeface="+mn-cs"/>
            </a:rPr>
            <a:t>・記入する欄は</a:t>
          </a:r>
          <a:r>
            <a:rPr kumimoji="1" lang="ja-JP" altLang="ja-JP" sz="1100">
              <a:solidFill>
                <a:schemeClr val="dk1"/>
              </a:solidFill>
              <a:effectLst/>
              <a:latin typeface="+mn-ea"/>
              <a:ea typeface="+mn-ea"/>
              <a:cs typeface="+mn-cs"/>
            </a:rPr>
            <a:t>白色の枠内で</a:t>
          </a:r>
          <a:r>
            <a:rPr kumimoji="1" lang="ja-JP" altLang="en-US" sz="1100">
              <a:solidFill>
                <a:schemeClr val="dk1"/>
              </a:solidFill>
              <a:effectLst/>
              <a:latin typeface="+mn-ea"/>
              <a:ea typeface="+mn-ea"/>
              <a:cs typeface="+mn-cs"/>
            </a:rPr>
            <a:t>す</a:t>
          </a:r>
          <a:r>
            <a:rPr kumimoji="1" lang="ja-JP" altLang="ja-JP" sz="1100">
              <a:solidFill>
                <a:schemeClr val="dk1"/>
              </a:solidFill>
              <a:effectLst/>
              <a:latin typeface="+mn-ea"/>
              <a:ea typeface="+mn-ea"/>
              <a:cs typeface="+mn-cs"/>
            </a:rPr>
            <a:t>。</a:t>
          </a:r>
          <a:r>
            <a:rPr kumimoji="1" lang="ja-JP" altLang="ja-JP" sz="1100">
              <a:solidFill>
                <a:srgbClr val="00B0F0"/>
              </a:solidFill>
              <a:effectLst/>
              <a:latin typeface="+mn-ea"/>
              <a:ea typeface="+mn-ea"/>
              <a:cs typeface="+mn-cs"/>
            </a:rPr>
            <a:t>水色</a:t>
          </a:r>
          <a:r>
            <a:rPr kumimoji="1" lang="ja-JP" altLang="ja-JP" sz="1100">
              <a:solidFill>
                <a:schemeClr val="dk1"/>
              </a:solidFill>
              <a:effectLst/>
              <a:latin typeface="+mn-ea"/>
              <a:ea typeface="+mn-ea"/>
              <a:cs typeface="+mn-cs"/>
            </a:rPr>
            <a:t>欄は任意記載。その他色のついた欄は記載不要。</a:t>
          </a:r>
          <a:endParaRPr lang="ja-JP" altLang="ja-JP" sz="1100">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ea"/>
              <a:ea typeface="+mn-ea"/>
              <a:cs typeface="+mn-cs"/>
            </a:rPr>
            <a:t>・設備の種類、モーター規格を選択します。定格出力を記入すると効率が表示されます</a:t>
          </a:r>
          <a:endParaRPr kumimoji="1" lang="en-US" altLang="ja-JP" sz="11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ea"/>
              <a:ea typeface="+mn-ea"/>
              <a:cs typeface="+mn-cs"/>
            </a:rPr>
            <a:t>・年間稼働日数、</a:t>
          </a:r>
          <a:r>
            <a:rPr kumimoji="1" lang="en-US" altLang="ja-JP" sz="1100">
              <a:solidFill>
                <a:sysClr val="windowText" lastClr="000000"/>
              </a:solidFill>
              <a:effectLst/>
              <a:latin typeface="+mn-ea"/>
              <a:ea typeface="+mn-ea"/>
              <a:cs typeface="+mn-cs"/>
            </a:rPr>
            <a:t>1</a:t>
          </a:r>
          <a:r>
            <a:rPr kumimoji="1" lang="ja-JP" altLang="en-US" sz="1100">
              <a:solidFill>
                <a:sysClr val="windowText" lastClr="000000"/>
              </a:solidFill>
              <a:effectLst/>
              <a:latin typeface="+mn-ea"/>
              <a:ea typeface="+mn-ea"/>
              <a:cs typeface="+mn-cs"/>
            </a:rPr>
            <a:t>日の稼働時間を記入します。間欠運転等であれば負荷率を記入します。</a:t>
          </a:r>
          <a:endParaRPr kumimoji="1" lang="en-US" altLang="ja-JP" sz="11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ea"/>
              <a:ea typeface="+mn-ea"/>
              <a:cs typeface="+mn-cs"/>
            </a:rPr>
            <a:t>・インバータや流量制御をして、出力が低減されている場合はその数値を記入します。</a:t>
          </a:r>
          <a:endParaRPr kumimoji="1" lang="en-US" altLang="ja-JP" sz="1100">
            <a:solidFill>
              <a:sysClr val="windowText" lastClr="000000"/>
            </a:solidFill>
            <a:effectLst/>
            <a:latin typeface="+mn-ea"/>
            <a:ea typeface="+mn-ea"/>
            <a:cs typeface="+mn-cs"/>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1207/Box/&#12304;02_&#35506;&#25152;&#20849;&#26377;&#12305;05_02_&#28201;&#26262;&#21270;&#23550;&#31574;&#35506;/R05&#24180;&#24230;/&#20013;&#23567;&#25285;&#24403;/22_&#20107;&#26989;&#32773;&#25903;&#25588;/22_05_CO2&#25490;&#20986;&#21066;&#28187;&#35373;&#20633;&#23566;&#20837;&#35036;&#21161;/22_05_040_&#35373;&#20633;&#35036;&#21161;&#12288;&#35036;&#21161;&#37329;/R5.5&#33256;&#26178;&#20250;&#23550;&#24540;/&#21215;&#38598;&#35201;&#38936;&#12539;&#27096;&#24335;/&#27096;&#24335;/&#27096;&#24335;&#31532;1&#21495;&#65288;&#35036;&#21161;&#37329;&#20132;&#20184;&#30003;&#35531;&#26360;&#65289;6.19&#65343;&#204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重要事項確認書"/>
      <sheetName val="事業実施者・事業内容"/>
      <sheetName val="事業費内訳"/>
      <sheetName val="ボイラ排出量算定（追加)"/>
      <sheetName val="Sheet1"/>
      <sheetName val="省エネ計画書"/>
      <sheetName val="CO2換算シート"/>
      <sheetName val="現況写真"/>
      <sheetName val="チェックリスト"/>
    </sheetNames>
    <sheetDataSet>
      <sheetData sheetId="0"/>
      <sheetData sheetId="1"/>
      <sheetData sheetId="2">
        <row r="66">
          <cell r="A66" t="str">
            <v>農業・林業</v>
          </cell>
          <cell r="B66" t="str">
            <v>漁業</v>
          </cell>
          <cell r="C66" t="str">
            <v>鉱業・採石業・砂利採取業</v>
          </cell>
          <cell r="D66" t="str">
            <v>建設業</v>
          </cell>
          <cell r="E66" t="str">
            <v>製造業</v>
          </cell>
          <cell r="F66" t="str">
            <v>電気・ガス・熱供給・水道業</v>
          </cell>
          <cell r="G66" t="str">
            <v>情報通信業</v>
          </cell>
          <cell r="H66" t="str">
            <v>運輸業・郵便業</v>
          </cell>
          <cell r="I66" t="str">
            <v>卸売業・小売業</v>
          </cell>
          <cell r="J66" t="str">
            <v>金融業・保険業</v>
          </cell>
          <cell r="K66" t="str">
            <v>不動産業・物品賃貸業</v>
          </cell>
          <cell r="L66" t="str">
            <v>学術研究・専門・技術サービス業</v>
          </cell>
          <cell r="M66" t="str">
            <v>宿泊業・飲食サービス業</v>
          </cell>
          <cell r="N66" t="str">
            <v>生活関連サービス業・娯楽業</v>
          </cell>
          <cell r="O66" t="str">
            <v>教育・学習支援業</v>
          </cell>
          <cell r="P66" t="str">
            <v>医療・福祉</v>
          </cell>
          <cell r="Q66" t="str">
            <v>複合サービス事業</v>
          </cell>
          <cell r="R66" t="str">
            <v>サービス業</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02FD8-E066-47A3-96A3-E07589BE32E5}">
  <dimension ref="A2:C36"/>
  <sheetViews>
    <sheetView workbookViewId="0">
      <selection activeCell="C11" sqref="C11"/>
    </sheetView>
  </sheetViews>
  <sheetFormatPr defaultRowHeight="13.5"/>
  <cols>
    <col min="1" max="2" width="16.25" customWidth="1"/>
  </cols>
  <sheetData>
    <row r="2" spans="1:3">
      <c r="A2" t="s">
        <v>978</v>
      </c>
      <c r="C2" t="s">
        <v>980</v>
      </c>
    </row>
    <row r="3" spans="1:3">
      <c r="C3" t="s">
        <v>979</v>
      </c>
    </row>
    <row r="4" spans="1:3">
      <c r="C4" t="s">
        <v>982</v>
      </c>
    </row>
    <row r="6" spans="1:3">
      <c r="A6" t="s">
        <v>494</v>
      </c>
      <c r="C6" t="s">
        <v>980</v>
      </c>
    </row>
    <row r="7" spans="1:3">
      <c r="C7" t="s">
        <v>979</v>
      </c>
    </row>
    <row r="8" spans="1:3">
      <c r="C8" t="s">
        <v>982</v>
      </c>
    </row>
    <row r="9" spans="1:3">
      <c r="C9" t="s">
        <v>1023</v>
      </c>
    </row>
    <row r="10" spans="1:3">
      <c r="C10" t="s">
        <v>1024</v>
      </c>
    </row>
    <row r="11" spans="1:3">
      <c r="B11" t="s">
        <v>1036</v>
      </c>
      <c r="C11" s="947" t="s">
        <v>1037</v>
      </c>
    </row>
    <row r="13" spans="1:3">
      <c r="A13" t="s">
        <v>954</v>
      </c>
      <c r="C13" t="s">
        <v>980</v>
      </c>
    </row>
    <row r="14" spans="1:3">
      <c r="C14" t="s">
        <v>979</v>
      </c>
    </row>
    <row r="15" spans="1:3">
      <c r="C15" t="s">
        <v>981</v>
      </c>
    </row>
    <row r="17" spans="1:3">
      <c r="A17" t="s">
        <v>951</v>
      </c>
      <c r="C17" t="s">
        <v>980</v>
      </c>
    </row>
    <row r="18" spans="1:3">
      <c r="C18" t="s">
        <v>979</v>
      </c>
    </row>
    <row r="19" spans="1:3">
      <c r="C19" t="s">
        <v>983</v>
      </c>
    </row>
    <row r="20" spans="1:3">
      <c r="C20" t="s">
        <v>1025</v>
      </c>
    </row>
    <row r="22" spans="1:3">
      <c r="A22" t="s">
        <v>956</v>
      </c>
      <c r="C22" t="s">
        <v>980</v>
      </c>
    </row>
    <row r="23" spans="1:3">
      <c r="C23" t="s">
        <v>979</v>
      </c>
    </row>
    <row r="26" spans="1:3">
      <c r="A26" t="s">
        <v>706</v>
      </c>
      <c r="C26" t="s">
        <v>980</v>
      </c>
    </row>
    <row r="27" spans="1:3">
      <c r="C27" t="s">
        <v>979</v>
      </c>
    </row>
    <row r="29" spans="1:3">
      <c r="A29" t="s">
        <v>1001</v>
      </c>
      <c r="C29" t="s">
        <v>1002</v>
      </c>
    </row>
    <row r="34" spans="1:3">
      <c r="A34" t="s">
        <v>958</v>
      </c>
      <c r="C34" t="s">
        <v>980</v>
      </c>
    </row>
    <row r="35" spans="1:3">
      <c r="C35" t="s">
        <v>979</v>
      </c>
    </row>
    <row r="36" spans="1:3">
      <c r="C36" t="s">
        <v>1025</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33789-03FC-4088-8C82-323A7314E77B}">
  <sheetPr codeName="Sheet9">
    <tabColor rgb="FF00B0F0"/>
    <pageSetUpPr fitToPage="1"/>
  </sheetPr>
  <dimension ref="A1:AM44"/>
  <sheetViews>
    <sheetView view="pageBreakPreview" topLeftCell="A9" zoomScale="85" zoomScaleNormal="100" zoomScaleSheetLayoutView="85" workbookViewId="0">
      <selection activeCell="D30" sqref="D30"/>
    </sheetView>
  </sheetViews>
  <sheetFormatPr defaultColWidth="9.5" defaultRowHeight="13.5"/>
  <cols>
    <col min="1" max="1" width="3.625" style="349" customWidth="1"/>
    <col min="2" max="2" width="14.25" style="349" customWidth="1"/>
    <col min="3" max="3" width="9.5" style="349"/>
    <col min="4" max="4" width="6.5" style="349" customWidth="1"/>
    <col min="5" max="5" width="5.75" style="349" customWidth="1"/>
    <col min="6" max="6" width="6.75" style="349" customWidth="1"/>
    <col min="7" max="7" width="5.25" style="349" customWidth="1"/>
    <col min="8" max="8" width="8.25" style="349" customWidth="1"/>
    <col min="9" max="10" width="5.75" style="349" customWidth="1"/>
    <col min="11" max="11" width="7.125" style="349" customWidth="1"/>
    <col min="12" max="12" width="6" style="349" customWidth="1"/>
    <col min="13" max="13" width="9.5" style="349" hidden="1" customWidth="1"/>
    <col min="14" max="16" width="8" style="349" customWidth="1"/>
    <col min="17" max="17" width="9.875" style="349" customWidth="1"/>
    <col min="18" max="18" width="13.5" style="349" customWidth="1"/>
    <col min="19" max="19" width="6.5" style="349" customWidth="1"/>
    <col min="20" max="20" width="6" style="349" customWidth="1"/>
    <col min="21" max="21" width="6.375" style="349" customWidth="1"/>
    <col min="22" max="23" width="9.5" style="349"/>
    <col min="24" max="25" width="5.375" style="349" customWidth="1"/>
    <col min="26" max="26" width="9.5" style="349"/>
    <col min="27" max="27" width="9.5" style="349" customWidth="1"/>
    <col min="28" max="28" width="9.625" style="349" customWidth="1"/>
    <col min="29" max="30" width="9.5" style="349"/>
    <col min="31" max="39" width="9.5" style="349" hidden="1" customWidth="1"/>
    <col min="40" max="16384" width="9.5" style="349"/>
  </cols>
  <sheetData>
    <row r="1" spans="1:36" hidden="1">
      <c r="B1" s="349" t="s">
        <v>936</v>
      </c>
      <c r="C1" s="349" t="s">
        <v>938</v>
      </c>
      <c r="D1" s="349" t="s">
        <v>4</v>
      </c>
      <c r="E1" s="349" t="s">
        <v>941</v>
      </c>
      <c r="F1" s="349" t="s">
        <v>943</v>
      </c>
      <c r="G1" s="349" t="s">
        <v>938</v>
      </c>
      <c r="H1" s="349" t="s">
        <v>4</v>
      </c>
      <c r="I1" s="349" t="s">
        <v>941</v>
      </c>
      <c r="U1" s="349" t="s">
        <v>945</v>
      </c>
      <c r="V1" s="349" t="s">
        <v>947</v>
      </c>
    </row>
    <row r="2" spans="1:36" hidden="1">
      <c r="B2" s="349">
        <f>E7</f>
        <v>0</v>
      </c>
      <c r="C2" s="349">
        <f>G7</f>
        <v>0</v>
      </c>
      <c r="D2" s="349">
        <f>I7</f>
        <v>0</v>
      </c>
      <c r="E2" s="349">
        <f>K7</f>
        <v>0</v>
      </c>
      <c r="F2" s="349">
        <f>E8</f>
        <v>0</v>
      </c>
      <c r="G2" s="349">
        <f>G8</f>
        <v>0</v>
      </c>
      <c r="H2" s="349">
        <f>I8</f>
        <v>0</v>
      </c>
      <c r="I2" s="349">
        <f>K8</f>
        <v>0</v>
      </c>
      <c r="U2" s="349" t="str">
        <f>U5</f>
        <v/>
      </c>
      <c r="V2" s="349">
        <f>R7</f>
        <v>0</v>
      </c>
    </row>
    <row r="3" spans="1:36" ht="21">
      <c r="A3" s="344" t="s">
        <v>710</v>
      </c>
      <c r="B3" s="345"/>
      <c r="C3" s="345"/>
      <c r="D3" s="345"/>
      <c r="E3" s="345"/>
      <c r="F3" s="346"/>
      <c r="G3" s="347"/>
      <c r="H3" s="346"/>
      <c r="I3" s="346"/>
      <c r="J3" s="346"/>
      <c r="K3" s="346"/>
      <c r="L3" s="346"/>
      <c r="M3" s="348"/>
      <c r="N3" s="346"/>
      <c r="O3" s="345"/>
      <c r="P3" s="345"/>
      <c r="Q3" s="345"/>
      <c r="R3" s="345"/>
      <c r="S3" s="345"/>
      <c r="T3" s="345"/>
      <c r="U3" s="345"/>
      <c r="V3" s="345"/>
      <c r="W3" s="345"/>
      <c r="X3" s="1156">
        <f>CO２削減量算定シート!O7</f>
        <v>0</v>
      </c>
      <c r="Y3" s="1157"/>
      <c r="Z3" s="1157"/>
      <c r="AA3" s="1157"/>
      <c r="AB3" s="1157"/>
      <c r="AC3" s="1157"/>
      <c r="AD3" s="1158"/>
      <c r="AE3" s="345"/>
    </row>
    <row r="4" spans="1:36" ht="18.75">
      <c r="A4" s="129" t="s">
        <v>308</v>
      </c>
      <c r="B4" s="1"/>
      <c r="C4" s="345"/>
      <c r="D4" s="345"/>
      <c r="E4" s="345"/>
      <c r="F4" s="345"/>
      <c r="G4" s="345"/>
      <c r="H4" s="345"/>
      <c r="I4" s="345"/>
      <c r="J4" s="345"/>
      <c r="K4" s="345"/>
      <c r="L4" s="345"/>
      <c r="M4" s="345"/>
      <c r="N4" s="346"/>
      <c r="O4" s="345"/>
      <c r="P4" s="345"/>
      <c r="Q4" s="345"/>
      <c r="R4" s="105" t="s">
        <v>310</v>
      </c>
      <c r="S4" s="105"/>
      <c r="T4" s="105"/>
      <c r="U4" s="468" t="s">
        <v>719</v>
      </c>
      <c r="V4" s="105"/>
      <c r="W4" s="130"/>
      <c r="Z4" s="130"/>
      <c r="AA4" s="68"/>
      <c r="AB4" s="68"/>
      <c r="AC4" s="68"/>
      <c r="AD4" s="68"/>
      <c r="AE4" s="68"/>
      <c r="AF4" s="68"/>
      <c r="AG4" s="130"/>
      <c r="AH4" s="130"/>
      <c r="AJ4" s="130"/>
    </row>
    <row r="5" spans="1:36" ht="20.100000000000001" customHeight="1">
      <c r="A5" s="345"/>
      <c r="B5" s="1152" t="s">
        <v>0</v>
      </c>
      <c r="C5" s="1153"/>
      <c r="D5" s="451" t="s">
        <v>1</v>
      </c>
      <c r="E5" s="1146" t="s">
        <v>2</v>
      </c>
      <c r="F5" s="1146"/>
      <c r="G5" s="1146" t="s">
        <v>3</v>
      </c>
      <c r="H5" s="1146"/>
      <c r="I5" s="1163" t="s">
        <v>4</v>
      </c>
      <c r="J5" s="1164"/>
      <c r="K5" s="350" t="s">
        <v>5</v>
      </c>
      <c r="R5" s="18" t="s">
        <v>11</v>
      </c>
      <c r="S5" s="17"/>
      <c r="T5" s="17"/>
      <c r="U5" s="1060" t="str">
        <f>IF(H29-W29&lt;0,"設備容量が増加していませんか？増加しているのであれば、下蘭に事由を記載してください。","")</f>
        <v/>
      </c>
      <c r="V5" s="1061"/>
      <c r="W5" s="1061"/>
      <c r="X5" s="1061"/>
      <c r="Y5" s="1061"/>
      <c r="Z5" s="1061"/>
      <c r="AA5" s="1061"/>
      <c r="AB5" s="1061"/>
      <c r="AC5" s="1061"/>
      <c r="AD5" s="1062"/>
      <c r="AH5" s="349" t="s">
        <v>706</v>
      </c>
      <c r="AI5" s="349" t="s">
        <v>985</v>
      </c>
    </row>
    <row r="6" spans="1:36" ht="20.100000000000001" customHeight="1">
      <c r="A6" s="345"/>
      <c r="B6" s="1154" t="s">
        <v>7</v>
      </c>
      <c r="C6" s="1155"/>
      <c r="D6" s="439" t="s">
        <v>8</v>
      </c>
      <c r="E6" s="1147">
        <f>P29</f>
        <v>0</v>
      </c>
      <c r="F6" s="1147"/>
      <c r="G6" s="1147">
        <f>AA29</f>
        <v>0</v>
      </c>
      <c r="H6" s="1147"/>
      <c r="I6" s="1165">
        <f>E6-G6</f>
        <v>0</v>
      </c>
      <c r="J6" s="1166"/>
      <c r="K6" s="481">
        <f>IFERROR(I6/E6,0)</f>
        <v>0</v>
      </c>
      <c r="R6" s="18" t="s">
        <v>683</v>
      </c>
      <c r="S6" s="17"/>
      <c r="T6" s="17"/>
      <c r="U6" s="17"/>
      <c r="V6" s="17"/>
      <c r="W6" s="107"/>
      <c r="X6" s="107"/>
      <c r="Y6" s="107"/>
      <c r="Z6" s="107"/>
      <c r="AA6" s="107"/>
      <c r="AB6" s="107"/>
      <c r="AC6" s="107"/>
      <c r="AD6" s="108"/>
      <c r="AH6" s="349" t="s">
        <v>707</v>
      </c>
      <c r="AI6" s="349" t="s">
        <v>986</v>
      </c>
    </row>
    <row r="7" spans="1:36" ht="20.100000000000001" customHeight="1">
      <c r="A7" s="345"/>
      <c r="B7" s="1154" t="s">
        <v>9</v>
      </c>
      <c r="C7" s="1155"/>
      <c r="D7" s="439" t="s">
        <v>10</v>
      </c>
      <c r="E7" s="1148">
        <f>Q29</f>
        <v>0</v>
      </c>
      <c r="F7" s="1148"/>
      <c r="G7" s="1148">
        <f>AB29</f>
        <v>0</v>
      </c>
      <c r="H7" s="1148"/>
      <c r="I7" s="1167">
        <f>E7-G7</f>
        <v>0</v>
      </c>
      <c r="J7" s="1168"/>
      <c r="K7" s="481">
        <f>IFERROR(I7/E7,0)</f>
        <v>0</v>
      </c>
      <c r="R7" s="1001"/>
      <c r="S7" s="1002"/>
      <c r="T7" s="1002"/>
      <c r="U7" s="1002"/>
      <c r="V7" s="1002"/>
      <c r="W7" s="1002"/>
      <c r="X7" s="1002"/>
      <c r="Y7" s="1002"/>
      <c r="Z7" s="1002"/>
      <c r="AA7" s="1002"/>
      <c r="AB7" s="1002"/>
      <c r="AC7" s="1002"/>
      <c r="AD7" s="1003"/>
      <c r="AH7" s="349" t="s">
        <v>708</v>
      </c>
      <c r="AI7" s="349" t="s">
        <v>987</v>
      </c>
    </row>
    <row r="8" spans="1:36" ht="20.100000000000001" customHeight="1">
      <c r="A8" s="345"/>
      <c r="B8" s="1150" t="s">
        <v>12</v>
      </c>
      <c r="C8" s="1151"/>
      <c r="D8" s="439" t="s">
        <v>13</v>
      </c>
      <c r="E8" s="1149">
        <f>E6*9.76*0.0258*0.001</f>
        <v>0</v>
      </c>
      <c r="F8" s="1149"/>
      <c r="G8" s="1149">
        <f>G6*9.76*0.0258*0.001</f>
        <v>0</v>
      </c>
      <c r="H8" s="1149"/>
      <c r="I8" s="1169">
        <f>E8-G8</f>
        <v>0</v>
      </c>
      <c r="J8" s="1170"/>
      <c r="K8" s="481">
        <f>IFERROR(I8/E8,0)</f>
        <v>0</v>
      </c>
      <c r="R8" s="1004"/>
      <c r="S8" s="1005"/>
      <c r="T8" s="1005"/>
      <c r="U8" s="1005"/>
      <c r="V8" s="1005"/>
      <c r="W8" s="1005"/>
      <c r="X8" s="1005"/>
      <c r="Y8" s="1005"/>
      <c r="Z8" s="1005"/>
      <c r="AA8" s="1005"/>
      <c r="AB8" s="1005"/>
      <c r="AC8" s="1005"/>
      <c r="AD8" s="1006"/>
      <c r="AH8" s="349" t="s">
        <v>709</v>
      </c>
      <c r="AI8" s="349" t="s">
        <v>988</v>
      </c>
    </row>
    <row r="9" spans="1:36" ht="19.5" customHeight="1">
      <c r="A9" s="345"/>
      <c r="L9" s="345"/>
      <c r="M9" s="345"/>
      <c r="N9" s="345"/>
      <c r="R9" s="1004"/>
      <c r="S9" s="1005"/>
      <c r="T9" s="1005"/>
      <c r="U9" s="1005"/>
      <c r="V9" s="1005"/>
      <c r="W9" s="1005"/>
      <c r="X9" s="1005"/>
      <c r="Y9" s="1005"/>
      <c r="Z9" s="1005"/>
      <c r="AA9" s="1005"/>
      <c r="AB9" s="1005"/>
      <c r="AC9" s="1005"/>
      <c r="AD9" s="1006"/>
      <c r="AH9" s="349" t="s">
        <v>871</v>
      </c>
      <c r="AI9" s="349" t="s">
        <v>989</v>
      </c>
    </row>
    <row r="10" spans="1:36" ht="12" customHeight="1">
      <c r="B10" s="130"/>
      <c r="C10" s="345"/>
      <c r="D10" s="345"/>
      <c r="E10" s="345"/>
      <c r="F10" s="345"/>
      <c r="G10" s="345"/>
      <c r="H10" s="345"/>
      <c r="I10" s="345"/>
      <c r="J10" s="345"/>
      <c r="K10" s="345"/>
      <c r="L10" s="345"/>
      <c r="M10" s="345"/>
      <c r="N10" s="345"/>
      <c r="R10" s="1004"/>
      <c r="S10" s="1005"/>
      <c r="T10" s="1005"/>
      <c r="U10" s="1005"/>
      <c r="V10" s="1005"/>
      <c r="W10" s="1005"/>
      <c r="X10" s="1005"/>
      <c r="Y10" s="1005"/>
      <c r="Z10" s="1005"/>
      <c r="AA10" s="1005"/>
      <c r="AB10" s="1005"/>
      <c r="AC10" s="1005"/>
      <c r="AD10" s="1006"/>
      <c r="AI10" s="349" t="s">
        <v>990</v>
      </c>
    </row>
    <row r="11" spans="1:36" ht="18.75" customHeight="1">
      <c r="A11" s="105" t="s">
        <v>309</v>
      </c>
      <c r="B11" s="345"/>
      <c r="C11" s="345"/>
      <c r="D11" s="345"/>
      <c r="E11" s="345"/>
      <c r="F11" s="345"/>
      <c r="G11" s="345"/>
      <c r="H11" s="345"/>
      <c r="I11" s="345"/>
      <c r="J11" s="345"/>
      <c r="K11" s="345"/>
      <c r="L11" s="345"/>
      <c r="M11" s="345"/>
      <c r="N11" s="345"/>
      <c r="R11" s="1004"/>
      <c r="S11" s="1005"/>
      <c r="T11" s="1005"/>
      <c r="U11" s="1005"/>
      <c r="V11" s="1005"/>
      <c r="W11" s="1005"/>
      <c r="X11" s="1005"/>
      <c r="Y11" s="1005"/>
      <c r="Z11" s="1005"/>
      <c r="AA11" s="1005"/>
      <c r="AB11" s="1005"/>
      <c r="AC11" s="1005"/>
      <c r="AD11" s="1006"/>
      <c r="AI11" s="349" t="s">
        <v>991</v>
      </c>
    </row>
    <row r="12" spans="1:36">
      <c r="A12" s="352"/>
      <c r="B12" s="345"/>
      <c r="C12" s="345"/>
      <c r="D12" s="345"/>
      <c r="E12" s="345"/>
      <c r="F12" s="345"/>
      <c r="G12" s="345"/>
      <c r="H12" s="345"/>
      <c r="I12" s="345"/>
      <c r="J12" s="345"/>
      <c r="K12" s="345"/>
      <c r="L12" s="345"/>
      <c r="M12" s="345"/>
      <c r="N12" s="345"/>
      <c r="R12" s="1007"/>
      <c r="S12" s="1008"/>
      <c r="T12" s="1008"/>
      <c r="U12" s="1008"/>
      <c r="V12" s="1008"/>
      <c r="W12" s="1008"/>
      <c r="X12" s="1008"/>
      <c r="Y12" s="1008"/>
      <c r="Z12" s="1008"/>
      <c r="AA12" s="1008"/>
      <c r="AB12" s="1008"/>
      <c r="AC12" s="1008"/>
      <c r="AD12" s="1009"/>
      <c r="AI12" s="349" t="s">
        <v>992</v>
      </c>
    </row>
    <row r="13" spans="1:36">
      <c r="A13" s="352"/>
      <c r="B13" s="351"/>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45"/>
      <c r="AA13" s="345"/>
      <c r="AB13" s="345"/>
      <c r="AC13" s="345"/>
      <c r="AD13" s="345"/>
      <c r="AE13" s="345"/>
      <c r="AF13" s="345"/>
      <c r="AI13" s="349" t="s">
        <v>993</v>
      </c>
    </row>
    <row r="14" spans="1:36">
      <c r="A14" s="352"/>
      <c r="B14" s="351"/>
      <c r="C14" s="351"/>
      <c r="D14" s="351"/>
      <c r="E14" s="351"/>
      <c r="F14" s="351"/>
      <c r="G14" s="351"/>
      <c r="H14" s="351"/>
      <c r="I14" s="351"/>
      <c r="J14" s="351"/>
      <c r="K14" s="351"/>
      <c r="L14" s="351"/>
      <c r="M14" s="351"/>
      <c r="N14" s="351"/>
      <c r="O14" s="351"/>
      <c r="P14" s="351"/>
      <c r="Q14" s="351"/>
      <c r="R14" s="351"/>
      <c r="S14" s="351"/>
      <c r="T14" s="351"/>
      <c r="U14" s="351"/>
      <c r="V14" s="351"/>
      <c r="W14" s="351"/>
      <c r="X14" s="351"/>
      <c r="Y14" s="351"/>
      <c r="Z14" s="351"/>
      <c r="AA14" s="351"/>
      <c r="AB14" s="345"/>
      <c r="AC14" s="345"/>
      <c r="AD14" s="345"/>
      <c r="AE14" s="345"/>
      <c r="AF14" s="345"/>
      <c r="AG14" s="345"/>
      <c r="AH14" s="345"/>
      <c r="AI14" s="349" t="s">
        <v>994</v>
      </c>
    </row>
    <row r="15" spans="1:36">
      <c r="A15" s="352"/>
      <c r="B15" s="351"/>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45"/>
      <c r="AC15" s="345"/>
      <c r="AD15" s="345"/>
      <c r="AE15" s="345"/>
      <c r="AF15" s="345"/>
      <c r="AG15" s="345"/>
      <c r="AH15" s="345"/>
      <c r="AI15" s="349" t="s">
        <v>995</v>
      </c>
    </row>
    <row r="16" spans="1:36">
      <c r="A16" s="352"/>
      <c r="B16" s="351"/>
      <c r="C16" s="351"/>
      <c r="D16" s="351"/>
      <c r="E16" s="351"/>
      <c r="F16" s="351"/>
      <c r="G16" s="351"/>
      <c r="H16" s="351"/>
      <c r="I16" s="351"/>
      <c r="J16" s="351"/>
      <c r="K16" s="351"/>
      <c r="L16" s="351"/>
      <c r="M16" s="351"/>
      <c r="N16" s="351"/>
      <c r="O16" s="351"/>
      <c r="P16" s="351"/>
      <c r="Q16" s="351"/>
      <c r="R16" s="351"/>
      <c r="S16" s="351"/>
      <c r="T16" s="351"/>
      <c r="U16" s="351"/>
      <c r="V16" s="351"/>
      <c r="W16" s="351"/>
      <c r="X16" s="351"/>
      <c r="Y16" s="351"/>
      <c r="Z16" s="351"/>
      <c r="AA16" s="351"/>
      <c r="AB16" s="345"/>
      <c r="AC16" s="345"/>
      <c r="AD16" s="345"/>
      <c r="AE16" s="345"/>
      <c r="AF16" s="345"/>
      <c r="AG16" s="345"/>
      <c r="AH16" s="345"/>
      <c r="AI16" s="349" t="s">
        <v>996</v>
      </c>
    </row>
    <row r="17" spans="1:38">
      <c r="A17" s="352"/>
      <c r="B17" s="351"/>
      <c r="C17" s="351"/>
      <c r="D17" s="351"/>
      <c r="E17" s="351"/>
      <c r="F17" s="351"/>
      <c r="G17" s="351"/>
      <c r="H17" s="351"/>
      <c r="I17" s="351"/>
      <c r="J17" s="351"/>
      <c r="K17" s="351"/>
      <c r="L17" s="351"/>
      <c r="M17" s="351"/>
      <c r="N17" s="351"/>
      <c r="O17" s="351"/>
      <c r="P17" s="351"/>
      <c r="Q17" s="351"/>
      <c r="R17" s="351"/>
      <c r="S17" s="351"/>
      <c r="T17" s="351"/>
      <c r="U17" s="351"/>
      <c r="V17" s="351"/>
      <c r="W17" s="351"/>
      <c r="X17" s="351"/>
      <c r="Y17" s="351"/>
      <c r="Z17" s="351"/>
      <c r="AA17" s="351"/>
      <c r="AB17" s="345"/>
      <c r="AC17" s="345"/>
      <c r="AD17" s="345"/>
      <c r="AE17" s="345"/>
      <c r="AF17" s="345"/>
      <c r="AG17" s="345"/>
      <c r="AH17" s="345"/>
      <c r="AI17" s="349" t="s">
        <v>997</v>
      </c>
    </row>
    <row r="18" spans="1:38">
      <c r="A18" s="352"/>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45"/>
      <c r="AC18" s="345"/>
      <c r="AD18" s="345"/>
      <c r="AE18" s="345"/>
      <c r="AF18" s="345"/>
      <c r="AG18" s="345"/>
      <c r="AH18" s="345"/>
      <c r="AI18" s="349" t="s">
        <v>998</v>
      </c>
    </row>
    <row r="19" spans="1:38">
      <c r="A19" s="352"/>
      <c r="B19" s="351"/>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45"/>
      <c r="AC19" s="345"/>
      <c r="AD19" s="345"/>
      <c r="AE19" s="345"/>
      <c r="AF19" s="345"/>
      <c r="AG19" s="345"/>
      <c r="AH19" s="345"/>
      <c r="AI19" s="349" t="s">
        <v>999</v>
      </c>
    </row>
    <row r="20" spans="1:38">
      <c r="A20" s="352"/>
      <c r="B20" s="351"/>
      <c r="C20" s="351"/>
      <c r="D20" s="351"/>
      <c r="E20" s="351"/>
      <c r="F20" s="351"/>
      <c r="G20" s="351"/>
      <c r="H20" s="351"/>
      <c r="I20" s="351"/>
      <c r="J20" s="351"/>
      <c r="K20" s="351"/>
      <c r="L20" s="351"/>
      <c r="M20" s="351"/>
      <c r="N20" s="351"/>
      <c r="O20" s="351"/>
      <c r="P20" s="351"/>
      <c r="Q20" s="351"/>
      <c r="R20" s="351"/>
      <c r="S20" s="351"/>
      <c r="T20" s="351"/>
      <c r="U20" s="351"/>
      <c r="V20" s="351"/>
      <c r="W20" s="351"/>
      <c r="X20" s="351"/>
      <c r="Y20" s="351"/>
      <c r="Z20" s="351"/>
      <c r="AA20" s="351"/>
      <c r="AB20" s="345"/>
      <c r="AC20" s="345"/>
      <c r="AD20" s="345"/>
      <c r="AE20" s="345"/>
      <c r="AF20" s="345"/>
      <c r="AG20" s="345"/>
      <c r="AH20" s="345"/>
    </row>
    <row r="21" spans="1:38">
      <c r="A21" s="352"/>
      <c r="B21" s="351"/>
      <c r="C21" s="351"/>
      <c r="D21" s="351"/>
      <c r="E21" s="351"/>
      <c r="F21" s="351"/>
      <c r="G21" s="351"/>
      <c r="H21" s="351"/>
      <c r="I21" s="351"/>
      <c r="J21" s="351"/>
      <c r="K21" s="351"/>
      <c r="L21" s="351"/>
      <c r="M21" s="351"/>
      <c r="N21" s="351"/>
      <c r="O21" s="351"/>
      <c r="P21" s="351"/>
      <c r="Q21" s="351"/>
      <c r="R21" s="351"/>
      <c r="S21" s="351"/>
      <c r="T21" s="351"/>
      <c r="U21" s="351"/>
      <c r="V21" s="351"/>
      <c r="W21" s="351"/>
      <c r="X21" s="351"/>
      <c r="Y21" s="351"/>
      <c r="Z21" s="351"/>
      <c r="AA21" s="351"/>
      <c r="AB21" s="345"/>
      <c r="AC21" s="345"/>
      <c r="AD21" s="345"/>
      <c r="AE21" s="345"/>
      <c r="AF21" s="345"/>
      <c r="AG21" s="345"/>
      <c r="AH21" s="345"/>
    </row>
    <row r="22" spans="1:38">
      <c r="A22" s="352"/>
      <c r="B22" s="351"/>
      <c r="C22" s="351"/>
      <c r="D22" s="351"/>
      <c r="E22" s="351"/>
      <c r="F22" s="351"/>
      <c r="G22" s="351"/>
      <c r="H22" s="351"/>
      <c r="I22" s="351"/>
      <c r="J22" s="351"/>
      <c r="K22" s="351"/>
      <c r="L22" s="351"/>
      <c r="M22" s="351"/>
      <c r="N22" s="351"/>
      <c r="O22" s="351"/>
      <c r="P22" s="351"/>
      <c r="Q22" s="351"/>
      <c r="R22" s="351"/>
      <c r="S22" s="351"/>
      <c r="T22" s="351"/>
      <c r="U22" s="351"/>
      <c r="V22" s="351"/>
      <c r="W22" s="351"/>
      <c r="X22" s="351"/>
      <c r="Y22" s="351"/>
      <c r="Z22" s="351"/>
      <c r="AA22" s="351"/>
      <c r="AB22" s="345"/>
      <c r="AC22" s="345"/>
      <c r="AD22" s="345"/>
      <c r="AE22" s="345"/>
      <c r="AF22" s="345"/>
      <c r="AG22" s="345"/>
      <c r="AH22" s="345"/>
    </row>
    <row r="23" spans="1:38">
      <c r="A23" s="352"/>
      <c r="B23" s="351"/>
      <c r="C23" s="351"/>
      <c r="D23" s="351"/>
      <c r="E23" s="351"/>
      <c r="F23" s="351"/>
      <c r="G23" s="351"/>
      <c r="H23" s="351"/>
      <c r="I23" s="351" t="s">
        <v>874</v>
      </c>
      <c r="J23" s="351"/>
      <c r="K23" s="351"/>
      <c r="L23" s="351"/>
      <c r="M23" s="351"/>
      <c r="N23" s="351"/>
      <c r="O23" s="351" t="s">
        <v>716</v>
      </c>
      <c r="P23" s="351"/>
      <c r="R23" s="351"/>
      <c r="S23" s="351"/>
      <c r="T23" s="351"/>
      <c r="U23" s="353"/>
      <c r="W23" s="351"/>
      <c r="X23" s="351"/>
      <c r="Y23" s="615" t="s">
        <v>874</v>
      </c>
      <c r="AA23" s="351" t="s">
        <v>716</v>
      </c>
      <c r="AB23" s="345"/>
      <c r="AC23" s="345"/>
      <c r="AE23" s="345"/>
      <c r="AF23" s="345"/>
      <c r="AG23" s="345"/>
    </row>
    <row r="24" spans="1:38" ht="13.5" customHeight="1">
      <c r="A24" s="511" t="s">
        <v>0</v>
      </c>
      <c r="B24" s="508" t="s">
        <v>2</v>
      </c>
      <c r="C24" s="509"/>
      <c r="D24" s="509"/>
      <c r="E24" s="509"/>
      <c r="F24" s="509"/>
      <c r="G24" s="510"/>
      <c r="H24" s="509"/>
      <c r="I24" s="509"/>
      <c r="J24" s="509"/>
      <c r="K24" s="355"/>
      <c r="L24" s="355"/>
      <c r="M24" s="355"/>
      <c r="N24" s="355"/>
      <c r="O24" s="355"/>
      <c r="P24" s="355"/>
      <c r="Q24" s="355"/>
      <c r="R24" s="518" t="s">
        <v>3</v>
      </c>
      <c r="S24" s="509"/>
      <c r="T24" s="509"/>
      <c r="U24" s="509"/>
      <c r="V24" s="509"/>
      <c r="W24" s="509"/>
      <c r="X24" s="509"/>
      <c r="Y24" s="509"/>
      <c r="Z24" s="509"/>
      <c r="AA24" s="355"/>
      <c r="AB24" s="355"/>
      <c r="AC24" s="520" t="s">
        <v>14</v>
      </c>
      <c r="AD24" s="521"/>
      <c r="AE24" s="349" t="s">
        <v>872</v>
      </c>
      <c r="AH24" s="345"/>
      <c r="AI24" s="349" t="s">
        <v>717</v>
      </c>
      <c r="AL24" s="349" t="s">
        <v>718</v>
      </c>
    </row>
    <row r="25" spans="1:38">
      <c r="A25" s="512"/>
      <c r="B25" s="514"/>
      <c r="C25" s="515"/>
      <c r="D25" s="515"/>
      <c r="E25" s="515"/>
      <c r="F25" s="515"/>
      <c r="G25" s="516"/>
      <c r="H25" s="515"/>
      <c r="I25" s="515"/>
      <c r="J25" s="515"/>
      <c r="K25" s="319" t="s">
        <v>49</v>
      </c>
      <c r="L25" s="219"/>
      <c r="M25" s="219"/>
      <c r="N25" s="219"/>
      <c r="O25" s="355"/>
      <c r="P25" s="355"/>
      <c r="Q25" s="355"/>
      <c r="R25" s="519"/>
      <c r="S25" s="515"/>
      <c r="T25" s="515"/>
      <c r="U25" s="515"/>
      <c r="V25" s="515"/>
      <c r="W25" s="515"/>
      <c r="X25" s="515"/>
      <c r="Y25" s="515"/>
      <c r="Z25" s="515"/>
      <c r="AA25" s="319" t="s">
        <v>49</v>
      </c>
      <c r="AB25" s="355"/>
      <c r="AC25" s="522"/>
      <c r="AD25" s="517"/>
      <c r="AH25" s="355"/>
      <c r="AI25" s="355"/>
      <c r="AK25" s="355"/>
      <c r="AL25" s="355"/>
    </row>
    <row r="26" spans="1:38" ht="40.5">
      <c r="A26" s="513"/>
      <c r="B26" s="482" t="s">
        <v>15</v>
      </c>
      <c r="C26" s="482" t="s">
        <v>685</v>
      </c>
      <c r="D26" s="482" t="s">
        <v>722</v>
      </c>
      <c r="E26" s="358" t="s">
        <v>418</v>
      </c>
      <c r="F26" s="482" t="s">
        <v>704</v>
      </c>
      <c r="G26" s="482" t="s">
        <v>16</v>
      </c>
      <c r="H26" s="359" t="s">
        <v>711</v>
      </c>
      <c r="I26" s="1159" t="s">
        <v>873</v>
      </c>
      <c r="J26" s="1160"/>
      <c r="K26" s="359" t="s">
        <v>780</v>
      </c>
      <c r="L26" s="525" t="s">
        <v>777</v>
      </c>
      <c r="M26" s="358" t="s">
        <v>712</v>
      </c>
      <c r="N26" s="357" t="s">
        <v>45</v>
      </c>
      <c r="O26" s="369" t="s">
        <v>715</v>
      </c>
      <c r="P26" s="357" t="s">
        <v>32</v>
      </c>
      <c r="Q26" s="360" t="s">
        <v>714</v>
      </c>
      <c r="R26" s="523" t="s">
        <v>15</v>
      </c>
      <c r="S26" s="992" t="s">
        <v>1032</v>
      </c>
      <c r="T26" s="358" t="s">
        <v>418</v>
      </c>
      <c r="U26" s="482" t="s">
        <v>704</v>
      </c>
      <c r="V26" s="482" t="s">
        <v>16</v>
      </c>
      <c r="W26" s="359" t="s">
        <v>711</v>
      </c>
      <c r="X26" s="1159" t="s">
        <v>873</v>
      </c>
      <c r="Y26" s="1160"/>
      <c r="Z26" s="369" t="s">
        <v>715</v>
      </c>
      <c r="AA26" s="357" t="s">
        <v>32</v>
      </c>
      <c r="AB26" s="360" t="s">
        <v>713</v>
      </c>
      <c r="AC26" s="448" t="s">
        <v>720</v>
      </c>
      <c r="AD26" s="361" t="s">
        <v>721</v>
      </c>
      <c r="AH26" s="357" t="s">
        <v>17</v>
      </c>
      <c r="AI26" s="357"/>
      <c r="AK26" s="357" t="s">
        <v>17</v>
      </c>
      <c r="AL26" s="369"/>
    </row>
    <row r="27" spans="1:38">
      <c r="A27" s="439" t="s">
        <v>1</v>
      </c>
      <c r="B27" s="483"/>
      <c r="C27" s="483"/>
      <c r="D27" s="483"/>
      <c r="E27" s="440" t="s">
        <v>44</v>
      </c>
      <c r="F27" s="483"/>
      <c r="G27" s="483"/>
      <c r="H27" s="440" t="s">
        <v>19</v>
      </c>
      <c r="I27" s="1161" t="s">
        <v>266</v>
      </c>
      <c r="J27" s="1162"/>
      <c r="K27" s="440" t="s">
        <v>779</v>
      </c>
      <c r="L27" s="440" t="s">
        <v>778</v>
      </c>
      <c r="M27" s="440" t="s">
        <v>22</v>
      </c>
      <c r="N27" s="440" t="s">
        <v>576</v>
      </c>
      <c r="O27" s="440" t="s">
        <v>266</v>
      </c>
      <c r="P27" s="439" t="s">
        <v>8</v>
      </c>
      <c r="Q27" s="441" t="s">
        <v>479</v>
      </c>
      <c r="R27" s="524"/>
      <c r="S27" s="993"/>
      <c r="T27" s="440" t="s">
        <v>44</v>
      </c>
      <c r="U27" s="483"/>
      <c r="V27" s="483"/>
      <c r="W27" s="440" t="s">
        <v>19</v>
      </c>
      <c r="X27" s="1161" t="s">
        <v>266</v>
      </c>
      <c r="Y27" s="1162"/>
      <c r="Z27" s="440" t="s">
        <v>266</v>
      </c>
      <c r="AA27" s="439" t="s">
        <v>8</v>
      </c>
      <c r="AB27" s="441" t="s">
        <v>479</v>
      </c>
      <c r="AC27" s="442" t="s">
        <v>8</v>
      </c>
      <c r="AD27" s="439" t="s">
        <v>479</v>
      </c>
      <c r="AH27" s="440" t="s">
        <v>21</v>
      </c>
      <c r="AI27" s="440" t="s">
        <v>22</v>
      </c>
      <c r="AK27" s="440" t="s">
        <v>21</v>
      </c>
      <c r="AL27" s="440" t="s">
        <v>22</v>
      </c>
    </row>
    <row r="28" spans="1:38" ht="20.100000000000001" customHeight="1">
      <c r="A28" s="443" t="s">
        <v>23</v>
      </c>
      <c r="B28" s="538" t="s">
        <v>24</v>
      </c>
      <c r="C28" s="570" t="s">
        <v>705</v>
      </c>
      <c r="D28" s="538"/>
      <c r="E28" s="538">
        <v>2</v>
      </c>
      <c r="F28" s="538" t="s">
        <v>25</v>
      </c>
      <c r="G28" s="538" t="s">
        <v>26</v>
      </c>
      <c r="H28" s="538">
        <v>7.5</v>
      </c>
      <c r="I28" s="571">
        <f ca="1">IF(F28="","",INDEX(INDIRECT(F28&amp;"_"),MATCH(H28,rangeIE1,0),MATCH(G28,モーター効率!$A$1:$F$1,0)))</f>
        <v>0.88700000000000001</v>
      </c>
      <c r="J28" s="613"/>
      <c r="K28" s="572">
        <v>240</v>
      </c>
      <c r="L28" s="573">
        <v>10</v>
      </c>
      <c r="M28" s="574">
        <f t="shared" ref="M28:M30" si="0">K28*L28</f>
        <v>2400</v>
      </c>
      <c r="N28" s="575">
        <v>0.8</v>
      </c>
      <c r="O28" s="549"/>
      <c r="P28" s="463">
        <f ca="1">IF(E28="","",IF(O28="",E28*AH28*AI28,E28*AH28*O38*(1-O28)))</f>
        <v>32468.996617812852</v>
      </c>
      <c r="Q28" s="464">
        <f ca="1">IF(P28="","",P28*'CO₂係数 '!$I$33)</f>
        <v>16.072153325817361</v>
      </c>
      <c r="R28" s="536" t="s">
        <v>28</v>
      </c>
      <c r="S28" s="538">
        <v>1</v>
      </c>
      <c r="T28" s="570">
        <v>2</v>
      </c>
      <c r="U28" s="538" t="s">
        <v>29</v>
      </c>
      <c r="V28" s="538" t="s">
        <v>26</v>
      </c>
      <c r="W28" s="538">
        <v>7.5</v>
      </c>
      <c r="X28" s="571">
        <f ca="1">IF(U28="","",INDEX(INDIRECT(U28&amp;"_"),MATCH(W28,rangeIE1,0),MATCH(V28,モーター効率!$A$1:$F$1,0)))</f>
        <v>0.90400000000000003</v>
      </c>
      <c r="Y28" s="614"/>
      <c r="Z28" s="612">
        <v>0.2</v>
      </c>
      <c r="AA28" s="463">
        <f ca="1">IF(T28="","",IF(Z28="",T28*AK28*AL28,T28*AK28*AL28*(1-Z28)))</f>
        <v>25486.725663716818</v>
      </c>
      <c r="AB28" s="465">
        <f ca="1">IF(AA28="","",AA28*'CO₂係数 '!$I$33)</f>
        <v>12.615929203539824</v>
      </c>
      <c r="AC28" s="466">
        <f ca="1">IF(OR(P28="",AA28=""),"",P28-AA28)</f>
        <v>6982.270954096035</v>
      </c>
      <c r="AD28" s="467">
        <f ca="1">IF(OR(Q28="",AB28=""),"",Q28-AB28)</f>
        <v>3.4562241222775363</v>
      </c>
      <c r="AE28" s="349">
        <f>MATCH(C28,$AH$5:$AH$9,0)</f>
        <v>1</v>
      </c>
      <c r="AG28" s="349">
        <f ca="1">IFERROR(MATCH(H28,INDIRECT(F28&amp;"_出力"),0),0)</f>
        <v>9</v>
      </c>
      <c r="AH28" s="444">
        <f ca="1">IF(AND(AG28&lt;&gt;0,J28=0),H28/I28,H28/J28)</f>
        <v>8.4554678692220975</v>
      </c>
      <c r="AI28" s="449">
        <f>IF(N28="",M28,M28*N28)</f>
        <v>1920</v>
      </c>
      <c r="AJ28" s="349">
        <f t="shared" ref="AJ28" ca="1" si="1">IFERROR(MATCH(W28,INDIRECT(U28&amp;"_出力"),0),0)</f>
        <v>9</v>
      </c>
      <c r="AK28" s="444">
        <f t="shared" ref="AK28" ca="1" si="2">IF(AND(AJ28&lt;&gt;0,Y28=0),W28/X28,W28/Y28)</f>
        <v>8.2964601769911503</v>
      </c>
      <c r="AL28" s="449">
        <f>AI28</f>
        <v>1920</v>
      </c>
    </row>
    <row r="29" spans="1:38" ht="20.100000000000001" customHeight="1" thickBot="1">
      <c r="A29" s="735" t="s">
        <v>30</v>
      </c>
      <c r="B29" s="740"/>
      <c r="C29" s="740"/>
      <c r="D29" s="740"/>
      <c r="E29" s="742">
        <f>SUM(E30:E44)</f>
        <v>0</v>
      </c>
      <c r="F29" s="740"/>
      <c r="G29" s="740"/>
      <c r="H29" s="742">
        <f>SUMPRODUCT(E30:E44*H$30:H$44)</f>
        <v>0</v>
      </c>
      <c r="I29" s="740"/>
      <c r="J29" s="740"/>
      <c r="K29" s="740"/>
      <c r="L29" s="740"/>
      <c r="M29" s="740"/>
      <c r="N29" s="740"/>
      <c r="O29" s="740"/>
      <c r="P29" s="736">
        <f>_xlfn.AGGREGATE(9,7,P30:P44)</f>
        <v>0</v>
      </c>
      <c r="Q29" s="743">
        <f>_xlfn.AGGREGATE(9,7,Q30:Q44)</f>
        <v>0</v>
      </c>
      <c r="R29" s="744"/>
      <c r="S29" s="740"/>
      <c r="T29" s="741">
        <f>SUM(T30:T44)</f>
        <v>0</v>
      </c>
      <c r="U29" s="740"/>
      <c r="V29" s="740"/>
      <c r="W29" s="742">
        <f>SUMPRODUCT(T30:T44*W$30:W$44)</f>
        <v>0</v>
      </c>
      <c r="X29" s="740"/>
      <c r="Y29" s="740"/>
      <c r="Z29" s="740"/>
      <c r="AA29" s="736">
        <f>_xlfn.AGGREGATE(9,7,AA30:AA44)</f>
        <v>0</v>
      </c>
      <c r="AB29" s="737">
        <f>_xlfn.AGGREGATE(9,7,AB30:AB44)</f>
        <v>0</v>
      </c>
      <c r="AC29" s="738">
        <f>IF(P29=0,AA29*-1,P29-AA29)</f>
        <v>0</v>
      </c>
      <c r="AD29" s="739">
        <f>IFERROR(AC29*'CO₂係数 '!I33,"")</f>
        <v>0</v>
      </c>
      <c r="AH29" s="446"/>
      <c r="AI29" s="446"/>
      <c r="AK29" s="446"/>
      <c r="AL29" s="446"/>
    </row>
    <row r="30" spans="1:38" ht="20.100000000000001" customHeight="1">
      <c r="A30" s="445">
        <v>1</v>
      </c>
      <c r="B30" s="648"/>
      <c r="C30" s="648"/>
      <c r="D30" s="648"/>
      <c r="E30" s="648"/>
      <c r="F30" s="648"/>
      <c r="G30" s="648"/>
      <c r="H30" s="724"/>
      <c r="I30" s="725" t="str">
        <f ca="1">IFERROR(IF(OR(F30="",H30="",G30="")=TRUE,"",INDEX(INDIRECT(F30&amp;"_"),MATCH(H30,rangeIE1,0),MATCH(G30,モーター効率!$A$1:$F$1,0))),"")</f>
        <v/>
      </c>
      <c r="J30" s="726"/>
      <c r="K30" s="697"/>
      <c r="L30" s="698"/>
      <c r="M30" s="727">
        <f t="shared" si="0"/>
        <v>0</v>
      </c>
      <c r="N30" s="728"/>
      <c r="O30" s="920"/>
      <c r="P30" s="729" t="str">
        <f>IF(E30="","",IF(O30="",E30*AH30*AI30,E30*AH30*AI30*(1-O30)))</f>
        <v/>
      </c>
      <c r="Q30" s="730" t="str">
        <f>IF(P30="","",P30*'CO₂係数 '!$I$33)</f>
        <v/>
      </c>
      <c r="R30" s="731"/>
      <c r="S30" s="941"/>
      <c r="T30" s="648"/>
      <c r="U30" s="648"/>
      <c r="V30" s="648"/>
      <c r="W30" s="724"/>
      <c r="X30" s="725" t="str">
        <f ca="1">IFERROR(IF(OR(U30="",W30="",V30="")=TRUE,"",INDEX(INDIRECT(U30&amp;"_"),MATCH(W30,rangeIE1,0),MATCH(V30,モーター効率!$A$1:$F$1,0))),"")</f>
        <v/>
      </c>
      <c r="Y30" s="726"/>
      <c r="Z30" s="732"/>
      <c r="AA30" s="729" t="str">
        <f>IF(T30="","",IF(Z30="",T30*AK30*AL30,T30*AK30*AL30*(1-Z30)))</f>
        <v/>
      </c>
      <c r="AB30" s="454" t="str">
        <f>IF(AA30="","",AA30*'CO₂係数 '!$I$33)</f>
        <v/>
      </c>
      <c r="AC30" s="733" t="str">
        <f t="shared" ref="AC30:AC38" si="3">IF(OR(P30="",AA30=""),"",P30-AA30)</f>
        <v/>
      </c>
      <c r="AD30" s="734" t="str">
        <f t="shared" ref="AD30:AD38" si="4">IF(OR(Q30="",AB30=""),"",Q30-AB30)</f>
        <v/>
      </c>
      <c r="AE30" s="349" t="e">
        <f>MATCH(C30,$AH$5:$AH$9,0)</f>
        <v>#N/A</v>
      </c>
      <c r="AG30" s="349">
        <f ca="1">IFERROR(MATCH(H30,INDIRECT(F30&amp;"_出力"),0),0)</f>
        <v>0</v>
      </c>
      <c r="AH30" s="447" t="e">
        <f ca="1">IF(AND(AG30&lt;&gt;0,J30=0),H30/I30,H30/J30)</f>
        <v>#DIV/0!</v>
      </c>
      <c r="AI30" s="450">
        <f t="shared" ref="AI30:AI38" si="5">IF(N30="",M30,M30*N30)</f>
        <v>0</v>
      </c>
      <c r="AJ30" s="349">
        <f ca="1">IFERROR(MATCH(W30,INDIRECT(U30&amp;"_出力"),0),0)</f>
        <v>0</v>
      </c>
      <c r="AK30" s="447" t="e">
        <f ca="1">IF(AND(AJ30&lt;&gt;0,Y30=0),W30/X30,W30/Y30)</f>
        <v>#DIV/0!</v>
      </c>
      <c r="AL30" s="461">
        <f t="shared" ref="AL30:AL38" si="6">AI30</f>
        <v>0</v>
      </c>
    </row>
    <row r="31" spans="1:38" ht="20.100000000000001" customHeight="1">
      <c r="A31" s="439">
        <v>2</v>
      </c>
      <c r="B31" s="458"/>
      <c r="C31" s="458"/>
      <c r="D31" s="458"/>
      <c r="E31" s="458"/>
      <c r="F31" s="458"/>
      <c r="G31" s="458"/>
      <c r="H31" s="459"/>
      <c r="I31" s="462" t="str">
        <f ca="1">IFERROR(IF(OR(F31="",H31="",G31="")=TRUE,"",INDEX(INDIRECT(F31&amp;"_"),MATCH(H31,rangeIE1,0),MATCH(G31,モーター効率!$A$1:$F$1,0))),"")</f>
        <v/>
      </c>
      <c r="J31" s="726"/>
      <c r="K31" s="506"/>
      <c r="L31" s="507"/>
      <c r="M31" s="628">
        <f t="shared" ref="M31:M44" si="7">K31*L31</f>
        <v>0</v>
      </c>
      <c r="N31" s="550"/>
      <c r="O31" s="921"/>
      <c r="P31" s="729" t="str">
        <f t="shared" ref="P31:P44" si="8">IF(E31="","",IF(O31="",E31*AH31*AI31,E31*AH31*AI31*(1-O31)))</f>
        <v/>
      </c>
      <c r="Q31" s="453" t="str">
        <f>IF(P31="","",P31*'CO₂係数 '!$I$33)</f>
        <v/>
      </c>
      <c r="R31" s="460"/>
      <c r="S31" s="942"/>
      <c r="T31" s="458"/>
      <c r="U31" s="458"/>
      <c r="V31" s="458"/>
      <c r="W31" s="458"/>
      <c r="X31" s="462" t="str">
        <f ca="1">IFERROR(IF(OR(U31="",W31="",V31="")=TRUE,"",INDEX(INDIRECT(U31&amp;"_"),MATCH(W31,rangeIE1,0),MATCH(V31,モーター効率!$A$1:$F$1,0))),"")</f>
        <v/>
      </c>
      <c r="Y31" s="726"/>
      <c r="Z31" s="551"/>
      <c r="AA31" s="452" t="str">
        <f t="shared" ref="AA31:AA44" si="9">IF(T31="","",IF(Z31="",T31*AK31*AL31,T31*AK31*AL31*(1-Z31)))</f>
        <v/>
      </c>
      <c r="AB31" s="455" t="str">
        <f>IF(AA31="","",AA31*'CO₂係数 '!$I$33)</f>
        <v/>
      </c>
      <c r="AC31" s="456" t="str">
        <f t="shared" si="3"/>
        <v/>
      </c>
      <c r="AD31" s="457" t="str">
        <f t="shared" si="4"/>
        <v/>
      </c>
      <c r="AE31" s="349" t="e">
        <f t="shared" ref="AE31:AE44" si="10">MATCH(C31,$AH$5:$AH$9,0)</f>
        <v>#N/A</v>
      </c>
      <c r="AG31" s="349">
        <f t="shared" ref="AG31:AG44" ca="1" si="11">IFERROR(MATCH(H31,INDIRECT(F31&amp;"_出力"),0),0)</f>
        <v>0</v>
      </c>
      <c r="AH31" s="447" t="e">
        <f ca="1">IF(AND(AG31&lt;&gt;0,J31=0),H31/I31,H31/J31)</f>
        <v>#DIV/0!</v>
      </c>
      <c r="AI31" s="450">
        <f t="shared" si="5"/>
        <v>0</v>
      </c>
      <c r="AJ31" s="349">
        <f t="shared" ref="AJ31:AJ44" ca="1" si="12">IFERROR(MATCH(W31,INDIRECT(U31&amp;"_出力"),0),0)</f>
        <v>0</v>
      </c>
      <c r="AK31" s="447" t="e">
        <f t="shared" ref="AK31:AK44" ca="1" si="13">IF(AND(AJ31&lt;&gt;0,Y31=0),W31/X31,W31/Y31)</f>
        <v>#DIV/0!</v>
      </c>
      <c r="AL31" s="461">
        <f t="shared" si="6"/>
        <v>0</v>
      </c>
    </row>
    <row r="32" spans="1:38" ht="20.100000000000001" customHeight="1">
      <c r="A32" s="439">
        <v>3</v>
      </c>
      <c r="B32" s="458"/>
      <c r="C32" s="458"/>
      <c r="D32" s="458"/>
      <c r="E32" s="458"/>
      <c r="F32" s="458"/>
      <c r="G32" s="458"/>
      <c r="H32" s="459"/>
      <c r="I32" s="462" t="str">
        <f ca="1">IFERROR(IF(OR(F32="",H32="",G32="")=TRUE,"",INDEX(INDIRECT(F32&amp;"_"),MATCH(H32,rangeIE1,0),MATCH(G32,モーター効率!$A$1:$F$1,0))),"")</f>
        <v/>
      </c>
      <c r="J32" s="726"/>
      <c r="K32" s="506"/>
      <c r="L32" s="507"/>
      <c r="M32" s="628">
        <f t="shared" si="7"/>
        <v>0</v>
      </c>
      <c r="N32" s="550"/>
      <c r="O32" s="921"/>
      <c r="P32" s="729" t="str">
        <f t="shared" si="8"/>
        <v/>
      </c>
      <c r="Q32" s="453" t="str">
        <f>IF(P32="","",P32*'CO₂係数 '!$I$33)</f>
        <v/>
      </c>
      <c r="R32" s="460"/>
      <c r="S32" s="942"/>
      <c r="T32" s="458"/>
      <c r="U32" s="458"/>
      <c r="V32" s="458"/>
      <c r="W32" s="458"/>
      <c r="X32" s="462" t="str">
        <f ca="1">IFERROR(IF(OR(U32="",W32="",V32="")=TRUE,"",INDEX(INDIRECT(U32&amp;"_"),MATCH(W32,rangeIE1,0),MATCH(V32,モーター効率!$A$1:$F$1,0))),"")</f>
        <v/>
      </c>
      <c r="Y32" s="726"/>
      <c r="Z32" s="551"/>
      <c r="AA32" s="452" t="str">
        <f t="shared" si="9"/>
        <v/>
      </c>
      <c r="AB32" s="455" t="str">
        <f>IF(AA32="","",AA32*'CO₂係数 '!$I$33)</f>
        <v/>
      </c>
      <c r="AC32" s="456" t="str">
        <f t="shared" si="3"/>
        <v/>
      </c>
      <c r="AD32" s="457" t="str">
        <f t="shared" si="4"/>
        <v/>
      </c>
      <c r="AE32" s="349" t="e">
        <f t="shared" si="10"/>
        <v>#N/A</v>
      </c>
      <c r="AG32" s="349">
        <f t="shared" ca="1" si="11"/>
        <v>0</v>
      </c>
      <c r="AH32" s="447" t="e">
        <f t="shared" ref="AH32:AH44" ca="1" si="14">IF(AND(AG32&lt;&gt;0,J32=0),H32/I32,H32/J32)</f>
        <v>#DIV/0!</v>
      </c>
      <c r="AI32" s="450">
        <f t="shared" si="5"/>
        <v>0</v>
      </c>
      <c r="AJ32" s="349">
        <f t="shared" ca="1" si="12"/>
        <v>0</v>
      </c>
      <c r="AK32" s="447" t="e">
        <f t="shared" ca="1" si="13"/>
        <v>#DIV/0!</v>
      </c>
      <c r="AL32" s="461">
        <f t="shared" si="6"/>
        <v>0</v>
      </c>
    </row>
    <row r="33" spans="1:38" ht="20.100000000000001" customHeight="1">
      <c r="A33" s="439">
        <v>4</v>
      </c>
      <c r="B33" s="458"/>
      <c r="C33" s="458"/>
      <c r="D33" s="458"/>
      <c r="E33" s="458"/>
      <c r="F33" s="458"/>
      <c r="G33" s="458"/>
      <c r="H33" s="459"/>
      <c r="I33" s="462" t="str">
        <f ca="1">IFERROR(IF(OR(F33="",H33="",G33="")=TRUE,"",INDEX(INDIRECT(F33&amp;"_"),MATCH(H33,rangeIE1,0),MATCH(G33,モーター効率!$A$1:$F$1,0))),"")</f>
        <v/>
      </c>
      <c r="J33" s="726"/>
      <c r="K33" s="506"/>
      <c r="L33" s="507"/>
      <c r="M33" s="628">
        <f t="shared" si="7"/>
        <v>0</v>
      </c>
      <c r="N33" s="550"/>
      <c r="O33" s="921"/>
      <c r="P33" s="729" t="str">
        <f t="shared" si="8"/>
        <v/>
      </c>
      <c r="Q33" s="453" t="str">
        <f>IF(P33="","",P33*'CO₂係数 '!$I$33)</f>
        <v/>
      </c>
      <c r="R33" s="460"/>
      <c r="S33" s="942"/>
      <c r="T33" s="458"/>
      <c r="U33" s="458"/>
      <c r="V33" s="458"/>
      <c r="W33" s="458"/>
      <c r="X33" s="462" t="str">
        <f ca="1">IFERROR(IF(OR(U33="",W33="",V33="")=TRUE,"",INDEX(INDIRECT(U33&amp;"_"),MATCH(W33,rangeIE1,0),MATCH(V33,モーター効率!$A$1:$F$1,0))),"")</f>
        <v/>
      </c>
      <c r="Y33" s="726"/>
      <c r="Z33" s="551"/>
      <c r="AA33" s="452" t="str">
        <f t="shared" si="9"/>
        <v/>
      </c>
      <c r="AB33" s="455" t="str">
        <f>IF(AA33="","",AA33*'CO₂係数 '!$I$33)</f>
        <v/>
      </c>
      <c r="AC33" s="456" t="str">
        <f t="shared" si="3"/>
        <v/>
      </c>
      <c r="AD33" s="457" t="str">
        <f t="shared" si="4"/>
        <v/>
      </c>
      <c r="AE33" s="349" t="e">
        <f t="shared" si="10"/>
        <v>#N/A</v>
      </c>
      <c r="AG33" s="349">
        <f t="shared" ca="1" si="11"/>
        <v>0</v>
      </c>
      <c r="AH33" s="447" t="e">
        <f t="shared" ca="1" si="14"/>
        <v>#DIV/0!</v>
      </c>
      <c r="AI33" s="450">
        <f t="shared" si="5"/>
        <v>0</v>
      </c>
      <c r="AJ33" s="349">
        <f t="shared" ca="1" si="12"/>
        <v>0</v>
      </c>
      <c r="AK33" s="447" t="e">
        <f t="shared" ca="1" si="13"/>
        <v>#DIV/0!</v>
      </c>
      <c r="AL33" s="461">
        <f t="shared" si="6"/>
        <v>0</v>
      </c>
    </row>
    <row r="34" spans="1:38" ht="20.100000000000001" customHeight="1">
      <c r="A34" s="439">
        <v>5</v>
      </c>
      <c r="B34" s="458"/>
      <c r="C34" s="458"/>
      <c r="D34" s="458"/>
      <c r="E34" s="458"/>
      <c r="F34" s="458"/>
      <c r="G34" s="458"/>
      <c r="H34" s="459"/>
      <c r="I34" s="462" t="str">
        <f ca="1">IFERROR(IF(OR(F34="",H34="",G34="")=TRUE,"",INDEX(INDIRECT(F34&amp;"_"),MATCH(H34,rangeIE1,0),MATCH(G34,モーター効率!$A$1:$F$1,0))),"")</f>
        <v/>
      </c>
      <c r="J34" s="726"/>
      <c r="K34" s="506"/>
      <c r="L34" s="507"/>
      <c r="M34" s="628">
        <f t="shared" si="7"/>
        <v>0</v>
      </c>
      <c r="N34" s="550"/>
      <c r="O34" s="921"/>
      <c r="P34" s="729" t="str">
        <f t="shared" si="8"/>
        <v/>
      </c>
      <c r="Q34" s="453" t="str">
        <f>IF(P34="","",P34*'CO₂係数 '!$I$33)</f>
        <v/>
      </c>
      <c r="R34" s="460"/>
      <c r="S34" s="942"/>
      <c r="T34" s="458"/>
      <c r="U34" s="458"/>
      <c r="V34" s="458"/>
      <c r="W34" s="458"/>
      <c r="X34" s="462" t="str">
        <f ca="1">IFERROR(IF(OR(U34="",W34="",V34="")=TRUE,"",INDEX(INDIRECT(U34&amp;"_"),MATCH(W34,rangeIE1,0),MATCH(V34,モーター効率!$A$1:$F$1,0))),"")</f>
        <v/>
      </c>
      <c r="Y34" s="726"/>
      <c r="Z34" s="551"/>
      <c r="AA34" s="452" t="str">
        <f t="shared" si="9"/>
        <v/>
      </c>
      <c r="AB34" s="455" t="str">
        <f>IF(AA34="","",AA34*'CO₂係数 '!$I$33)</f>
        <v/>
      </c>
      <c r="AC34" s="456" t="str">
        <f t="shared" si="3"/>
        <v/>
      </c>
      <c r="AD34" s="457" t="str">
        <f t="shared" si="4"/>
        <v/>
      </c>
      <c r="AE34" s="349" t="e">
        <f t="shared" si="10"/>
        <v>#N/A</v>
      </c>
      <c r="AG34" s="349">
        <f t="shared" ca="1" si="11"/>
        <v>0</v>
      </c>
      <c r="AH34" s="447" t="e">
        <f t="shared" ca="1" si="14"/>
        <v>#DIV/0!</v>
      </c>
      <c r="AI34" s="450">
        <f t="shared" si="5"/>
        <v>0</v>
      </c>
      <c r="AJ34" s="349">
        <f t="shared" ca="1" si="12"/>
        <v>0</v>
      </c>
      <c r="AK34" s="447" t="e">
        <f t="shared" ca="1" si="13"/>
        <v>#DIV/0!</v>
      </c>
      <c r="AL34" s="461">
        <f t="shared" si="6"/>
        <v>0</v>
      </c>
    </row>
    <row r="35" spans="1:38" ht="20.100000000000001" customHeight="1">
      <c r="A35" s="439">
        <v>6</v>
      </c>
      <c r="B35" s="458"/>
      <c r="C35" s="458"/>
      <c r="D35" s="458"/>
      <c r="E35" s="458"/>
      <c r="F35" s="458"/>
      <c r="G35" s="458"/>
      <c r="H35" s="459"/>
      <c r="I35" s="462" t="str">
        <f ca="1">IFERROR(IF(OR(F35="",H35="",G35="")=TRUE,"",INDEX(INDIRECT(F35&amp;"_"),MATCH(H35,rangeIE1,0),MATCH(G35,モーター効率!$A$1:$F$1,0))),"")</f>
        <v/>
      </c>
      <c r="J35" s="726"/>
      <c r="K35" s="506"/>
      <c r="L35" s="507"/>
      <c r="M35" s="628">
        <f t="shared" si="7"/>
        <v>0</v>
      </c>
      <c r="N35" s="550"/>
      <c r="O35" s="921"/>
      <c r="P35" s="729" t="str">
        <f t="shared" si="8"/>
        <v/>
      </c>
      <c r="Q35" s="453" t="str">
        <f>IF(P35="","",P35*'CO₂係数 '!$I$33)</f>
        <v/>
      </c>
      <c r="R35" s="460"/>
      <c r="S35" s="942"/>
      <c r="T35" s="458"/>
      <c r="U35" s="458"/>
      <c r="V35" s="458"/>
      <c r="W35" s="458"/>
      <c r="X35" s="462" t="str">
        <f ca="1">IFERROR(IF(OR(U35="",W35="",V35="")=TRUE,"",INDEX(INDIRECT(U35&amp;"_"),MATCH(W35,rangeIE1,0),MATCH(V35,モーター効率!$A$1:$F$1,0))),"")</f>
        <v/>
      </c>
      <c r="Y35" s="726"/>
      <c r="Z35" s="551"/>
      <c r="AA35" s="452" t="str">
        <f t="shared" si="9"/>
        <v/>
      </c>
      <c r="AB35" s="455" t="str">
        <f>IF(AA35="","",AA35*'CO₂係数 '!$I$33)</f>
        <v/>
      </c>
      <c r="AC35" s="456" t="str">
        <f t="shared" si="3"/>
        <v/>
      </c>
      <c r="AD35" s="457" t="str">
        <f t="shared" si="4"/>
        <v/>
      </c>
      <c r="AE35" s="349" t="e">
        <f t="shared" si="10"/>
        <v>#N/A</v>
      </c>
      <c r="AG35" s="349">
        <f t="shared" ca="1" si="11"/>
        <v>0</v>
      </c>
      <c r="AH35" s="447" t="e">
        <f t="shared" ca="1" si="14"/>
        <v>#DIV/0!</v>
      </c>
      <c r="AI35" s="450">
        <f t="shared" si="5"/>
        <v>0</v>
      </c>
      <c r="AJ35" s="349">
        <f t="shared" ca="1" si="12"/>
        <v>0</v>
      </c>
      <c r="AK35" s="447" t="e">
        <f t="shared" ca="1" si="13"/>
        <v>#DIV/0!</v>
      </c>
      <c r="AL35" s="461">
        <f t="shared" si="6"/>
        <v>0</v>
      </c>
    </row>
    <row r="36" spans="1:38" ht="20.100000000000001" customHeight="1">
      <c r="A36" s="439">
        <v>7</v>
      </c>
      <c r="B36" s="458"/>
      <c r="C36" s="458"/>
      <c r="D36" s="458"/>
      <c r="E36" s="458"/>
      <c r="F36" s="458"/>
      <c r="G36" s="458"/>
      <c r="H36" s="459"/>
      <c r="I36" s="462" t="str">
        <f ca="1">IFERROR(IF(OR(F36="",H36="",G36="")=TRUE,"",INDEX(INDIRECT(F36&amp;"_"),MATCH(H36,rangeIE1,0),MATCH(G36,モーター効率!$A$1:$F$1,0))),"")</f>
        <v/>
      </c>
      <c r="J36" s="726"/>
      <c r="K36" s="506"/>
      <c r="L36" s="507"/>
      <c r="M36" s="628">
        <f t="shared" si="7"/>
        <v>0</v>
      </c>
      <c r="N36" s="550"/>
      <c r="O36" s="921"/>
      <c r="P36" s="729" t="str">
        <f t="shared" si="8"/>
        <v/>
      </c>
      <c r="Q36" s="453" t="str">
        <f>IF(P36="","",P36*'CO₂係数 '!$I$33)</f>
        <v/>
      </c>
      <c r="R36" s="460"/>
      <c r="S36" s="942"/>
      <c r="T36" s="458"/>
      <c r="U36" s="458"/>
      <c r="V36" s="458"/>
      <c r="W36" s="458"/>
      <c r="X36" s="462" t="str">
        <f ca="1">IFERROR(IF(OR(U36="",W36="",V36="")=TRUE,"",INDEX(INDIRECT(U36&amp;"_"),MATCH(W36,rangeIE1,0),MATCH(V36,モーター効率!$A$1:$F$1,0))),"")</f>
        <v/>
      </c>
      <c r="Y36" s="726"/>
      <c r="Z36" s="551"/>
      <c r="AA36" s="452" t="str">
        <f t="shared" si="9"/>
        <v/>
      </c>
      <c r="AB36" s="455" t="str">
        <f>IF(AA36="","",AA36*'CO₂係数 '!$I$33)</f>
        <v/>
      </c>
      <c r="AC36" s="456" t="str">
        <f t="shared" si="3"/>
        <v/>
      </c>
      <c r="AD36" s="457" t="str">
        <f t="shared" si="4"/>
        <v/>
      </c>
      <c r="AE36" s="349" t="e">
        <f t="shared" si="10"/>
        <v>#N/A</v>
      </c>
      <c r="AG36" s="349">
        <f t="shared" ca="1" si="11"/>
        <v>0</v>
      </c>
      <c r="AH36" s="447" t="e">
        <f t="shared" ca="1" si="14"/>
        <v>#DIV/0!</v>
      </c>
      <c r="AI36" s="450">
        <f t="shared" si="5"/>
        <v>0</v>
      </c>
      <c r="AJ36" s="349">
        <f t="shared" ca="1" si="12"/>
        <v>0</v>
      </c>
      <c r="AK36" s="447" t="e">
        <f t="shared" ca="1" si="13"/>
        <v>#DIV/0!</v>
      </c>
      <c r="AL36" s="461">
        <f t="shared" si="6"/>
        <v>0</v>
      </c>
    </row>
    <row r="37" spans="1:38" ht="20.100000000000001" customHeight="1">
      <c r="A37" s="439">
        <v>8</v>
      </c>
      <c r="B37" s="458"/>
      <c r="C37" s="458"/>
      <c r="D37" s="458"/>
      <c r="E37" s="458"/>
      <c r="F37" s="458"/>
      <c r="G37" s="458"/>
      <c r="H37" s="459"/>
      <c r="I37" s="462" t="str">
        <f ca="1">IFERROR(IF(OR(F37="",H37="",G37="")=TRUE,"",INDEX(INDIRECT(F37&amp;"_"),MATCH(H37,rangeIE1,0),MATCH(G37,モーター効率!$A$1:$F$1,0))),"")</f>
        <v/>
      </c>
      <c r="J37" s="726"/>
      <c r="K37" s="506"/>
      <c r="L37" s="507"/>
      <c r="M37" s="628">
        <f t="shared" si="7"/>
        <v>0</v>
      </c>
      <c r="N37" s="550"/>
      <c r="O37" s="921"/>
      <c r="P37" s="729" t="str">
        <f t="shared" si="8"/>
        <v/>
      </c>
      <c r="Q37" s="453" t="str">
        <f>IF(P37="","",P37*'CO₂係数 '!$I$33)</f>
        <v/>
      </c>
      <c r="R37" s="460"/>
      <c r="S37" s="942"/>
      <c r="T37" s="458"/>
      <c r="U37" s="458"/>
      <c r="V37" s="458"/>
      <c r="W37" s="458"/>
      <c r="X37" s="462" t="str">
        <f ca="1">IFERROR(IF(OR(U37="",W37="",V37="")=TRUE,"",INDEX(INDIRECT(U37&amp;"_"),MATCH(W37,rangeIE1,0),MATCH(V37,モーター効率!$A$1:$F$1,0))),"")</f>
        <v/>
      </c>
      <c r="Y37" s="726"/>
      <c r="Z37" s="551"/>
      <c r="AA37" s="452" t="str">
        <f t="shared" si="9"/>
        <v/>
      </c>
      <c r="AB37" s="455" t="str">
        <f>IF(AA37="","",AA37*'CO₂係数 '!$I$33)</f>
        <v/>
      </c>
      <c r="AC37" s="456" t="str">
        <f t="shared" si="3"/>
        <v/>
      </c>
      <c r="AD37" s="457" t="str">
        <f t="shared" si="4"/>
        <v/>
      </c>
      <c r="AE37" s="349" t="e">
        <f t="shared" si="10"/>
        <v>#N/A</v>
      </c>
      <c r="AG37" s="349">
        <f t="shared" ca="1" si="11"/>
        <v>0</v>
      </c>
      <c r="AH37" s="447" t="e">
        <f t="shared" ca="1" si="14"/>
        <v>#DIV/0!</v>
      </c>
      <c r="AI37" s="450">
        <f t="shared" si="5"/>
        <v>0</v>
      </c>
      <c r="AJ37" s="349">
        <f t="shared" ca="1" si="12"/>
        <v>0</v>
      </c>
      <c r="AK37" s="447" t="e">
        <f t="shared" ca="1" si="13"/>
        <v>#DIV/0!</v>
      </c>
      <c r="AL37" s="461">
        <f t="shared" si="6"/>
        <v>0</v>
      </c>
    </row>
    <row r="38" spans="1:38" ht="20.100000000000001" customHeight="1">
      <c r="A38" s="439">
        <v>9</v>
      </c>
      <c r="B38" s="458"/>
      <c r="C38" s="458"/>
      <c r="D38" s="458"/>
      <c r="E38" s="458"/>
      <c r="F38" s="458"/>
      <c r="G38" s="458"/>
      <c r="H38" s="459"/>
      <c r="I38" s="462" t="str">
        <f ca="1">IFERROR(IF(OR(F38="",H38="",G38="")=TRUE,"",INDEX(INDIRECT(F38&amp;"_"),MATCH(H38,rangeIE1,0),MATCH(G38,モーター効率!$A$1:$F$1,0))),"")</f>
        <v/>
      </c>
      <c r="J38" s="726"/>
      <c r="K38" s="506"/>
      <c r="L38" s="507"/>
      <c r="M38" s="628">
        <f t="shared" si="7"/>
        <v>0</v>
      </c>
      <c r="N38" s="550"/>
      <c r="O38" s="921"/>
      <c r="P38" s="729" t="str">
        <f t="shared" si="8"/>
        <v/>
      </c>
      <c r="Q38" s="453" t="str">
        <f>IF(P38="","",P38*'CO₂係数 '!$I$33)</f>
        <v/>
      </c>
      <c r="R38" s="460"/>
      <c r="S38" s="942"/>
      <c r="T38" s="458"/>
      <c r="U38" s="458"/>
      <c r="V38" s="458"/>
      <c r="W38" s="458"/>
      <c r="X38" s="462" t="str">
        <f ca="1">IFERROR(IF(OR(U38="",W38="",V38="")=TRUE,"",INDEX(INDIRECT(U38&amp;"_"),MATCH(W38,rangeIE1,0),MATCH(V38,モーター効率!$A$1:$F$1,0))),"")</f>
        <v/>
      </c>
      <c r="Y38" s="726"/>
      <c r="Z38" s="551"/>
      <c r="AA38" s="452" t="str">
        <f t="shared" si="9"/>
        <v/>
      </c>
      <c r="AB38" s="455" t="str">
        <f>IF(AA38="","",AA38*'CO₂係数 '!$I$33)</f>
        <v/>
      </c>
      <c r="AC38" s="456" t="str">
        <f t="shared" si="3"/>
        <v/>
      </c>
      <c r="AD38" s="457" t="str">
        <f t="shared" si="4"/>
        <v/>
      </c>
      <c r="AE38" s="349" t="e">
        <f t="shared" si="10"/>
        <v>#N/A</v>
      </c>
      <c r="AG38" s="349">
        <f t="shared" ca="1" si="11"/>
        <v>0</v>
      </c>
      <c r="AH38" s="447" t="e">
        <f t="shared" ca="1" si="14"/>
        <v>#DIV/0!</v>
      </c>
      <c r="AI38" s="450">
        <f t="shared" si="5"/>
        <v>0</v>
      </c>
      <c r="AJ38" s="349">
        <f t="shared" ca="1" si="12"/>
        <v>0</v>
      </c>
      <c r="AK38" s="447" t="e">
        <f t="shared" ca="1" si="13"/>
        <v>#DIV/0!</v>
      </c>
      <c r="AL38" s="461">
        <f t="shared" si="6"/>
        <v>0</v>
      </c>
    </row>
    <row r="39" spans="1:38" ht="20.100000000000001" customHeight="1">
      <c r="A39" s="439">
        <v>10</v>
      </c>
      <c r="B39" s="458"/>
      <c r="C39" s="458"/>
      <c r="D39" s="458"/>
      <c r="E39" s="458"/>
      <c r="F39" s="458"/>
      <c r="G39" s="458"/>
      <c r="H39" s="459"/>
      <c r="I39" s="462" t="str">
        <f ca="1">IFERROR(IF(OR(F39="",H39="",G39="")=TRUE,"",INDEX(INDIRECT(F39&amp;"_"),MATCH(H39,rangeIE1,0),MATCH(G39,モーター効率!$A$1:$F$1,0))),"")</f>
        <v/>
      </c>
      <c r="J39" s="726"/>
      <c r="K39" s="506"/>
      <c r="L39" s="507"/>
      <c r="M39" s="628">
        <f t="shared" si="7"/>
        <v>0</v>
      </c>
      <c r="N39" s="550"/>
      <c r="O39" s="921"/>
      <c r="P39" s="729" t="str">
        <f t="shared" si="8"/>
        <v/>
      </c>
      <c r="Q39" s="453" t="str">
        <f>IF(P39="","",P39*'CO₂係数 '!$I$33)</f>
        <v/>
      </c>
      <c r="R39" s="460"/>
      <c r="S39" s="942"/>
      <c r="T39" s="458"/>
      <c r="U39" s="458"/>
      <c r="V39" s="458"/>
      <c r="W39" s="458"/>
      <c r="X39" s="462" t="str">
        <f ca="1">IFERROR(IF(OR(U39="",W39="",V39="")=TRUE,"",INDEX(INDIRECT(U39&amp;"_"),MATCH(W39,rangeIE1,0),MATCH(V39,モーター効率!$A$1:$F$1,0))),"")</f>
        <v/>
      </c>
      <c r="Y39" s="726"/>
      <c r="Z39" s="551"/>
      <c r="AA39" s="452" t="str">
        <f t="shared" si="9"/>
        <v/>
      </c>
      <c r="AB39" s="455" t="str">
        <f>IF(AA39="","",AA39*'CO₂係数 '!$I$33)</f>
        <v/>
      </c>
      <c r="AC39" s="456" t="str">
        <f t="shared" ref="AC39:AC44" si="15">IF(OR(P39="",AA39=""),"",P39-AA39)</f>
        <v/>
      </c>
      <c r="AD39" s="457" t="str">
        <f t="shared" ref="AD39:AD44" si="16">IF(OR(Q39="",AB39=""),"",Q39-AB39)</f>
        <v/>
      </c>
      <c r="AE39" s="349" t="e">
        <f t="shared" si="10"/>
        <v>#N/A</v>
      </c>
      <c r="AG39" s="349">
        <f t="shared" ca="1" si="11"/>
        <v>0</v>
      </c>
      <c r="AH39" s="447" t="e">
        <f t="shared" ca="1" si="14"/>
        <v>#DIV/0!</v>
      </c>
      <c r="AI39" s="450">
        <f t="shared" ref="AI39:AI44" si="17">IF(N39="",M39,M39*N39)</f>
        <v>0</v>
      </c>
      <c r="AJ39" s="349">
        <f t="shared" ca="1" si="12"/>
        <v>0</v>
      </c>
      <c r="AK39" s="447" t="e">
        <f t="shared" ca="1" si="13"/>
        <v>#DIV/0!</v>
      </c>
      <c r="AL39" s="461">
        <f t="shared" ref="AL39:AL44" si="18">AI39</f>
        <v>0</v>
      </c>
    </row>
    <row r="40" spans="1:38" ht="20.100000000000001" customHeight="1">
      <c r="A40" s="439">
        <v>11</v>
      </c>
      <c r="B40" s="458"/>
      <c r="C40" s="458"/>
      <c r="D40" s="458"/>
      <c r="E40" s="458"/>
      <c r="F40" s="458"/>
      <c r="G40" s="458"/>
      <c r="H40" s="459"/>
      <c r="I40" s="462" t="str">
        <f ca="1">IFERROR(IF(OR(F40="",H40="",G40="")=TRUE,"",INDEX(INDIRECT(F40&amp;"_"),MATCH(H40,rangeIE1,0),MATCH(G40,モーター効率!$A$1:$F$1,0))),"")</f>
        <v/>
      </c>
      <c r="J40" s="726"/>
      <c r="K40" s="506"/>
      <c r="L40" s="507"/>
      <c r="M40" s="628">
        <f t="shared" si="7"/>
        <v>0</v>
      </c>
      <c r="N40" s="550"/>
      <c r="O40" s="921"/>
      <c r="P40" s="729" t="str">
        <f t="shared" si="8"/>
        <v/>
      </c>
      <c r="Q40" s="453" t="str">
        <f>IF(P40="","",P40*'CO₂係数 '!$I$33)</f>
        <v/>
      </c>
      <c r="R40" s="460"/>
      <c r="S40" s="942"/>
      <c r="T40" s="458"/>
      <c r="U40" s="458"/>
      <c r="V40" s="458"/>
      <c r="W40" s="458"/>
      <c r="X40" s="462" t="str">
        <f ca="1">IFERROR(IF(OR(U40="",W40="",V40="")=TRUE,"",INDEX(INDIRECT(U40&amp;"_"),MATCH(W40,rangeIE1,0),MATCH(V40,モーター効率!$A$1:$F$1,0))),"")</f>
        <v/>
      </c>
      <c r="Y40" s="726"/>
      <c r="Z40" s="551"/>
      <c r="AA40" s="452" t="str">
        <f t="shared" si="9"/>
        <v/>
      </c>
      <c r="AB40" s="455" t="str">
        <f>IF(AA40="","",AA40*'CO₂係数 '!$I$33)</f>
        <v/>
      </c>
      <c r="AC40" s="456" t="str">
        <f t="shared" si="15"/>
        <v/>
      </c>
      <c r="AD40" s="457" t="str">
        <f t="shared" si="16"/>
        <v/>
      </c>
      <c r="AE40" s="349" t="e">
        <f t="shared" si="10"/>
        <v>#N/A</v>
      </c>
      <c r="AG40" s="349">
        <f t="shared" ca="1" si="11"/>
        <v>0</v>
      </c>
      <c r="AH40" s="447" t="e">
        <f t="shared" ca="1" si="14"/>
        <v>#DIV/0!</v>
      </c>
      <c r="AI40" s="450">
        <f t="shared" si="17"/>
        <v>0</v>
      </c>
      <c r="AJ40" s="349">
        <f t="shared" ca="1" si="12"/>
        <v>0</v>
      </c>
      <c r="AK40" s="447" t="e">
        <f t="shared" ca="1" si="13"/>
        <v>#DIV/0!</v>
      </c>
      <c r="AL40" s="461">
        <f t="shared" si="18"/>
        <v>0</v>
      </c>
    </row>
    <row r="41" spans="1:38" ht="20.100000000000001" customHeight="1">
      <c r="A41" s="439">
        <v>12</v>
      </c>
      <c r="B41" s="458"/>
      <c r="C41" s="458"/>
      <c r="D41" s="458"/>
      <c r="E41" s="458"/>
      <c r="F41" s="458"/>
      <c r="G41" s="458"/>
      <c r="H41" s="459"/>
      <c r="I41" s="462" t="str">
        <f ca="1">IFERROR(IF(OR(F41="",H41="",G41="")=TRUE,"",INDEX(INDIRECT(F41&amp;"_"),MATCH(H41,rangeIE1,0),MATCH(G41,モーター効率!$A$1:$F$1,0))),"")</f>
        <v/>
      </c>
      <c r="J41" s="726"/>
      <c r="K41" s="506"/>
      <c r="L41" s="507"/>
      <c r="M41" s="628">
        <f t="shared" si="7"/>
        <v>0</v>
      </c>
      <c r="N41" s="550"/>
      <c r="O41" s="921"/>
      <c r="P41" s="729" t="str">
        <f t="shared" si="8"/>
        <v/>
      </c>
      <c r="Q41" s="453" t="str">
        <f>IF(P41="","",P41*'CO₂係数 '!$I$33)</f>
        <v/>
      </c>
      <c r="R41" s="460"/>
      <c r="S41" s="942"/>
      <c r="T41" s="458"/>
      <c r="U41" s="458"/>
      <c r="V41" s="458"/>
      <c r="W41" s="458"/>
      <c r="X41" s="462" t="str">
        <f ca="1">IFERROR(IF(OR(U41="",W41="",V41="")=TRUE,"",INDEX(INDIRECT(U41&amp;"_"),MATCH(W41,rangeIE1,0),MATCH(V41,モーター効率!$A$1:$F$1,0))),"")</f>
        <v/>
      </c>
      <c r="Y41" s="726"/>
      <c r="Z41" s="551"/>
      <c r="AA41" s="452" t="str">
        <f t="shared" si="9"/>
        <v/>
      </c>
      <c r="AB41" s="455" t="str">
        <f>IF(AA41="","",AA41*'CO₂係数 '!$I$33)</f>
        <v/>
      </c>
      <c r="AC41" s="456" t="str">
        <f t="shared" si="15"/>
        <v/>
      </c>
      <c r="AD41" s="457" t="str">
        <f t="shared" si="16"/>
        <v/>
      </c>
      <c r="AE41" s="349" t="e">
        <f t="shared" si="10"/>
        <v>#N/A</v>
      </c>
      <c r="AG41" s="349">
        <f t="shared" ca="1" si="11"/>
        <v>0</v>
      </c>
      <c r="AH41" s="447" t="e">
        <f t="shared" ca="1" si="14"/>
        <v>#DIV/0!</v>
      </c>
      <c r="AI41" s="450">
        <f t="shared" si="17"/>
        <v>0</v>
      </c>
      <c r="AJ41" s="349">
        <f t="shared" ca="1" si="12"/>
        <v>0</v>
      </c>
      <c r="AK41" s="447" t="e">
        <f t="shared" ca="1" si="13"/>
        <v>#DIV/0!</v>
      </c>
      <c r="AL41" s="461">
        <f t="shared" si="18"/>
        <v>0</v>
      </c>
    </row>
    <row r="42" spans="1:38" ht="20.100000000000001" customHeight="1">
      <c r="A42" s="439">
        <v>13</v>
      </c>
      <c r="B42" s="458"/>
      <c r="C42" s="458"/>
      <c r="D42" s="458"/>
      <c r="E42" s="458"/>
      <c r="F42" s="458"/>
      <c r="G42" s="458"/>
      <c r="H42" s="459"/>
      <c r="I42" s="462" t="str">
        <f ca="1">IFERROR(IF(OR(F42="",H42="",G42="")=TRUE,"",INDEX(INDIRECT(F42&amp;"_"),MATCH(H42,rangeIE1,0),MATCH(G42,モーター効率!$A$1:$F$1,0))),"")</f>
        <v/>
      </c>
      <c r="J42" s="726"/>
      <c r="K42" s="506"/>
      <c r="L42" s="507"/>
      <c r="M42" s="628">
        <f t="shared" si="7"/>
        <v>0</v>
      </c>
      <c r="N42" s="550"/>
      <c r="O42" s="921"/>
      <c r="P42" s="729" t="str">
        <f t="shared" si="8"/>
        <v/>
      </c>
      <c r="Q42" s="453" t="str">
        <f>IF(P42="","",P42*'CO₂係数 '!$I$33)</f>
        <v/>
      </c>
      <c r="R42" s="460"/>
      <c r="S42" s="942"/>
      <c r="T42" s="458"/>
      <c r="U42" s="458"/>
      <c r="V42" s="458"/>
      <c r="W42" s="458"/>
      <c r="X42" s="462" t="str">
        <f ca="1">IFERROR(IF(OR(U42="",W42="",V42="")=TRUE,"",INDEX(INDIRECT(U42&amp;"_"),MATCH(W42,rangeIE1,0),MATCH(V42,モーター効率!$A$1:$F$1,0))),"")</f>
        <v/>
      </c>
      <c r="Y42" s="726"/>
      <c r="Z42" s="551"/>
      <c r="AA42" s="452" t="str">
        <f t="shared" si="9"/>
        <v/>
      </c>
      <c r="AB42" s="455" t="str">
        <f>IF(AA42="","",AA42*'CO₂係数 '!$I$33)</f>
        <v/>
      </c>
      <c r="AC42" s="456" t="str">
        <f t="shared" si="15"/>
        <v/>
      </c>
      <c r="AD42" s="457" t="str">
        <f t="shared" si="16"/>
        <v/>
      </c>
      <c r="AE42" s="349" t="e">
        <f t="shared" si="10"/>
        <v>#N/A</v>
      </c>
      <c r="AG42" s="349">
        <f t="shared" ca="1" si="11"/>
        <v>0</v>
      </c>
      <c r="AH42" s="447" t="e">
        <f t="shared" ca="1" si="14"/>
        <v>#DIV/0!</v>
      </c>
      <c r="AI42" s="450">
        <f t="shared" si="17"/>
        <v>0</v>
      </c>
      <c r="AJ42" s="349">
        <f t="shared" ca="1" si="12"/>
        <v>0</v>
      </c>
      <c r="AK42" s="447" t="e">
        <f t="shared" ca="1" si="13"/>
        <v>#DIV/0!</v>
      </c>
      <c r="AL42" s="461">
        <f t="shared" si="18"/>
        <v>0</v>
      </c>
    </row>
    <row r="43" spans="1:38" ht="20.100000000000001" customHeight="1">
      <c r="A43" s="439">
        <v>14</v>
      </c>
      <c r="B43" s="458"/>
      <c r="C43" s="458"/>
      <c r="D43" s="458"/>
      <c r="E43" s="458"/>
      <c r="F43" s="458"/>
      <c r="G43" s="458"/>
      <c r="H43" s="459"/>
      <c r="I43" s="462" t="str">
        <f ca="1">IFERROR(IF(OR(F43="",H43="",G43="")=TRUE,"",INDEX(INDIRECT(F43&amp;"_"),MATCH(H43,rangeIE1,0),MATCH(G43,モーター効率!$A$1:$F$1,0))),"")</f>
        <v/>
      </c>
      <c r="J43" s="726"/>
      <c r="K43" s="506"/>
      <c r="L43" s="507"/>
      <c r="M43" s="628">
        <f t="shared" si="7"/>
        <v>0</v>
      </c>
      <c r="N43" s="550"/>
      <c r="O43" s="921"/>
      <c r="P43" s="729" t="str">
        <f t="shared" si="8"/>
        <v/>
      </c>
      <c r="Q43" s="453" t="str">
        <f>IF(P43="","",P43*'CO₂係数 '!$I$33)</f>
        <v/>
      </c>
      <c r="R43" s="460"/>
      <c r="S43" s="942"/>
      <c r="T43" s="458"/>
      <c r="U43" s="458"/>
      <c r="V43" s="458"/>
      <c r="W43" s="458"/>
      <c r="X43" s="462" t="str">
        <f ca="1">IFERROR(IF(OR(U43="",W43="",V43="")=TRUE,"",INDEX(INDIRECT(U43&amp;"_"),MATCH(W43,rangeIE1,0),MATCH(V43,モーター効率!$A$1:$F$1,0))),"")</f>
        <v/>
      </c>
      <c r="Y43" s="726"/>
      <c r="Z43" s="551"/>
      <c r="AA43" s="452" t="str">
        <f t="shared" si="9"/>
        <v/>
      </c>
      <c r="AB43" s="455" t="str">
        <f>IF(AA43="","",AA43*'CO₂係数 '!$I$33)</f>
        <v/>
      </c>
      <c r="AC43" s="456" t="str">
        <f t="shared" si="15"/>
        <v/>
      </c>
      <c r="AD43" s="457" t="str">
        <f t="shared" si="16"/>
        <v/>
      </c>
      <c r="AE43" s="349" t="e">
        <f t="shared" si="10"/>
        <v>#N/A</v>
      </c>
      <c r="AG43" s="349">
        <f t="shared" ca="1" si="11"/>
        <v>0</v>
      </c>
      <c r="AH43" s="447" t="e">
        <f t="shared" ca="1" si="14"/>
        <v>#DIV/0!</v>
      </c>
      <c r="AI43" s="450">
        <f t="shared" si="17"/>
        <v>0</v>
      </c>
      <c r="AJ43" s="349">
        <f t="shared" ca="1" si="12"/>
        <v>0</v>
      </c>
      <c r="AK43" s="447" t="e">
        <f t="shared" ca="1" si="13"/>
        <v>#DIV/0!</v>
      </c>
      <c r="AL43" s="461">
        <f t="shared" si="18"/>
        <v>0</v>
      </c>
    </row>
    <row r="44" spans="1:38" ht="20.100000000000001" customHeight="1">
      <c r="A44" s="439">
        <v>15</v>
      </c>
      <c r="B44" s="458"/>
      <c r="C44" s="458"/>
      <c r="D44" s="458"/>
      <c r="E44" s="458"/>
      <c r="F44" s="458"/>
      <c r="G44" s="458"/>
      <c r="H44" s="459"/>
      <c r="I44" s="462" t="str">
        <f ca="1">IFERROR(IF(OR(F44="",H44="",G44="")=TRUE,"",INDEX(INDIRECT(F44&amp;"_"),MATCH(H44,rangeIE1,0),MATCH(G44,モーター効率!$A$1:$F$1,0))),"")</f>
        <v/>
      </c>
      <c r="J44" s="726"/>
      <c r="K44" s="506"/>
      <c r="L44" s="507"/>
      <c r="M44" s="628">
        <f t="shared" si="7"/>
        <v>0</v>
      </c>
      <c r="N44" s="550"/>
      <c r="O44" s="921"/>
      <c r="P44" s="729" t="str">
        <f t="shared" si="8"/>
        <v/>
      </c>
      <c r="Q44" s="453" t="str">
        <f>IF(P44="","",P44*'CO₂係数 '!$I$33)</f>
        <v/>
      </c>
      <c r="R44" s="460"/>
      <c r="S44" s="942"/>
      <c r="T44" s="458"/>
      <c r="U44" s="458"/>
      <c r="V44" s="458"/>
      <c r="W44" s="458"/>
      <c r="X44" s="462" t="str">
        <f ca="1">IFERROR(IF(OR(U44="",W44="",V44="")=TRUE,"",INDEX(INDIRECT(U44&amp;"_"),MATCH(W44,rangeIE1,0),MATCH(V44,モーター効率!$A$1:$F$1,0))),"")</f>
        <v/>
      </c>
      <c r="Y44" s="726"/>
      <c r="Z44" s="551"/>
      <c r="AA44" s="452" t="str">
        <f t="shared" si="9"/>
        <v/>
      </c>
      <c r="AB44" s="455" t="str">
        <f>IF(AA44="","",AA44*'CO₂係数 '!$I$33)</f>
        <v/>
      </c>
      <c r="AC44" s="456" t="str">
        <f t="shared" si="15"/>
        <v/>
      </c>
      <c r="AD44" s="457" t="str">
        <f t="shared" si="16"/>
        <v/>
      </c>
      <c r="AE44" s="349" t="e">
        <f t="shared" si="10"/>
        <v>#N/A</v>
      </c>
      <c r="AG44" s="349">
        <f t="shared" ca="1" si="11"/>
        <v>0</v>
      </c>
      <c r="AH44" s="447" t="e">
        <f t="shared" ca="1" si="14"/>
        <v>#DIV/0!</v>
      </c>
      <c r="AI44" s="450">
        <f t="shared" si="17"/>
        <v>0</v>
      </c>
      <c r="AJ44" s="349">
        <f t="shared" ca="1" si="12"/>
        <v>0</v>
      </c>
      <c r="AK44" s="447" t="e">
        <f t="shared" ca="1" si="13"/>
        <v>#DIV/0!</v>
      </c>
      <c r="AL44" s="461">
        <f t="shared" si="18"/>
        <v>0</v>
      </c>
    </row>
  </sheetData>
  <sheetProtection algorithmName="SHA-512" hashValue="284M2zzNldQoyNGvHUOuDy7zM9/VXG7/mFp8vKbiCGKaLQlhvULMtxyWXzwfRhO44frMb3gYY712T0zL5bL+Tg==" saltValue="n/cfQFLvTbKFPsVPp3K4iA==" spinCount="100000" sheet="1" formatCells="0"/>
  <mergeCells count="24">
    <mergeCell ref="X3:AD3"/>
    <mergeCell ref="I26:J26"/>
    <mergeCell ref="I27:J27"/>
    <mergeCell ref="X26:Y26"/>
    <mergeCell ref="X27:Y27"/>
    <mergeCell ref="U5:AD5"/>
    <mergeCell ref="R7:AD12"/>
    <mergeCell ref="I5:J5"/>
    <mergeCell ref="I6:J6"/>
    <mergeCell ref="I7:J7"/>
    <mergeCell ref="I8:J8"/>
    <mergeCell ref="S26:S27"/>
    <mergeCell ref="G5:H5"/>
    <mergeCell ref="G6:H6"/>
    <mergeCell ref="G7:H7"/>
    <mergeCell ref="G8:H8"/>
    <mergeCell ref="B8:C8"/>
    <mergeCell ref="B5:C5"/>
    <mergeCell ref="B6:C6"/>
    <mergeCell ref="B7:C7"/>
    <mergeCell ref="E5:F5"/>
    <mergeCell ref="E6:F6"/>
    <mergeCell ref="E7:F7"/>
    <mergeCell ref="E8:F8"/>
  </mergeCells>
  <phoneticPr fontId="3"/>
  <conditionalFormatting sqref="AB30:AB44">
    <cfRule type="expression" dxfId="35" priority="19">
      <formula>#REF!="なし"</formula>
    </cfRule>
  </conditionalFormatting>
  <conditionalFormatting sqref="E8 G8 K6:K8">
    <cfRule type="expression" dxfId="34" priority="18">
      <formula>$E$3="なし"</formula>
    </cfRule>
  </conditionalFormatting>
  <conditionalFormatting sqref="W29">
    <cfRule type="cellIs" dxfId="33" priority="12" operator="greaterThan">
      <formula>$H$29</formula>
    </cfRule>
  </conditionalFormatting>
  <conditionalFormatting sqref="R7:S7">
    <cfRule type="expression" dxfId="32" priority="40">
      <formula>OR((W29-H29)&gt;0,COUNTIF($AE$30:$AE$44,"5"))=TRUE</formula>
    </cfRule>
  </conditionalFormatting>
  <conditionalFormatting sqref="K30:L44">
    <cfRule type="expression" dxfId="31" priority="9">
      <formula>$E$3="なし"</formula>
    </cfRule>
  </conditionalFormatting>
  <conditionalFormatting sqref="K28:L28">
    <cfRule type="expression" dxfId="30" priority="8">
      <formula>$E$3="なし"</formula>
    </cfRule>
  </conditionalFormatting>
  <conditionalFormatting sqref="I30:I44">
    <cfRule type="expression" dxfId="29" priority="6">
      <formula>J30&lt;&gt;0</formula>
    </cfRule>
  </conditionalFormatting>
  <conditionalFormatting sqref="X30:X44">
    <cfRule type="expression" dxfId="28" priority="5">
      <formula>Y30&lt;&gt;0</formula>
    </cfRule>
  </conditionalFormatting>
  <conditionalFormatting sqref="J30">
    <cfRule type="expression" dxfId="27" priority="4">
      <formula>AND(H30&lt;&gt;0,I30="",AG30=0)=TRUE</formula>
    </cfRule>
  </conditionalFormatting>
  <conditionalFormatting sqref="J31:J44">
    <cfRule type="expression" dxfId="26" priority="3">
      <formula>AND(H31&lt;&gt;0,I31="",AG31=0)=TRUE</formula>
    </cfRule>
  </conditionalFormatting>
  <conditionalFormatting sqref="Y31:Y44">
    <cfRule type="expression" dxfId="25" priority="1">
      <formula>AND(W31&lt;&gt;0,X31="",AJ31=0)=TRUE</formula>
    </cfRule>
  </conditionalFormatting>
  <dataValidations count="8">
    <dataValidation type="list" allowBlank="1" showInputMessage="1" showErrorMessage="1" sqref="W28 H28" xr:uid="{8FF33163-9A33-43D7-B46B-41F3818E3730}">
      <formula1>INDIRECT("range"&amp;F28)</formula1>
    </dataValidation>
    <dataValidation type="list" allowBlank="1" showInputMessage="1" showErrorMessage="1" sqref="F30:F44 F28 U30:U44 U28" xr:uid="{F11EA0D7-BEA9-49F1-B14C-6E7E577F0A44}">
      <formula1>"IE1,IE2,IE3,IE4"</formula1>
    </dataValidation>
    <dataValidation type="list" allowBlank="1" showInputMessage="1" showErrorMessage="1" sqref="D28" xr:uid="{C0A0B859-93F2-45C2-BCBA-BA542624370A}">
      <formula1>$AI$5:$AI$18</formula1>
    </dataValidation>
    <dataValidation type="list" errorStyle="warning" allowBlank="1" showInputMessage="1" showErrorMessage="1" errorTitle="プルダウンにない出力のモーターの場合" error="手入力の上、根拠となる資料を別途提出してください。" sqref="H30:H44 W30:W44" xr:uid="{D462B470-C475-45B5-B167-E12DDB66B7C6}">
      <formula1>INDIRECT(F30&amp;"_出力")</formula1>
    </dataValidation>
    <dataValidation type="whole" allowBlank="1" showInputMessage="1" showErrorMessage="1" sqref="K30:K44 K28" xr:uid="{2969B85F-D62D-4BDF-8888-995B80F6D0F4}">
      <formula1>0</formula1>
      <formula2>365</formula2>
    </dataValidation>
    <dataValidation type="list" allowBlank="1" showInputMessage="1" showErrorMessage="1" sqref="G28 G30:G44 V30:V44 V28" xr:uid="{ADBEA6A1-BD33-4A0C-BA5E-43957689FFF6}">
      <formula1>"2極,4極,6極,8極"</formula1>
    </dataValidation>
    <dataValidation type="list" allowBlank="1" showInputMessage="1" showErrorMessage="1" sqref="C28 C30:C44" xr:uid="{BF429D5B-6847-48A7-A36C-DD799C18D232}">
      <formula1>$AH$5:$AH$9</formula1>
    </dataValidation>
    <dataValidation type="list" allowBlank="1" showInputMessage="1" showErrorMessage="1" error="対象は2009年までです。それ以降は対象となりません。" sqref="D30:D44" xr:uid="{047C2800-954B-4FA4-9CFD-35C5E2D0A5AE}">
      <formula1>$AI$5:$AI$19</formula1>
    </dataValidation>
  </dataValidations>
  <printOptions horizontalCentered="1"/>
  <pageMargins left="0.59055118110236227" right="0.59055118110236227" top="0.46" bottom="0" header="0.31496062992125984" footer="0.31496062992125984"/>
  <pageSetup paperSize="9" scale="59" orientation="landscape" r:id="rId1"/>
  <headerFooter>
    <oddHeader>&amp;L&amp;10様式第1-1号（別紙）&amp;C&amp;10R5年度_《緊急予算枠》_CO₂削減量算定シート</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3C8E522-E354-441A-ACFD-E4CFD96C9707}">
          <x14:formula1>
            <xm:f>モーター効率!$C$1:$F$1</xm:f>
          </x14:formula1>
          <xm:sqref>G28 G30:G44 V30:V44 V28</xm:sqref>
        </x14:dataValidation>
        <x14:dataValidation type="list" allowBlank="1" showInputMessage="1" showErrorMessage="1" xr:uid="{FA70D2DD-4E6F-4510-BA58-E9D6019AD4F5}">
          <x14:formula1>
            <xm:f>記入方法!$X$18:$X$20</xm:f>
          </x14:formula1>
          <xm:sqref>S30:S44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C3F1D-8905-4970-9FED-19963272253F}">
  <sheetPr codeName="Sheet10">
    <tabColor rgb="FF00B0F0"/>
    <pageSetUpPr fitToPage="1"/>
  </sheetPr>
  <dimension ref="A1:BE82"/>
  <sheetViews>
    <sheetView view="pageBreakPreview" topLeftCell="A3" zoomScaleNormal="100" zoomScaleSheetLayoutView="100" workbookViewId="0">
      <selection activeCell="P24" sqref="P24"/>
    </sheetView>
  </sheetViews>
  <sheetFormatPr defaultColWidth="9" defaultRowHeight="18.75"/>
  <cols>
    <col min="1" max="1" width="3.25" style="130" customWidth="1"/>
    <col min="2" max="2" width="18.125" style="130" customWidth="1"/>
    <col min="3" max="3" width="8.5" style="130" customWidth="1"/>
    <col min="4" max="4" width="8" style="130" customWidth="1"/>
    <col min="5" max="6" width="7.5" style="130" customWidth="1"/>
    <col min="7" max="7" width="8" style="130" customWidth="1"/>
    <col min="8" max="8" width="6.375" style="130" customWidth="1"/>
    <col min="9" max="9" width="7.625" style="130" customWidth="1"/>
    <col min="10" max="10" width="8.375" style="130" customWidth="1"/>
    <col min="11" max="12" width="9.875" style="130" customWidth="1"/>
    <col min="13" max="13" width="8.375" style="130" customWidth="1"/>
    <col min="14" max="14" width="9.25" style="130" customWidth="1"/>
    <col min="15" max="15" width="8" style="130" customWidth="1"/>
    <col min="16" max="16" width="7.375" style="130" customWidth="1"/>
    <col min="17" max="17" width="8.625" style="130" customWidth="1"/>
    <col min="18" max="18" width="8.375" style="130" customWidth="1"/>
    <col min="19" max="19" width="8.625" style="130" customWidth="1"/>
    <col min="20" max="20" width="7.375" style="130" customWidth="1"/>
    <col min="21" max="22" width="5.625" style="130" hidden="1" customWidth="1"/>
    <col min="23" max="27" width="9" style="134" hidden="1" customWidth="1"/>
    <col min="28" max="48" width="9" style="134" customWidth="1"/>
    <col min="49" max="51" width="9" style="134"/>
    <col min="52" max="16384" width="9" style="130"/>
  </cols>
  <sheetData>
    <row r="1" spans="1:51" hidden="1">
      <c r="B1" s="130" t="s">
        <v>936</v>
      </c>
      <c r="C1" s="130" t="s">
        <v>938</v>
      </c>
      <c r="D1" s="130" t="s">
        <v>4</v>
      </c>
      <c r="E1" s="130" t="s">
        <v>941</v>
      </c>
      <c r="F1" s="130" t="s">
        <v>943</v>
      </c>
      <c r="G1" s="130" t="s">
        <v>938</v>
      </c>
      <c r="H1" s="130" t="s">
        <v>4</v>
      </c>
      <c r="I1" s="130" t="s">
        <v>941</v>
      </c>
      <c r="T1" s="130" t="s">
        <v>945</v>
      </c>
      <c r="U1" s="130" t="s">
        <v>947</v>
      </c>
    </row>
    <row r="2" spans="1:51" hidden="1">
      <c r="B2" s="130">
        <f>E7</f>
        <v>0</v>
      </c>
      <c r="C2" s="130">
        <f>G7</f>
        <v>0</v>
      </c>
      <c r="D2" s="130">
        <f>I7</f>
        <v>0</v>
      </c>
      <c r="E2" s="130" t="str">
        <f>K7</f>
        <v/>
      </c>
      <c r="F2" s="130">
        <f>E8</f>
        <v>0</v>
      </c>
      <c r="G2" s="130">
        <f>G8</f>
        <v>0</v>
      </c>
      <c r="H2" s="130">
        <f>I8</f>
        <v>0</v>
      </c>
      <c r="I2" s="130" t="str">
        <f>K8</f>
        <v/>
      </c>
      <c r="T2" s="130" t="str">
        <f>C31</f>
        <v/>
      </c>
      <c r="U2" s="130">
        <f>A33</f>
        <v>0</v>
      </c>
    </row>
    <row r="3" spans="1:51" ht="28.5" customHeight="1">
      <c r="A3" s="67" t="s">
        <v>760</v>
      </c>
      <c r="N3" s="1085">
        <f>CO２削減量算定シート!O7</f>
        <v>0</v>
      </c>
      <c r="O3" s="1086"/>
      <c r="P3" s="1086"/>
      <c r="Q3" s="1086"/>
      <c r="R3" s="1086"/>
      <c r="S3" s="1086"/>
      <c r="T3" s="1087"/>
      <c r="AY3" s="130"/>
    </row>
    <row r="4" spans="1:51">
      <c r="A4" s="129" t="s">
        <v>308</v>
      </c>
      <c r="B4" s="1"/>
      <c r="C4" s="1"/>
      <c r="D4" s="1"/>
      <c r="E4" s="1"/>
      <c r="F4" s="1"/>
      <c r="G4" s="1"/>
      <c r="H4" s="1"/>
      <c r="I4" s="1"/>
      <c r="J4" s="1"/>
      <c r="S4" s="248"/>
      <c r="AY4" s="130"/>
    </row>
    <row r="5" spans="1:51" ht="20.100000000000001" customHeight="1">
      <c r="A5" s="1"/>
      <c r="B5" s="980" t="s">
        <v>0</v>
      </c>
      <c r="C5" s="981"/>
      <c r="D5" s="387" t="s">
        <v>590</v>
      </c>
      <c r="E5" s="980" t="s">
        <v>752</v>
      </c>
      <c r="F5" s="981"/>
      <c r="G5" s="982" t="s">
        <v>751</v>
      </c>
      <c r="H5" s="982"/>
      <c r="I5" s="980" t="s">
        <v>731</v>
      </c>
      <c r="J5" s="1034"/>
      <c r="K5" s="388" t="s">
        <v>754</v>
      </c>
      <c r="Y5" s="134" t="s">
        <v>727</v>
      </c>
      <c r="Z5" s="134" t="s">
        <v>737</v>
      </c>
      <c r="AK5" s="130"/>
      <c r="AL5" s="130"/>
      <c r="AM5" s="130"/>
      <c r="AN5" s="130"/>
      <c r="AO5" s="130"/>
      <c r="AP5" s="130"/>
      <c r="AQ5" s="130"/>
      <c r="AR5" s="130"/>
      <c r="AS5" s="130"/>
      <c r="AT5" s="130"/>
      <c r="AU5" s="130"/>
      <c r="AV5" s="130"/>
      <c r="AW5" s="130"/>
      <c r="AX5" s="130"/>
      <c r="AY5" s="130"/>
    </row>
    <row r="6" spans="1:51" ht="20.100000000000001" customHeight="1">
      <c r="A6" s="1"/>
      <c r="B6" s="1183" t="s">
        <v>753</v>
      </c>
      <c r="C6" s="1184"/>
      <c r="D6" s="412" t="s">
        <v>635</v>
      </c>
      <c r="E6" s="1092">
        <f>J23</f>
        <v>0</v>
      </c>
      <c r="F6" s="1093"/>
      <c r="G6" s="1181">
        <f>K23</f>
        <v>0</v>
      </c>
      <c r="H6" s="1181"/>
      <c r="I6" s="1189">
        <f>L23</f>
        <v>0</v>
      </c>
      <c r="J6" s="1190"/>
      <c r="K6" s="496" t="str">
        <f>IFERROR(I6/E6,"")</f>
        <v/>
      </c>
      <c r="Y6" s="134" t="s">
        <v>728</v>
      </c>
      <c r="Z6" s="134" t="s">
        <v>738</v>
      </c>
      <c r="AK6" s="130"/>
      <c r="AL6" s="130"/>
      <c r="AM6" s="130"/>
      <c r="AN6" s="130"/>
      <c r="AO6" s="130"/>
      <c r="AP6" s="130"/>
      <c r="AQ6" s="130"/>
      <c r="AR6" s="130"/>
      <c r="AS6" s="130"/>
      <c r="AT6" s="130"/>
      <c r="AU6" s="130"/>
      <c r="AV6" s="130"/>
      <c r="AW6" s="130"/>
      <c r="AX6" s="130"/>
      <c r="AY6" s="130"/>
    </row>
    <row r="7" spans="1:51" ht="20.100000000000001" customHeight="1">
      <c r="A7" s="1"/>
      <c r="B7" s="1183" t="s">
        <v>755</v>
      </c>
      <c r="C7" s="1184"/>
      <c r="D7" s="119" t="s">
        <v>479</v>
      </c>
      <c r="E7" s="1185">
        <f>J23*0.495*0.001</f>
        <v>0</v>
      </c>
      <c r="F7" s="1186"/>
      <c r="G7" s="1182">
        <f>K23*0.495*0.001</f>
        <v>0</v>
      </c>
      <c r="H7" s="1182"/>
      <c r="I7" s="1191">
        <f>N23</f>
        <v>0</v>
      </c>
      <c r="J7" s="1192"/>
      <c r="K7" s="496" t="str">
        <f>IFERROR(I7/E7,"")</f>
        <v/>
      </c>
      <c r="Z7" s="134" t="s">
        <v>739</v>
      </c>
      <c r="AK7" s="130"/>
      <c r="AL7" s="130"/>
      <c r="AM7" s="130"/>
      <c r="AN7" s="130"/>
      <c r="AO7" s="130"/>
      <c r="AP7" s="130"/>
      <c r="AQ7" s="130"/>
      <c r="AR7" s="130"/>
      <c r="AS7" s="130"/>
      <c r="AT7" s="130"/>
      <c r="AU7" s="130"/>
      <c r="AV7" s="130"/>
      <c r="AW7" s="130"/>
      <c r="AX7" s="130"/>
      <c r="AY7" s="130"/>
    </row>
    <row r="8" spans="1:51" ht="20.100000000000001" customHeight="1">
      <c r="A8" s="1"/>
      <c r="B8" s="980" t="s">
        <v>756</v>
      </c>
      <c r="C8" s="1034"/>
      <c r="D8" s="119" t="s">
        <v>13</v>
      </c>
      <c r="E8" s="1187">
        <f>E6*9.76*0.0258</f>
        <v>0</v>
      </c>
      <c r="F8" s="1188"/>
      <c r="G8" s="1180">
        <f>G6*9.76*0.0258</f>
        <v>0</v>
      </c>
      <c r="H8" s="1180"/>
      <c r="I8" s="1189">
        <f>I6*9.76*0.0258</f>
        <v>0</v>
      </c>
      <c r="J8" s="1190"/>
      <c r="K8" s="496" t="str">
        <f>IFERROR(I8/E8,"")</f>
        <v/>
      </c>
      <c r="AK8" s="130"/>
      <c r="AL8" s="130"/>
      <c r="AM8" s="130"/>
      <c r="AN8" s="130"/>
      <c r="AO8" s="130"/>
      <c r="AP8" s="130"/>
      <c r="AQ8" s="130"/>
      <c r="AR8" s="130"/>
      <c r="AS8" s="130"/>
      <c r="AT8" s="130"/>
      <c r="AU8" s="130"/>
      <c r="AV8" s="130"/>
      <c r="AW8" s="130"/>
      <c r="AX8" s="130"/>
      <c r="AY8" s="130"/>
    </row>
    <row r="9" spans="1:51" ht="20.100000000000001" customHeight="1">
      <c r="A9" s="1"/>
      <c r="S9" s="251"/>
      <c r="AK9" s="130"/>
      <c r="AL9" s="130"/>
      <c r="AM9" s="130"/>
      <c r="AN9" s="130"/>
      <c r="AO9" s="130"/>
      <c r="AP9" s="130"/>
      <c r="AQ9" s="130"/>
      <c r="AR9" s="130"/>
      <c r="AS9" s="130"/>
      <c r="AT9" s="130"/>
      <c r="AU9" s="130"/>
      <c r="AV9" s="130"/>
      <c r="AW9" s="130"/>
      <c r="AX9" s="130"/>
      <c r="AY9" s="130"/>
    </row>
    <row r="10" spans="1:51" ht="15" customHeight="1">
      <c r="Y10" s="134" t="s">
        <v>741</v>
      </c>
      <c r="AK10" s="130"/>
      <c r="AL10" s="130"/>
      <c r="AM10" s="130"/>
      <c r="AN10" s="130"/>
      <c r="AO10" s="130"/>
      <c r="AP10" s="130"/>
      <c r="AQ10" s="130"/>
      <c r="AR10" s="130"/>
      <c r="AS10" s="130"/>
      <c r="AT10" s="130"/>
      <c r="AU10" s="130"/>
      <c r="AV10" s="130"/>
      <c r="AW10" s="130"/>
      <c r="AX10" s="130"/>
      <c r="AY10" s="130"/>
    </row>
    <row r="11" spans="1:51" ht="20.25" customHeight="1">
      <c r="A11" s="105" t="s">
        <v>309</v>
      </c>
      <c r="Y11" s="134" t="s">
        <v>742</v>
      </c>
      <c r="AK11" s="130"/>
      <c r="AL11" s="130"/>
      <c r="AM11" s="130"/>
      <c r="AN11" s="130"/>
      <c r="AO11" s="130"/>
      <c r="AP11" s="130"/>
      <c r="AQ11" s="130"/>
      <c r="AR11" s="130"/>
      <c r="AS11" s="130"/>
      <c r="AT11" s="130"/>
      <c r="AU11" s="130"/>
      <c r="AV11" s="130"/>
      <c r="AW11" s="130"/>
      <c r="AX11" s="130"/>
      <c r="AY11" s="130"/>
    </row>
    <row r="12" spans="1:51" ht="20.25" customHeight="1">
      <c r="AK12" s="130"/>
      <c r="AL12" s="130"/>
      <c r="AM12" s="130"/>
      <c r="AN12" s="130"/>
      <c r="AO12" s="130"/>
      <c r="AP12" s="130"/>
      <c r="AQ12" s="130"/>
      <c r="AR12" s="130"/>
      <c r="AS12" s="130"/>
      <c r="AT12" s="130"/>
      <c r="AU12" s="130"/>
      <c r="AV12" s="130"/>
      <c r="AW12" s="130"/>
      <c r="AX12" s="130"/>
      <c r="AY12" s="130"/>
    </row>
    <row r="13" spans="1:51" ht="20.25" customHeight="1">
      <c r="Y13" s="134" t="s">
        <v>763</v>
      </c>
      <c r="AK13" s="130"/>
      <c r="AL13" s="130"/>
      <c r="AM13" s="130"/>
      <c r="AN13" s="130"/>
      <c r="AO13" s="130"/>
      <c r="AP13" s="130"/>
      <c r="AQ13" s="130"/>
      <c r="AR13" s="130"/>
      <c r="AS13" s="130"/>
      <c r="AT13" s="130"/>
      <c r="AU13" s="130"/>
      <c r="AV13" s="130"/>
      <c r="AW13" s="130"/>
      <c r="AX13" s="130"/>
      <c r="AY13" s="130"/>
    </row>
    <row r="14" spans="1:51" ht="12" customHeight="1">
      <c r="Y14" s="134" t="s">
        <v>762</v>
      </c>
      <c r="AK14" s="130"/>
      <c r="AL14" s="130"/>
      <c r="AM14" s="130"/>
      <c r="AN14" s="130"/>
      <c r="AO14" s="130"/>
      <c r="AP14" s="130"/>
      <c r="AQ14" s="130"/>
      <c r="AR14" s="130"/>
      <c r="AS14" s="130"/>
      <c r="AT14" s="130"/>
      <c r="AU14" s="130"/>
      <c r="AV14" s="130"/>
      <c r="AW14" s="130"/>
      <c r="AX14" s="130"/>
      <c r="AY14" s="130"/>
    </row>
    <row r="15" spans="1:51" ht="20.100000000000001" customHeight="1">
      <c r="O15" s="771"/>
      <c r="P15" s="771"/>
      <c r="AY15" s="130"/>
    </row>
    <row r="16" spans="1:51" ht="20.100000000000001" customHeight="1">
      <c r="A16" s="207"/>
      <c r="B16" s="313"/>
      <c r="C16" s="313"/>
      <c r="D16" s="313"/>
      <c r="E16" s="313"/>
      <c r="F16" s="313"/>
      <c r="G16" s="314"/>
      <c r="H16" s="314"/>
      <c r="I16" s="314"/>
      <c r="J16" s="314"/>
      <c r="K16" s="314"/>
      <c r="L16" s="314"/>
      <c r="M16" s="315"/>
      <c r="N16" s="315"/>
      <c r="O16" s="314"/>
      <c r="P16" s="246"/>
      <c r="Q16" s="246"/>
      <c r="R16" s="315"/>
      <c r="S16" s="315"/>
      <c r="T16" s="209"/>
      <c r="U16" s="209"/>
      <c r="AY16" s="130"/>
    </row>
    <row r="17" spans="1:51" ht="20.100000000000001" customHeight="1">
      <c r="A17" s="132"/>
      <c r="B17" s="206"/>
      <c r="C17" s="206"/>
      <c r="D17" s="206"/>
      <c r="E17" s="400"/>
      <c r="F17" s="400"/>
      <c r="G17" s="400"/>
      <c r="H17" s="402"/>
      <c r="I17" s="206"/>
      <c r="J17" s="206"/>
      <c r="K17" s="505" t="s">
        <v>769</v>
      </c>
      <c r="L17" s="206"/>
      <c r="M17" s="206"/>
      <c r="N17" s="206"/>
      <c r="O17" s="206"/>
      <c r="P17" s="206"/>
      <c r="Q17" s="206"/>
      <c r="R17" s="206"/>
      <c r="S17" s="206"/>
      <c r="T17" s="209"/>
      <c r="U17" s="209"/>
      <c r="AY17" s="130"/>
    </row>
    <row r="18" spans="1:51" ht="17.25" customHeight="1">
      <c r="A18" s="977" t="s">
        <v>0</v>
      </c>
      <c r="B18" s="213" t="s">
        <v>757</v>
      </c>
      <c r="C18" s="214"/>
      <c r="D18" s="214"/>
      <c r="E18" s="214"/>
      <c r="F18" s="214"/>
      <c r="G18" s="214"/>
      <c r="H18" s="214"/>
      <c r="I18" s="214"/>
      <c r="J18" s="214"/>
      <c r="K18" s="215"/>
      <c r="L18" s="215"/>
      <c r="M18" s="215"/>
      <c r="N18" s="219"/>
      <c r="O18" s="218"/>
      <c r="P18" s="213" t="s">
        <v>733</v>
      </c>
      <c r="Q18" s="214"/>
      <c r="R18" s="214"/>
      <c r="S18" s="214"/>
      <c r="T18" s="555"/>
      <c r="V18" s="133"/>
      <c r="W18" s="133"/>
    </row>
    <row r="19" spans="1:51" ht="15.75" customHeight="1">
      <c r="A19" s="978"/>
      <c r="B19" s="220"/>
      <c r="C19" s="221"/>
      <c r="D19" s="221"/>
      <c r="E19" s="221"/>
      <c r="F19" s="221"/>
      <c r="G19" s="221"/>
      <c r="H19" s="221"/>
      <c r="I19" s="221"/>
      <c r="J19" s="319" t="s">
        <v>49</v>
      </c>
      <c r="K19" s="219"/>
      <c r="L19" s="219"/>
      <c r="M19" s="219"/>
      <c r="N19" s="219"/>
      <c r="O19" s="219"/>
      <c r="P19" s="220"/>
      <c r="Q19" s="221"/>
      <c r="R19" s="221"/>
      <c r="S19" s="221"/>
      <c r="T19" s="222"/>
      <c r="U19" s="134"/>
      <c r="V19" s="134"/>
      <c r="AG19" s="130"/>
      <c r="AH19" s="130"/>
      <c r="AI19" s="130"/>
      <c r="AJ19" s="130"/>
      <c r="AK19" s="130"/>
      <c r="AL19" s="130"/>
      <c r="AM19" s="130"/>
      <c r="AN19" s="130"/>
      <c r="AO19" s="130"/>
      <c r="AP19" s="130"/>
      <c r="AQ19" s="130"/>
      <c r="AR19" s="130"/>
      <c r="AS19" s="130"/>
      <c r="AT19" s="130"/>
      <c r="AU19" s="130"/>
      <c r="AV19" s="130"/>
      <c r="AW19" s="130"/>
      <c r="AX19" s="130"/>
      <c r="AY19" s="130"/>
    </row>
    <row r="20" spans="1:51" ht="35.25" customHeight="1">
      <c r="A20" s="979"/>
      <c r="B20" s="225" t="s">
        <v>15</v>
      </c>
      <c r="C20" s="533" t="s">
        <v>745</v>
      </c>
      <c r="D20" s="533" t="s">
        <v>730</v>
      </c>
      <c r="E20" s="533" t="s">
        <v>729</v>
      </c>
      <c r="F20" s="533" t="s">
        <v>725</v>
      </c>
      <c r="G20" s="533" t="s">
        <v>748</v>
      </c>
      <c r="H20" s="226" t="s">
        <v>735</v>
      </c>
      <c r="I20" s="1115" t="s">
        <v>736</v>
      </c>
      <c r="J20" s="533" t="s">
        <v>743</v>
      </c>
      <c r="K20" s="490" t="s">
        <v>767</v>
      </c>
      <c r="L20" s="533" t="s">
        <v>768</v>
      </c>
      <c r="M20" s="533" t="s">
        <v>740</v>
      </c>
      <c r="N20" s="533" t="s">
        <v>732</v>
      </c>
      <c r="O20" s="533" t="s">
        <v>744</v>
      </c>
      <c r="P20" s="1115" t="s">
        <v>764</v>
      </c>
      <c r="Q20" s="533" t="s">
        <v>746</v>
      </c>
      <c r="R20" s="533" t="s">
        <v>886</v>
      </c>
      <c r="S20" s="533" t="s">
        <v>749</v>
      </c>
      <c r="T20" s="533" t="s">
        <v>750</v>
      </c>
      <c r="U20" s="134"/>
      <c r="V20" s="134"/>
      <c r="AG20" s="130"/>
      <c r="AH20" s="130"/>
      <c r="AI20" s="130"/>
      <c r="AJ20" s="130"/>
      <c r="AK20" s="130"/>
      <c r="AL20" s="130"/>
      <c r="AM20" s="130"/>
      <c r="AN20" s="130"/>
      <c r="AO20" s="130"/>
      <c r="AP20" s="130"/>
      <c r="AQ20" s="130"/>
      <c r="AR20" s="130"/>
      <c r="AS20" s="130"/>
      <c r="AT20" s="130"/>
      <c r="AU20" s="130"/>
      <c r="AV20" s="130"/>
      <c r="AW20" s="130"/>
      <c r="AX20" s="130"/>
      <c r="AY20" s="130"/>
    </row>
    <row r="21" spans="1:51" s="134" customFormat="1" ht="18" customHeight="1">
      <c r="A21" s="126" t="s">
        <v>1</v>
      </c>
      <c r="B21" s="122"/>
      <c r="C21" s="497" t="s">
        <v>631</v>
      </c>
      <c r="D21" s="119" t="s">
        <v>747</v>
      </c>
      <c r="E21" s="119" t="s">
        <v>266</v>
      </c>
      <c r="F21" s="119" t="s">
        <v>726</v>
      </c>
      <c r="G21" s="119" t="s">
        <v>631</v>
      </c>
      <c r="H21" s="119" t="s">
        <v>724</v>
      </c>
      <c r="I21" s="1116"/>
      <c r="J21" s="498" t="s">
        <v>723</v>
      </c>
      <c r="K21" s="498" t="s">
        <v>723</v>
      </c>
      <c r="L21" s="119" t="s">
        <v>639</v>
      </c>
      <c r="M21" s="119" t="s">
        <v>266</v>
      </c>
      <c r="N21" s="119" t="s">
        <v>479</v>
      </c>
      <c r="O21" s="119" t="s">
        <v>266</v>
      </c>
      <c r="P21" s="1116"/>
      <c r="Q21" s="498" t="s">
        <v>57</v>
      </c>
      <c r="R21" s="498" t="s">
        <v>59</v>
      </c>
      <c r="S21" s="119" t="s">
        <v>734</v>
      </c>
      <c r="T21" s="119" t="s">
        <v>734</v>
      </c>
    </row>
    <row r="22" spans="1:51" s="134" customFormat="1" ht="21" customHeight="1">
      <c r="A22" s="343" t="s">
        <v>419</v>
      </c>
      <c r="B22" s="556" t="s">
        <v>1000</v>
      </c>
      <c r="C22" s="538">
        <v>22</v>
      </c>
      <c r="D22" s="607">
        <v>240</v>
      </c>
      <c r="E22" s="584">
        <v>0.23</v>
      </c>
      <c r="F22" s="539">
        <v>104</v>
      </c>
      <c r="G22" s="540">
        <v>22</v>
      </c>
      <c r="H22" s="539">
        <v>260</v>
      </c>
      <c r="I22" s="584" t="s">
        <v>741</v>
      </c>
      <c r="J22" s="539">
        <v>185000</v>
      </c>
      <c r="K22" s="539">
        <v>24010</v>
      </c>
      <c r="L22" s="539">
        <v>17200</v>
      </c>
      <c r="M22" s="491">
        <f>L22/K22</f>
        <v>0.71636817992503121</v>
      </c>
      <c r="N22" s="318">
        <f>IF(L22="","",L22*0.495*0.001)</f>
        <v>8.5139999999999993</v>
      </c>
      <c r="O22" s="494">
        <f>IFERROR(N22/(J22*0.495*0.001),"")</f>
        <v>9.2972972972972967E-2</v>
      </c>
      <c r="P22" s="541" t="s">
        <v>763</v>
      </c>
      <c r="Q22" s="538">
        <v>11.2</v>
      </c>
      <c r="R22" s="557">
        <v>4</v>
      </c>
      <c r="S22" s="535">
        <v>4</v>
      </c>
      <c r="T22" s="535">
        <v>8</v>
      </c>
      <c r="U22" s="134">
        <f>IFERROR(MATCH(P22,$Y$13:$Y$14,0),"")</f>
        <v>1</v>
      </c>
      <c r="V22" s="134" t="str">
        <f>IF(U22=2,"○","")</f>
        <v/>
      </c>
    </row>
    <row r="23" spans="1:51" s="134" customFormat="1" ht="23.25" customHeight="1" thickBot="1">
      <c r="A23" s="675" t="s">
        <v>30</v>
      </c>
      <c r="B23" s="702"/>
      <c r="C23" s="707">
        <f t="shared" ref="C23:F23" si="0">_xlfn.AGGREGATE(9,7,C24:C28)</f>
        <v>0</v>
      </c>
      <c r="D23" s="707">
        <f t="shared" si="0"/>
        <v>0</v>
      </c>
      <c r="E23" s="706"/>
      <c r="F23" s="707">
        <f t="shared" si="0"/>
        <v>0</v>
      </c>
      <c r="G23" s="706"/>
      <c r="H23" s="753"/>
      <c r="I23" s="766"/>
      <c r="J23" s="707">
        <f>_xlfn.AGGREGATE(9,7,J24:J28)</f>
        <v>0</v>
      </c>
      <c r="K23" s="707">
        <f>_xlfn.AGGREGATE(9,7,K24:K28)</f>
        <v>0</v>
      </c>
      <c r="L23" s="707">
        <f>_xlfn.AGGREGATE(9,7,L24:L28)</f>
        <v>0</v>
      </c>
      <c r="M23" s="764" t="str">
        <f>IF(K23=0,"",L23/K23)</f>
        <v/>
      </c>
      <c r="N23" s="708">
        <f>_xlfn.AGGREGATE(9,7,N24:N28)</f>
        <v>0</v>
      </c>
      <c r="O23" s="765" t="str">
        <f t="shared" ref="O23:O28" si="1">IFERROR(N23/(J23*0.495*0.001),"")</f>
        <v/>
      </c>
      <c r="P23" s="703"/>
      <c r="Q23" s="751">
        <f>_xlfn.AGGREGATE(9,7,Q24:Q28)</f>
        <v>0</v>
      </c>
      <c r="R23" s="751">
        <f>_xlfn.AGGREGATE(9,7,R24:R28)</f>
        <v>0</v>
      </c>
      <c r="S23" s="681"/>
      <c r="T23" s="681"/>
      <c r="U23" s="134" t="str">
        <f>IFERROR(MATCH(P23,$Y$13:$Y$14,0),"")</f>
        <v/>
      </c>
    </row>
    <row r="24" spans="1:51" s="134" customFormat="1" ht="24.95" customHeight="1">
      <c r="A24" s="690">
        <v>1</v>
      </c>
      <c r="B24" s="647"/>
      <c r="C24" s="648"/>
      <c r="D24" s="755"/>
      <c r="E24" s="756"/>
      <c r="F24" s="757"/>
      <c r="G24" s="758"/>
      <c r="H24" s="757"/>
      <c r="I24" s="759"/>
      <c r="J24" s="757"/>
      <c r="K24" s="652"/>
      <c r="L24" s="750"/>
      <c r="M24" s="760" t="str">
        <f>IFERROR(L24/K24,"")</f>
        <v/>
      </c>
      <c r="N24" s="665" t="str">
        <f t="shared" ref="N24:N28" si="2">IF(L24="","",L24*0.495*0.001)</f>
        <v/>
      </c>
      <c r="O24" s="761" t="str">
        <f t="shared" si="1"/>
        <v/>
      </c>
      <c r="P24" s="762"/>
      <c r="Q24" s="763"/>
      <c r="R24" s="763"/>
      <c r="S24" s="763"/>
      <c r="T24" s="763"/>
      <c r="U24" s="134" t="str">
        <f>IFERROR(MATCH(P24,$Y$13:$Y$14,0),"")</f>
        <v/>
      </c>
      <c r="V24" s="134" t="str">
        <f t="shared" ref="V24:V28" si="3">IF(U24=2,"○","")</f>
        <v/>
      </c>
    </row>
    <row r="25" spans="1:51" s="134" customFormat="1" ht="24.95" customHeight="1">
      <c r="A25" s="21">
        <v>2</v>
      </c>
      <c r="B25" s="581"/>
      <c r="C25" s="458"/>
      <c r="D25" s="495"/>
      <c r="E25" s="601"/>
      <c r="F25" s="602"/>
      <c r="G25" s="603"/>
      <c r="H25" s="602"/>
      <c r="I25" s="604"/>
      <c r="J25" s="602"/>
      <c r="K25" s="605"/>
      <c r="L25" s="399"/>
      <c r="M25" s="492" t="str">
        <f t="shared" ref="M25:M28" si="4">IFERROR(L25/K25,"")</f>
        <v/>
      </c>
      <c r="N25" s="408" t="str">
        <f t="shared" si="2"/>
        <v/>
      </c>
      <c r="O25" s="493" t="str">
        <f t="shared" si="1"/>
        <v/>
      </c>
      <c r="P25" s="504"/>
      <c r="Q25" s="606"/>
      <c r="R25" s="606"/>
      <c r="S25" s="606"/>
      <c r="T25" s="606"/>
      <c r="U25" s="134" t="str">
        <f t="shared" ref="U25:U28" si="5">IFERROR(MATCH(P25,$Y$13:$Y$14,0),"")</f>
        <v/>
      </c>
      <c r="V25" s="134" t="str">
        <f t="shared" si="3"/>
        <v/>
      </c>
    </row>
    <row r="26" spans="1:51" s="134" customFormat="1" ht="24.95" customHeight="1">
      <c r="A26" s="21">
        <v>3</v>
      </c>
      <c r="B26" s="581"/>
      <c r="C26" s="458"/>
      <c r="D26" s="495"/>
      <c r="E26" s="601"/>
      <c r="F26" s="602"/>
      <c r="G26" s="603"/>
      <c r="H26" s="602"/>
      <c r="I26" s="604"/>
      <c r="J26" s="602"/>
      <c r="K26" s="605"/>
      <c r="L26" s="399"/>
      <c r="M26" s="492" t="str">
        <f t="shared" si="4"/>
        <v/>
      </c>
      <c r="N26" s="408" t="str">
        <f t="shared" si="2"/>
        <v/>
      </c>
      <c r="O26" s="493" t="str">
        <f t="shared" si="1"/>
        <v/>
      </c>
      <c r="P26" s="504"/>
      <c r="Q26" s="606"/>
      <c r="R26" s="606"/>
      <c r="S26" s="606"/>
      <c r="T26" s="606"/>
      <c r="U26" s="134" t="str">
        <f t="shared" si="5"/>
        <v/>
      </c>
      <c r="V26" s="134" t="str">
        <f t="shared" si="3"/>
        <v/>
      </c>
    </row>
    <row r="27" spans="1:51" s="134" customFormat="1" ht="24.95" customHeight="1">
      <c r="A27" s="21">
        <v>4</v>
      </c>
      <c r="B27" s="581"/>
      <c r="C27" s="458"/>
      <c r="D27" s="495"/>
      <c r="E27" s="601"/>
      <c r="F27" s="602"/>
      <c r="G27" s="603"/>
      <c r="H27" s="602"/>
      <c r="I27" s="604"/>
      <c r="J27" s="602"/>
      <c r="K27" s="605"/>
      <c r="L27" s="399"/>
      <c r="M27" s="492" t="str">
        <f t="shared" si="4"/>
        <v/>
      </c>
      <c r="N27" s="408" t="str">
        <f t="shared" si="2"/>
        <v/>
      </c>
      <c r="O27" s="493" t="str">
        <f t="shared" si="1"/>
        <v/>
      </c>
      <c r="P27" s="504"/>
      <c r="Q27" s="606"/>
      <c r="R27" s="606"/>
      <c r="S27" s="606"/>
      <c r="T27" s="606"/>
      <c r="U27" s="134" t="str">
        <f t="shared" si="5"/>
        <v/>
      </c>
      <c r="V27" s="134" t="str">
        <f t="shared" si="3"/>
        <v/>
      </c>
    </row>
    <row r="28" spans="1:51" s="134" customFormat="1" ht="24.95" customHeight="1">
      <c r="A28" s="21">
        <v>5</v>
      </c>
      <c r="B28" s="581"/>
      <c r="C28" s="458"/>
      <c r="D28" s="495"/>
      <c r="E28" s="601"/>
      <c r="F28" s="602"/>
      <c r="G28" s="603"/>
      <c r="H28" s="602"/>
      <c r="I28" s="604"/>
      <c r="J28" s="602"/>
      <c r="K28" s="605"/>
      <c r="L28" s="399"/>
      <c r="M28" s="492" t="str">
        <f t="shared" si="4"/>
        <v/>
      </c>
      <c r="N28" s="408" t="str">
        <f t="shared" si="2"/>
        <v/>
      </c>
      <c r="O28" s="493" t="str">
        <f t="shared" si="1"/>
        <v/>
      </c>
      <c r="P28" s="504"/>
      <c r="Q28" s="606"/>
      <c r="R28" s="606"/>
      <c r="S28" s="606"/>
      <c r="T28" s="606"/>
      <c r="U28" s="134" t="str">
        <f t="shared" si="5"/>
        <v/>
      </c>
      <c r="V28" s="134" t="str">
        <f t="shared" si="3"/>
        <v/>
      </c>
    </row>
    <row r="29" spans="1:51" s="134" customFormat="1" ht="12.75" customHeight="1">
      <c r="A29" s="133"/>
      <c r="B29" s="133"/>
      <c r="C29" s="133"/>
      <c r="D29" s="133"/>
      <c r="E29" s="133"/>
      <c r="F29" s="133"/>
      <c r="G29" s="133"/>
      <c r="H29" s="189"/>
      <c r="I29" s="189"/>
      <c r="J29" s="189"/>
      <c r="K29" s="189"/>
      <c r="L29" s="189"/>
      <c r="M29" s="317"/>
      <c r="N29" s="317"/>
      <c r="O29" s="172"/>
      <c r="P29" s="172"/>
      <c r="Q29" s="172"/>
      <c r="R29" s="172"/>
      <c r="S29" s="172"/>
    </row>
    <row r="30" spans="1:51" s="134" customFormat="1" ht="18" customHeight="1">
      <c r="A30" s="499" t="s">
        <v>759</v>
      </c>
      <c r="B30" s="499"/>
      <c r="C30" s="500"/>
      <c r="D30" s="499"/>
      <c r="E30" s="501"/>
      <c r="F30" s="502"/>
      <c r="G30" s="501"/>
      <c r="H30" s="503"/>
      <c r="I30" s="503"/>
      <c r="J30" s="503"/>
      <c r="K30" s="503"/>
      <c r="L30" s="503"/>
      <c r="M30" s="130"/>
      <c r="N30" s="130"/>
      <c r="O30" s="130"/>
      <c r="P30" s="130"/>
      <c r="Q30" s="175"/>
      <c r="R30" s="133"/>
      <c r="S30" s="133"/>
      <c r="U30" s="137"/>
      <c r="V30" s="137"/>
      <c r="W30" s="137"/>
      <c r="X30" s="150"/>
      <c r="AA30" s="147"/>
      <c r="AB30" s="147"/>
      <c r="AD30" s="254"/>
      <c r="AE30" s="150"/>
    </row>
    <row r="31" spans="1:51" s="134" customFormat="1" ht="18" customHeight="1">
      <c r="A31" s="986" t="s">
        <v>758</v>
      </c>
      <c r="B31" s="1139"/>
      <c r="C31" s="998" t="str">
        <f>IFERROR(IF(OR(AND(M23&lt;0.65,M23&gt;0)=TRUE,VALUE(M23)&gt;1,AND(O23&gt;0,O23&lt;0.05)=TRUE,VALUE(O23)&gt;1),"自家消費電力比率やCO₂削減率が非常に小さいようです。確認し、変更なければ下欄に事由を記載してください。","")&amp;IF(COUNTIF(V24:V28,"○")&gt;0,"太陽光の蓄電用途ですか？系統側に設置する理由は何でしょうか？",""),"")</f>
        <v/>
      </c>
      <c r="D31" s="999"/>
      <c r="E31" s="999"/>
      <c r="F31" s="999"/>
      <c r="G31" s="999"/>
      <c r="H31" s="999"/>
      <c r="I31" s="999"/>
      <c r="J31" s="999"/>
      <c r="K31" s="999"/>
      <c r="L31" s="999"/>
      <c r="M31" s="999"/>
      <c r="N31" s="999"/>
      <c r="O31" s="999"/>
      <c r="P31" s="1000"/>
      <c r="Q31" s="180"/>
      <c r="R31" s="133"/>
      <c r="S31" s="133"/>
      <c r="U31" s="137" t="e">
        <f>IF(OR(AND(M23&lt;0.65,M23&gt;0)=TRUE,VALUE(M23)&gt;1,AND(O23&gt;0,O23&lt;0.05)=TRUE,VALUE(O23)&gt;1,COUNTIF(V24:V28,"○")&gt;0),TRUE,"")</f>
        <v>#VALUE!</v>
      </c>
      <c r="V31" s="137"/>
      <c r="W31" s="150"/>
      <c r="Z31" s="147"/>
      <c r="AA31" s="147"/>
      <c r="AC31" s="254"/>
      <c r="AD31" s="150"/>
    </row>
    <row r="32" spans="1:51" s="134" customFormat="1" ht="18" customHeight="1">
      <c r="A32" s="18" t="s">
        <v>683</v>
      </c>
      <c r="B32" s="17"/>
      <c r="C32" s="17"/>
      <c r="D32" s="17"/>
      <c r="E32" s="107"/>
      <c r="F32" s="107"/>
      <c r="G32" s="107"/>
      <c r="H32" s="107"/>
      <c r="I32" s="107"/>
      <c r="J32" s="107"/>
      <c r="K32" s="107"/>
      <c r="L32" s="107"/>
      <c r="M32" s="107"/>
      <c r="N32" s="107"/>
      <c r="O32" s="107"/>
      <c r="P32" s="108"/>
      <c r="Q32" s="175"/>
      <c r="T32" s="137"/>
      <c r="U32" s="137"/>
      <c r="V32" s="137"/>
      <c r="X32" s="255"/>
      <c r="Z32" s="147"/>
      <c r="AB32" s="255"/>
      <c r="AC32" s="254"/>
      <c r="AE32" s="255"/>
    </row>
    <row r="33" spans="1:47" s="134" customFormat="1" ht="18" customHeight="1">
      <c r="A33" s="1171"/>
      <c r="B33" s="1172"/>
      <c r="C33" s="1172"/>
      <c r="D33" s="1172"/>
      <c r="E33" s="1172"/>
      <c r="F33" s="1172"/>
      <c r="G33" s="1172"/>
      <c r="H33" s="1172"/>
      <c r="I33" s="1172"/>
      <c r="J33" s="1172"/>
      <c r="K33" s="1172"/>
      <c r="L33" s="1172"/>
      <c r="M33" s="1172"/>
      <c r="N33" s="1172"/>
      <c r="O33" s="1172"/>
      <c r="P33" s="1173"/>
      <c r="Q33" s="188"/>
      <c r="R33" s="175"/>
      <c r="S33" s="175"/>
      <c r="T33" s="137"/>
      <c r="U33" s="137"/>
      <c r="V33" s="137"/>
      <c r="AK33" s="256"/>
      <c r="AL33" s="256"/>
      <c r="AM33" s="256"/>
      <c r="AN33" s="256"/>
      <c r="AO33" s="256"/>
      <c r="AP33" s="256"/>
      <c r="AQ33" s="256"/>
      <c r="AR33" s="256"/>
      <c r="AS33" s="256"/>
      <c r="AT33" s="256"/>
    </row>
    <row r="34" spans="1:47" s="134" customFormat="1" ht="18" customHeight="1">
      <c r="A34" s="1174"/>
      <c r="B34" s="1175"/>
      <c r="C34" s="1175"/>
      <c r="D34" s="1175"/>
      <c r="E34" s="1175"/>
      <c r="F34" s="1175"/>
      <c r="G34" s="1175"/>
      <c r="H34" s="1175"/>
      <c r="I34" s="1175"/>
      <c r="J34" s="1175"/>
      <c r="K34" s="1175"/>
      <c r="L34" s="1175"/>
      <c r="M34" s="1175"/>
      <c r="N34" s="1175"/>
      <c r="O34" s="1175"/>
      <c r="P34" s="1176"/>
      <c r="Q34" s="188"/>
      <c r="R34" s="175"/>
      <c r="S34" s="175"/>
      <c r="T34" s="137"/>
      <c r="U34" s="137"/>
      <c r="V34" s="137"/>
      <c r="AK34" s="256"/>
      <c r="AL34" s="257"/>
      <c r="AM34" s="256"/>
      <c r="AN34" s="256"/>
      <c r="AO34" s="256"/>
      <c r="AP34" s="256"/>
      <c r="AQ34" s="256"/>
      <c r="AR34" s="256"/>
      <c r="AS34" s="256"/>
      <c r="AT34" s="256"/>
    </row>
    <row r="35" spans="1:47" s="134" customFormat="1" ht="18" customHeight="1">
      <c r="A35" s="1174"/>
      <c r="B35" s="1175"/>
      <c r="C35" s="1175"/>
      <c r="D35" s="1175"/>
      <c r="E35" s="1175"/>
      <c r="F35" s="1175"/>
      <c r="G35" s="1175"/>
      <c r="H35" s="1175"/>
      <c r="I35" s="1175"/>
      <c r="J35" s="1175"/>
      <c r="K35" s="1175"/>
      <c r="L35" s="1175"/>
      <c r="M35" s="1175"/>
      <c r="N35" s="1175"/>
      <c r="O35" s="1175"/>
      <c r="P35" s="1176"/>
      <c r="T35" s="137"/>
      <c r="U35" s="137"/>
      <c r="V35" s="137"/>
      <c r="AK35" s="256"/>
      <c r="AL35" s="257"/>
      <c r="AM35" s="256"/>
      <c r="AN35" s="256"/>
      <c r="AO35" s="256"/>
      <c r="AP35" s="256"/>
      <c r="AQ35" s="256"/>
      <c r="AR35" s="256"/>
      <c r="AS35" s="256"/>
      <c r="AT35" s="256"/>
    </row>
    <row r="36" spans="1:47" s="134" customFormat="1" ht="18" customHeight="1">
      <c r="A36" s="1174"/>
      <c r="B36" s="1175"/>
      <c r="C36" s="1175"/>
      <c r="D36" s="1175"/>
      <c r="E36" s="1175"/>
      <c r="F36" s="1175"/>
      <c r="G36" s="1175"/>
      <c r="H36" s="1175"/>
      <c r="I36" s="1175"/>
      <c r="J36" s="1175"/>
      <c r="K36" s="1175"/>
      <c r="L36" s="1175"/>
      <c r="M36" s="1175"/>
      <c r="N36" s="1175"/>
      <c r="O36" s="1175"/>
      <c r="P36" s="1176"/>
      <c r="T36" s="137"/>
      <c r="U36" s="137"/>
      <c r="V36" s="137"/>
      <c r="AK36" s="256"/>
      <c r="AL36" s="256"/>
      <c r="AM36" s="256"/>
      <c r="AN36" s="256"/>
      <c r="AO36" s="256"/>
      <c r="AP36" s="256"/>
      <c r="AQ36" s="256"/>
      <c r="AR36" s="256"/>
      <c r="AS36" s="256"/>
      <c r="AT36" s="256"/>
    </row>
    <row r="37" spans="1:47" s="134" customFormat="1" ht="18" customHeight="1">
      <c r="A37" s="1174"/>
      <c r="B37" s="1175"/>
      <c r="C37" s="1175"/>
      <c r="D37" s="1175"/>
      <c r="E37" s="1175"/>
      <c r="F37" s="1175"/>
      <c r="G37" s="1175"/>
      <c r="H37" s="1175"/>
      <c r="I37" s="1175"/>
      <c r="J37" s="1175"/>
      <c r="K37" s="1175"/>
      <c r="L37" s="1175"/>
      <c r="M37" s="1175"/>
      <c r="N37" s="1175"/>
      <c r="O37" s="1175"/>
      <c r="P37" s="1176"/>
      <c r="T37" s="137"/>
      <c r="U37" s="137"/>
      <c r="V37" s="137"/>
      <c r="AH37" s="164"/>
      <c r="AK37" s="256"/>
      <c r="AL37" s="256"/>
      <c r="AM37" s="256"/>
      <c r="AN37" s="256"/>
      <c r="AO37" s="256"/>
      <c r="AP37" s="256"/>
      <c r="AQ37" s="256"/>
      <c r="AR37" s="256"/>
      <c r="AS37" s="256"/>
      <c r="AT37" s="256"/>
    </row>
    <row r="38" spans="1:47" s="134" customFormat="1" ht="15" customHeight="1">
      <c r="A38" s="1177"/>
      <c r="B38" s="1178"/>
      <c r="C38" s="1178"/>
      <c r="D38" s="1178"/>
      <c r="E38" s="1178"/>
      <c r="F38" s="1178"/>
      <c r="G38" s="1178"/>
      <c r="H38" s="1178"/>
      <c r="I38" s="1178"/>
      <c r="J38" s="1178"/>
      <c r="K38" s="1178"/>
      <c r="L38" s="1178"/>
      <c r="M38" s="1178"/>
      <c r="N38" s="1178"/>
      <c r="O38" s="1178"/>
      <c r="P38" s="1179"/>
      <c r="T38" s="137"/>
      <c r="U38" s="130"/>
      <c r="V38" s="130"/>
      <c r="AI38" s="164"/>
      <c r="AL38" s="256"/>
      <c r="AM38" s="256"/>
      <c r="AN38" s="256"/>
      <c r="AO38" s="256"/>
      <c r="AP38" s="258"/>
      <c r="AQ38" s="258"/>
      <c r="AR38" s="258"/>
      <c r="AS38" s="259"/>
      <c r="AT38" s="259"/>
      <c r="AU38" s="259"/>
    </row>
    <row r="39" spans="1:47" s="134" customFormat="1" ht="15" customHeight="1">
      <c r="A39" s="130"/>
      <c r="B39" s="130"/>
      <c r="C39" s="130"/>
      <c r="D39" s="130"/>
      <c r="E39" s="130"/>
      <c r="F39" s="130"/>
      <c r="T39" s="136"/>
      <c r="U39" s="137"/>
      <c r="V39" s="137"/>
      <c r="W39" s="231"/>
      <c r="X39" s="261"/>
      <c r="Y39" s="261"/>
      <c r="Z39" s="169"/>
      <c r="AI39" s="164"/>
      <c r="AL39" s="256"/>
      <c r="AM39" s="256"/>
      <c r="AN39" s="256"/>
      <c r="AO39" s="256"/>
      <c r="AP39" s="258"/>
      <c r="AQ39" s="258"/>
      <c r="AR39" s="258"/>
      <c r="AS39" s="259"/>
      <c r="AT39" s="259"/>
      <c r="AU39" s="259"/>
    </row>
    <row r="40" spans="1:47" s="134" customFormat="1" ht="15" customHeight="1">
      <c r="A40" s="130"/>
      <c r="B40" s="130"/>
      <c r="C40" s="130"/>
      <c r="D40" s="130"/>
      <c r="E40" s="130"/>
      <c r="F40" s="130"/>
      <c r="G40" s="130"/>
      <c r="H40" s="130"/>
      <c r="I40" s="130"/>
      <c r="J40" s="130"/>
      <c r="K40" s="130"/>
      <c r="L40" s="130"/>
      <c r="M40" s="130"/>
      <c r="N40" s="130"/>
      <c r="O40" s="130"/>
      <c r="P40" s="130"/>
      <c r="Q40" s="130"/>
      <c r="R40" s="130"/>
      <c r="S40" s="130"/>
      <c r="T40" s="136"/>
      <c r="U40" s="137"/>
      <c r="V40" s="137"/>
      <c r="W40" s="169"/>
      <c r="X40" s="169"/>
      <c r="Y40" s="169"/>
      <c r="Z40" s="169"/>
      <c r="AI40" s="164"/>
      <c r="AL40" s="256"/>
      <c r="AM40" s="256"/>
      <c r="AN40" s="256"/>
      <c r="AO40" s="256"/>
      <c r="AP40" s="258"/>
      <c r="AQ40" s="258"/>
      <c r="AR40" s="258"/>
      <c r="AS40" s="259"/>
      <c r="AT40" s="259"/>
      <c r="AU40" s="259"/>
    </row>
    <row r="41" spans="1:47" s="134" customFormat="1" ht="15" customHeight="1">
      <c r="A41" s="130"/>
      <c r="B41" s="130"/>
      <c r="C41" s="130"/>
      <c r="D41" s="130"/>
      <c r="E41" s="130"/>
      <c r="F41" s="130"/>
      <c r="G41" s="130"/>
      <c r="H41" s="130"/>
      <c r="I41" s="130"/>
      <c r="J41" s="130"/>
      <c r="K41" s="130"/>
      <c r="L41" s="130"/>
      <c r="M41" s="130"/>
      <c r="N41" s="130"/>
      <c r="O41" s="130"/>
      <c r="P41" s="130"/>
      <c r="Q41" s="130"/>
      <c r="R41" s="130"/>
      <c r="S41" s="130"/>
      <c r="T41" s="136"/>
      <c r="U41" s="137"/>
      <c r="V41" s="137"/>
      <c r="W41" s="169"/>
      <c r="X41" s="169"/>
      <c r="Y41" s="169"/>
      <c r="Z41" s="169"/>
      <c r="AI41" s="164"/>
      <c r="AL41" s="256"/>
      <c r="AM41" s="256"/>
      <c r="AN41" s="256"/>
      <c r="AO41" s="256"/>
      <c r="AP41" s="258"/>
      <c r="AQ41" s="258"/>
      <c r="AR41" s="258"/>
      <c r="AS41" s="259"/>
      <c r="AT41" s="259"/>
      <c r="AU41" s="259"/>
    </row>
    <row r="42" spans="1:47" s="134" customFormat="1" ht="15" customHeight="1">
      <c r="A42" s="130"/>
      <c r="B42" s="130"/>
      <c r="C42" s="130"/>
      <c r="D42" s="130"/>
      <c r="E42" s="130"/>
      <c r="F42" s="130"/>
      <c r="G42" s="130"/>
      <c r="H42" s="130"/>
      <c r="I42" s="130"/>
      <c r="J42" s="130"/>
      <c r="K42" s="130"/>
      <c r="L42" s="130"/>
      <c r="M42" s="130"/>
      <c r="N42" s="130"/>
      <c r="O42" s="130"/>
      <c r="P42" s="130"/>
      <c r="Q42" s="130"/>
      <c r="R42" s="130"/>
      <c r="S42" s="130"/>
      <c r="T42" s="136"/>
      <c r="U42" s="137"/>
      <c r="V42" s="137"/>
      <c r="W42" s="169"/>
      <c r="X42" s="169"/>
      <c r="Y42" s="169"/>
      <c r="Z42" s="169"/>
      <c r="AI42" s="164"/>
      <c r="AL42" s="256"/>
      <c r="AM42" s="256"/>
      <c r="AN42" s="256"/>
      <c r="AO42" s="256"/>
      <c r="AP42" s="258"/>
      <c r="AQ42" s="258"/>
      <c r="AR42" s="258"/>
      <c r="AS42" s="259"/>
      <c r="AT42" s="259"/>
      <c r="AU42" s="259"/>
    </row>
    <row r="43" spans="1:47" s="134" customFormat="1" ht="15" customHeight="1">
      <c r="A43" s="130"/>
      <c r="B43" s="130"/>
      <c r="C43" s="130"/>
      <c r="D43" s="130"/>
      <c r="E43" s="130"/>
      <c r="F43" s="130"/>
      <c r="G43" s="130"/>
      <c r="H43" s="130"/>
      <c r="I43" s="130"/>
      <c r="J43" s="130"/>
      <c r="K43" s="130"/>
      <c r="L43" s="130"/>
      <c r="M43" s="130"/>
      <c r="N43" s="130"/>
      <c r="O43" s="130"/>
      <c r="P43" s="130"/>
      <c r="Q43" s="130"/>
      <c r="R43" s="130"/>
      <c r="S43" s="130"/>
      <c r="T43" s="136"/>
      <c r="U43" s="137"/>
      <c r="V43" s="137"/>
      <c r="W43" s="169"/>
      <c r="X43" s="169"/>
      <c r="Y43" s="169"/>
      <c r="Z43" s="169"/>
      <c r="AI43" s="164"/>
      <c r="AL43" s="256"/>
      <c r="AM43" s="256"/>
      <c r="AN43" s="256"/>
      <c r="AO43" s="256"/>
      <c r="AP43" s="258"/>
      <c r="AQ43" s="258"/>
      <c r="AR43" s="258"/>
      <c r="AS43" s="259"/>
      <c r="AT43" s="259"/>
      <c r="AU43" s="259"/>
    </row>
    <row r="44" spans="1:47" s="134" customFormat="1" ht="15" customHeight="1">
      <c r="A44" s="130"/>
      <c r="B44" s="130"/>
      <c r="C44" s="130"/>
      <c r="D44" s="130"/>
      <c r="E44" s="130"/>
      <c r="F44" s="130"/>
      <c r="G44" s="130"/>
      <c r="H44" s="130"/>
      <c r="I44" s="130"/>
      <c r="J44" s="130"/>
      <c r="K44" s="130"/>
      <c r="L44" s="130"/>
      <c r="M44" s="130"/>
      <c r="N44" s="130"/>
      <c r="O44" s="130"/>
      <c r="P44" s="130"/>
      <c r="Q44" s="130"/>
      <c r="R44" s="130"/>
      <c r="S44" s="130"/>
      <c r="T44" s="136"/>
      <c r="U44" s="137"/>
      <c r="V44" s="137"/>
      <c r="W44" s="169"/>
      <c r="X44" s="169"/>
      <c r="Y44" s="169"/>
      <c r="Z44" s="169"/>
      <c r="AI44" s="164"/>
      <c r="AL44" s="256"/>
      <c r="AM44" s="256"/>
      <c r="AN44" s="256"/>
      <c r="AO44" s="256"/>
      <c r="AP44" s="258"/>
      <c r="AQ44" s="258"/>
      <c r="AR44" s="258"/>
      <c r="AS44" s="259"/>
      <c r="AT44" s="259"/>
      <c r="AU44" s="259"/>
    </row>
    <row r="45" spans="1:47" s="134" customFormat="1" ht="15" customHeight="1">
      <c r="A45" s="130"/>
      <c r="B45" s="130"/>
      <c r="C45" s="130"/>
      <c r="D45" s="130"/>
      <c r="E45" s="130"/>
      <c r="F45" s="130"/>
      <c r="G45" s="130"/>
      <c r="H45" s="130"/>
      <c r="I45" s="130"/>
      <c r="J45" s="130"/>
      <c r="K45" s="130"/>
      <c r="L45" s="130"/>
      <c r="M45" s="130"/>
      <c r="N45" s="130"/>
      <c r="O45" s="130"/>
      <c r="P45" s="130"/>
      <c r="Q45" s="130"/>
      <c r="R45" s="130"/>
      <c r="S45" s="130"/>
      <c r="T45" s="136"/>
      <c r="U45" s="137"/>
      <c r="V45" s="137"/>
      <c r="W45" s="169"/>
      <c r="X45" s="169"/>
      <c r="Y45" s="169"/>
      <c r="Z45" s="169"/>
      <c r="AI45" s="164"/>
      <c r="AL45" s="256"/>
      <c r="AM45" s="256"/>
      <c r="AN45" s="256"/>
      <c r="AO45" s="256"/>
      <c r="AP45" s="258"/>
      <c r="AQ45" s="262"/>
      <c r="AR45" s="258"/>
      <c r="AS45" s="259"/>
      <c r="AT45" s="263"/>
      <c r="AU45" s="259"/>
    </row>
    <row r="46" spans="1:47" s="134" customFormat="1" ht="15" customHeight="1">
      <c r="A46" s="130"/>
      <c r="B46" s="130"/>
      <c r="C46" s="130"/>
      <c r="D46" s="130"/>
      <c r="E46" s="130"/>
      <c r="F46" s="130"/>
      <c r="G46" s="130"/>
      <c r="H46" s="130"/>
      <c r="I46" s="130"/>
      <c r="J46" s="130"/>
      <c r="K46" s="130"/>
      <c r="L46" s="130"/>
      <c r="M46" s="130"/>
      <c r="N46" s="130"/>
      <c r="O46" s="130"/>
      <c r="P46" s="130"/>
      <c r="Q46" s="130"/>
      <c r="R46" s="130"/>
      <c r="S46" s="130"/>
      <c r="T46" s="136"/>
      <c r="U46" s="137"/>
      <c r="V46" s="137"/>
      <c r="W46" s="169"/>
      <c r="X46" s="169"/>
      <c r="Y46" s="169"/>
      <c r="Z46" s="169"/>
      <c r="AI46" s="164"/>
      <c r="AL46" s="256"/>
      <c r="AM46" s="256"/>
      <c r="AN46" s="256"/>
      <c r="AO46" s="256"/>
      <c r="AP46" s="258"/>
      <c r="AQ46" s="258"/>
      <c r="AR46" s="258"/>
      <c r="AS46" s="259"/>
      <c r="AT46" s="259"/>
      <c r="AU46" s="259"/>
    </row>
    <row r="47" spans="1:47" s="134" customFormat="1" ht="15" customHeight="1">
      <c r="A47" s="130"/>
      <c r="B47" s="130"/>
      <c r="C47" s="130"/>
      <c r="D47" s="130"/>
      <c r="E47" s="130"/>
      <c r="F47" s="130"/>
      <c r="G47" s="130"/>
      <c r="H47" s="130"/>
      <c r="I47" s="130"/>
      <c r="J47" s="130"/>
      <c r="K47" s="130"/>
      <c r="L47" s="130"/>
      <c r="M47" s="130"/>
      <c r="N47" s="130"/>
      <c r="O47" s="130"/>
      <c r="P47" s="130"/>
      <c r="Q47" s="130"/>
      <c r="R47" s="130"/>
      <c r="S47" s="130"/>
      <c r="T47" s="136"/>
      <c r="U47" s="137"/>
      <c r="V47" s="137"/>
      <c r="W47" s="169"/>
      <c r="X47" s="169"/>
      <c r="Y47" s="169"/>
      <c r="Z47" s="169"/>
      <c r="AI47" s="164"/>
      <c r="AL47" s="256"/>
      <c r="AM47" s="256"/>
      <c r="AN47" s="256"/>
      <c r="AO47" s="256"/>
      <c r="AP47" s="258"/>
      <c r="AQ47" s="258"/>
      <c r="AR47" s="258"/>
      <c r="AS47" s="259"/>
      <c r="AT47" s="259"/>
      <c r="AU47" s="259"/>
    </row>
    <row r="48" spans="1:47" s="134" customFormat="1" ht="15" customHeight="1">
      <c r="A48" s="130"/>
      <c r="B48" s="130"/>
      <c r="C48" s="130"/>
      <c r="D48" s="130"/>
      <c r="E48" s="130"/>
      <c r="F48" s="130"/>
      <c r="G48" s="130"/>
      <c r="H48" s="130"/>
      <c r="I48" s="130"/>
      <c r="J48" s="130"/>
      <c r="K48" s="130"/>
      <c r="L48" s="130"/>
      <c r="M48" s="130"/>
      <c r="N48" s="130"/>
      <c r="O48" s="130"/>
      <c r="P48" s="130"/>
      <c r="Q48" s="130"/>
      <c r="R48" s="130"/>
      <c r="S48" s="130"/>
      <c r="T48" s="136"/>
      <c r="U48" s="137"/>
      <c r="V48" s="137"/>
      <c r="W48" s="169"/>
      <c r="X48" s="169"/>
      <c r="Y48" s="169"/>
      <c r="Z48" s="169"/>
      <c r="AI48" s="164"/>
      <c r="AL48" s="256"/>
      <c r="AM48" s="256"/>
      <c r="AN48" s="256"/>
      <c r="AO48" s="256"/>
      <c r="AP48" s="258"/>
      <c r="AQ48" s="258"/>
      <c r="AR48" s="258"/>
      <c r="AS48" s="259"/>
      <c r="AT48" s="259"/>
      <c r="AU48" s="259"/>
    </row>
    <row r="49" spans="1:47" s="134" customFormat="1" ht="15" customHeight="1">
      <c r="A49" s="130"/>
      <c r="B49" s="130"/>
      <c r="C49" s="130"/>
      <c r="D49" s="130"/>
      <c r="E49" s="130"/>
      <c r="F49" s="130"/>
      <c r="G49" s="130"/>
      <c r="H49" s="130"/>
      <c r="I49" s="130"/>
      <c r="J49" s="130"/>
      <c r="K49" s="130"/>
      <c r="L49" s="130"/>
      <c r="M49" s="130"/>
      <c r="N49" s="130"/>
      <c r="O49" s="130"/>
      <c r="P49" s="130"/>
      <c r="Q49" s="130"/>
      <c r="R49" s="130"/>
      <c r="S49" s="130"/>
      <c r="T49" s="136"/>
      <c r="U49" s="137"/>
      <c r="V49" s="137"/>
      <c r="W49" s="230"/>
      <c r="X49" s="261"/>
      <c r="Y49" s="261"/>
      <c r="Z49" s="169"/>
      <c r="AI49" s="164"/>
      <c r="AL49" s="256"/>
      <c r="AM49" s="256"/>
      <c r="AN49" s="256"/>
      <c r="AO49" s="256"/>
      <c r="AP49" s="258"/>
      <c r="AQ49" s="258"/>
      <c r="AR49" s="256"/>
      <c r="AS49" s="259"/>
      <c r="AT49" s="259"/>
      <c r="AU49" s="259"/>
    </row>
    <row r="50" spans="1:47" s="134" customFormat="1" ht="15" customHeight="1">
      <c r="A50" s="130"/>
      <c r="B50" s="130"/>
      <c r="C50" s="130"/>
      <c r="D50" s="130"/>
      <c r="E50" s="130"/>
      <c r="F50" s="130"/>
      <c r="G50" s="130"/>
      <c r="H50" s="130"/>
      <c r="I50" s="130"/>
      <c r="J50" s="130"/>
      <c r="K50" s="130"/>
      <c r="L50" s="130"/>
      <c r="M50" s="130"/>
      <c r="N50" s="130"/>
      <c r="O50" s="130"/>
      <c r="P50" s="130"/>
      <c r="Q50" s="130"/>
      <c r="R50" s="130"/>
      <c r="S50" s="130"/>
      <c r="T50" s="136"/>
      <c r="U50" s="137"/>
      <c r="V50" s="137"/>
      <c r="W50" s="169"/>
      <c r="X50" s="169"/>
      <c r="Y50" s="169"/>
      <c r="Z50" s="169"/>
      <c r="AI50" s="164"/>
      <c r="AL50" s="256"/>
      <c r="AM50" s="256"/>
      <c r="AN50" s="256"/>
      <c r="AO50" s="256"/>
      <c r="AP50" s="256"/>
      <c r="AQ50" s="258"/>
      <c r="AR50" s="256"/>
      <c r="AS50" s="259"/>
      <c r="AT50" s="259"/>
      <c r="AU50" s="259"/>
    </row>
    <row r="51" spans="1:47" s="134" customFormat="1" ht="15" customHeight="1">
      <c r="A51" s="130"/>
      <c r="B51" s="130"/>
      <c r="C51" s="130"/>
      <c r="D51" s="130"/>
      <c r="E51" s="130"/>
      <c r="F51" s="130"/>
      <c r="G51" s="130"/>
      <c r="H51" s="130"/>
      <c r="I51" s="130"/>
      <c r="J51" s="130"/>
      <c r="K51" s="130"/>
      <c r="L51" s="130"/>
      <c r="M51" s="130"/>
      <c r="N51" s="130"/>
      <c r="O51" s="130"/>
      <c r="P51" s="130"/>
      <c r="Q51" s="130"/>
      <c r="R51" s="130"/>
      <c r="S51" s="130"/>
      <c r="T51" s="136"/>
      <c r="U51" s="137"/>
      <c r="V51" s="137"/>
      <c r="W51" s="169"/>
      <c r="X51" s="169"/>
      <c r="Y51" s="169"/>
      <c r="Z51" s="169"/>
      <c r="AI51" s="164"/>
      <c r="AL51" s="256"/>
      <c r="AM51" s="256"/>
      <c r="AN51" s="256"/>
      <c r="AO51" s="256"/>
      <c r="AP51" s="256"/>
      <c r="AQ51" s="258"/>
      <c r="AR51" s="256"/>
      <c r="AS51" s="259"/>
      <c r="AT51" s="259"/>
      <c r="AU51" s="259"/>
    </row>
    <row r="52" spans="1:47" s="134" customFormat="1" ht="15" customHeight="1">
      <c r="A52" s="130"/>
      <c r="B52" s="130"/>
      <c r="C52" s="130"/>
      <c r="D52" s="130"/>
      <c r="E52" s="130"/>
      <c r="F52" s="130"/>
      <c r="G52" s="130"/>
      <c r="H52" s="130"/>
      <c r="I52" s="130"/>
      <c r="J52" s="130"/>
      <c r="K52" s="130"/>
      <c r="L52" s="130"/>
      <c r="M52" s="130"/>
      <c r="N52" s="130"/>
      <c r="O52" s="130"/>
      <c r="P52" s="130"/>
      <c r="Q52" s="130"/>
      <c r="R52" s="130"/>
      <c r="S52" s="130"/>
      <c r="T52" s="136"/>
      <c r="U52" s="137"/>
      <c r="V52" s="137"/>
      <c r="W52" s="169"/>
      <c r="X52" s="169"/>
      <c r="Y52" s="169"/>
      <c r="Z52" s="169"/>
      <c r="AI52" s="164"/>
      <c r="AL52" s="256"/>
      <c r="AM52" s="256"/>
      <c r="AN52" s="256"/>
      <c r="AO52" s="256"/>
      <c r="AP52" s="256"/>
      <c r="AQ52" s="258"/>
      <c r="AR52" s="256"/>
      <c r="AS52" s="259"/>
      <c r="AT52" s="259"/>
      <c r="AU52" s="259"/>
    </row>
    <row r="53" spans="1:47" s="134" customFormat="1" ht="15" customHeight="1">
      <c r="A53" s="130"/>
      <c r="B53" s="130"/>
      <c r="C53" s="130"/>
      <c r="D53" s="130"/>
      <c r="E53" s="130"/>
      <c r="F53" s="130"/>
      <c r="G53" s="130"/>
      <c r="H53" s="130"/>
      <c r="I53" s="130"/>
      <c r="J53" s="130"/>
      <c r="K53" s="130"/>
      <c r="L53" s="130"/>
      <c r="M53" s="130"/>
      <c r="N53" s="130"/>
      <c r="O53" s="130"/>
      <c r="P53" s="130"/>
      <c r="Q53" s="130"/>
      <c r="R53" s="130"/>
      <c r="S53" s="130"/>
      <c r="T53" s="136"/>
      <c r="U53" s="137"/>
      <c r="V53" s="137"/>
      <c r="W53" s="169"/>
      <c r="X53" s="169"/>
      <c r="Y53" s="169"/>
      <c r="Z53" s="169"/>
      <c r="AI53" s="164"/>
      <c r="AL53" s="256"/>
      <c r="AM53" s="256"/>
      <c r="AN53" s="256"/>
      <c r="AO53" s="256"/>
      <c r="AP53" s="256"/>
      <c r="AQ53" s="258"/>
      <c r="AR53" s="256"/>
      <c r="AS53" s="259"/>
      <c r="AT53" s="259"/>
      <c r="AU53" s="259"/>
    </row>
    <row r="54" spans="1:47" s="134" customFormat="1" ht="15" customHeight="1">
      <c r="A54" s="130"/>
      <c r="B54" s="130"/>
      <c r="C54" s="130"/>
      <c r="D54" s="130"/>
      <c r="E54" s="130"/>
      <c r="F54" s="130"/>
      <c r="G54" s="130"/>
      <c r="H54" s="130"/>
      <c r="I54" s="130"/>
      <c r="J54" s="130"/>
      <c r="K54" s="130"/>
      <c r="L54" s="130"/>
      <c r="M54" s="130"/>
      <c r="N54" s="130"/>
      <c r="O54" s="130"/>
      <c r="P54" s="130"/>
      <c r="Q54" s="130"/>
      <c r="R54" s="130"/>
      <c r="S54" s="130"/>
      <c r="T54" s="136"/>
      <c r="U54" s="137"/>
      <c r="V54" s="137"/>
      <c r="W54" s="264"/>
      <c r="X54" s="261"/>
      <c r="Y54" s="261"/>
      <c r="Z54" s="169"/>
      <c r="AI54" s="164"/>
      <c r="AL54" s="256"/>
      <c r="AM54" s="256"/>
      <c r="AN54" s="256"/>
      <c r="AO54" s="256"/>
      <c r="AP54" s="256"/>
      <c r="AQ54" s="258"/>
      <c r="AR54" s="256"/>
      <c r="AS54" s="259"/>
      <c r="AT54" s="259"/>
      <c r="AU54" s="259"/>
    </row>
    <row r="55" spans="1:47" s="134" customFormat="1" ht="15" customHeight="1">
      <c r="A55" s="130"/>
      <c r="B55" s="130"/>
      <c r="C55" s="130"/>
      <c r="D55" s="130"/>
      <c r="E55" s="130"/>
      <c r="F55" s="130"/>
      <c r="G55" s="130"/>
      <c r="H55" s="130"/>
      <c r="I55" s="130"/>
      <c r="J55" s="130"/>
      <c r="K55" s="130"/>
      <c r="L55" s="130"/>
      <c r="M55" s="130"/>
      <c r="N55" s="130"/>
      <c r="O55" s="130"/>
      <c r="P55" s="130"/>
      <c r="Q55" s="130"/>
      <c r="R55" s="130"/>
      <c r="S55" s="130"/>
      <c r="T55" s="136"/>
      <c r="U55" s="137"/>
      <c r="V55" s="137"/>
      <c r="W55" s="169"/>
      <c r="X55" s="169"/>
      <c r="Y55" s="169"/>
      <c r="Z55" s="169"/>
      <c r="AI55" s="164"/>
      <c r="AL55" s="256"/>
      <c r="AM55" s="256"/>
      <c r="AN55" s="256"/>
      <c r="AO55" s="256"/>
      <c r="AP55" s="256"/>
      <c r="AQ55" s="258"/>
      <c r="AR55" s="256"/>
      <c r="AS55" s="259"/>
      <c r="AT55" s="259"/>
      <c r="AU55" s="259"/>
    </row>
    <row r="56" spans="1:47" s="134" customFormat="1" ht="15" customHeight="1">
      <c r="A56" s="130"/>
      <c r="B56" s="130"/>
      <c r="C56" s="130"/>
      <c r="D56" s="130"/>
      <c r="E56" s="130"/>
      <c r="F56" s="130"/>
      <c r="G56" s="130"/>
      <c r="H56" s="130"/>
      <c r="I56" s="130"/>
      <c r="J56" s="130"/>
      <c r="K56" s="130"/>
      <c r="L56" s="130"/>
      <c r="M56" s="130"/>
      <c r="N56" s="130"/>
      <c r="O56" s="130"/>
      <c r="P56" s="130"/>
      <c r="Q56" s="130"/>
      <c r="R56" s="130"/>
      <c r="S56" s="130"/>
      <c r="T56" s="136"/>
      <c r="U56" s="137"/>
      <c r="V56" s="137"/>
      <c r="W56" s="169"/>
      <c r="X56" s="169"/>
      <c r="Y56" s="169"/>
      <c r="Z56" s="169"/>
      <c r="AI56" s="164"/>
      <c r="AL56" s="256"/>
      <c r="AM56" s="256"/>
      <c r="AN56" s="256"/>
      <c r="AO56" s="256"/>
      <c r="AP56" s="256"/>
      <c r="AQ56" s="258"/>
      <c r="AR56" s="256"/>
      <c r="AS56" s="259"/>
      <c r="AT56" s="259"/>
      <c r="AU56" s="259"/>
    </row>
    <row r="57" spans="1:47" s="134" customFormat="1" ht="15" customHeight="1">
      <c r="A57" s="130"/>
      <c r="B57" s="130"/>
      <c r="C57" s="130"/>
      <c r="D57" s="130"/>
      <c r="E57" s="130"/>
      <c r="F57" s="130"/>
      <c r="G57" s="130"/>
      <c r="H57" s="130"/>
      <c r="I57" s="130"/>
      <c r="J57" s="130"/>
      <c r="K57" s="130"/>
      <c r="L57" s="130"/>
      <c r="M57" s="130"/>
      <c r="N57" s="130"/>
      <c r="O57" s="130"/>
      <c r="P57" s="130"/>
      <c r="Q57" s="130"/>
      <c r="R57" s="130"/>
      <c r="S57" s="130"/>
      <c r="T57" s="136"/>
      <c r="U57" s="137"/>
      <c r="V57" s="137"/>
      <c r="W57" s="169"/>
      <c r="X57" s="169"/>
      <c r="Y57" s="169"/>
      <c r="Z57" s="169"/>
      <c r="AI57" s="164"/>
      <c r="AL57" s="256"/>
      <c r="AM57" s="256"/>
      <c r="AN57" s="256"/>
      <c r="AO57" s="256"/>
      <c r="AP57" s="256"/>
      <c r="AQ57" s="258"/>
      <c r="AR57" s="256"/>
      <c r="AS57" s="259"/>
      <c r="AT57" s="259"/>
      <c r="AU57" s="259"/>
    </row>
    <row r="58" spans="1:47" s="134" customFormat="1" ht="15" customHeight="1">
      <c r="A58" s="130"/>
      <c r="B58" s="130"/>
      <c r="C58" s="130"/>
      <c r="D58" s="130"/>
      <c r="E58" s="130"/>
      <c r="F58" s="130"/>
      <c r="G58" s="130"/>
      <c r="H58" s="130"/>
      <c r="I58" s="130"/>
      <c r="J58" s="130"/>
      <c r="K58" s="130"/>
      <c r="L58" s="130"/>
      <c r="M58" s="130"/>
      <c r="N58" s="130"/>
      <c r="O58" s="130"/>
      <c r="P58" s="130"/>
      <c r="Q58" s="130"/>
      <c r="R58" s="130"/>
      <c r="S58" s="130"/>
      <c r="T58" s="136"/>
      <c r="U58" s="137"/>
      <c r="V58" s="137"/>
      <c r="W58" s="169"/>
      <c r="X58" s="169"/>
      <c r="Y58" s="169"/>
      <c r="Z58" s="169"/>
      <c r="AI58" s="164"/>
      <c r="AL58" s="256"/>
      <c r="AM58" s="256"/>
      <c r="AN58" s="256"/>
      <c r="AO58" s="256"/>
      <c r="AP58" s="256"/>
      <c r="AQ58" s="258"/>
      <c r="AR58" s="256"/>
      <c r="AS58" s="259"/>
      <c r="AT58" s="259"/>
      <c r="AU58" s="259"/>
    </row>
    <row r="59" spans="1:47" s="134" customFormat="1" ht="15" customHeight="1">
      <c r="A59" s="130"/>
      <c r="B59" s="130"/>
      <c r="C59" s="130"/>
      <c r="D59" s="130"/>
      <c r="E59" s="130"/>
      <c r="F59" s="130"/>
      <c r="G59" s="130"/>
      <c r="H59" s="130"/>
      <c r="I59" s="130"/>
      <c r="J59" s="130"/>
      <c r="K59" s="130"/>
      <c r="L59" s="130"/>
      <c r="M59" s="130"/>
      <c r="N59" s="130"/>
      <c r="O59" s="130"/>
      <c r="P59" s="130"/>
      <c r="Q59" s="130"/>
      <c r="R59" s="130"/>
      <c r="S59" s="130"/>
      <c r="T59" s="136"/>
      <c r="U59" s="137"/>
      <c r="V59" s="137"/>
      <c r="W59" s="264"/>
      <c r="X59" s="261"/>
      <c r="Y59" s="261"/>
      <c r="Z59" s="169"/>
      <c r="AI59" s="164"/>
      <c r="AL59" s="256"/>
      <c r="AM59" s="256"/>
      <c r="AN59" s="256"/>
      <c r="AO59" s="256"/>
      <c r="AP59" s="256"/>
      <c r="AQ59" s="258"/>
      <c r="AR59" s="256"/>
      <c r="AS59" s="259"/>
      <c r="AT59" s="259"/>
      <c r="AU59" s="259"/>
    </row>
    <row r="60" spans="1:47" s="134" customFormat="1" ht="15" customHeight="1">
      <c r="A60" s="130"/>
      <c r="B60" s="130"/>
      <c r="C60" s="130"/>
      <c r="D60" s="130"/>
      <c r="E60" s="130"/>
      <c r="F60" s="130"/>
      <c r="G60" s="130"/>
      <c r="H60" s="130"/>
      <c r="I60" s="130"/>
      <c r="J60" s="130"/>
      <c r="K60" s="130"/>
      <c r="L60" s="130"/>
      <c r="M60" s="130"/>
      <c r="N60" s="130"/>
      <c r="O60" s="130"/>
      <c r="P60" s="130"/>
      <c r="Q60" s="130"/>
      <c r="R60" s="130"/>
      <c r="S60" s="130"/>
      <c r="T60" s="136"/>
      <c r="U60" s="137"/>
      <c r="V60" s="137"/>
      <c r="W60" s="195"/>
      <c r="X60" s="195"/>
      <c r="Y60" s="195"/>
      <c r="Z60" s="169"/>
      <c r="AI60" s="164"/>
      <c r="AL60" s="256"/>
      <c r="AM60" s="256"/>
      <c r="AN60" s="256"/>
      <c r="AO60" s="256"/>
      <c r="AP60" s="256"/>
      <c r="AQ60" s="258"/>
      <c r="AR60" s="256"/>
      <c r="AS60" s="259"/>
      <c r="AT60" s="259"/>
      <c r="AU60" s="259"/>
    </row>
    <row r="61" spans="1:47" s="134" customFormat="1" ht="15" customHeight="1">
      <c r="A61" s="130"/>
      <c r="B61" s="130"/>
      <c r="C61" s="130"/>
      <c r="D61" s="130"/>
      <c r="E61" s="130"/>
      <c r="F61" s="130"/>
      <c r="G61" s="130"/>
      <c r="H61" s="130"/>
      <c r="I61" s="130"/>
      <c r="J61" s="130"/>
      <c r="K61" s="130"/>
      <c r="L61" s="130"/>
      <c r="M61" s="130"/>
      <c r="N61" s="130"/>
      <c r="O61" s="130"/>
      <c r="P61" s="130"/>
      <c r="Q61" s="130"/>
      <c r="R61" s="130"/>
      <c r="S61" s="130"/>
      <c r="T61" s="136"/>
      <c r="U61" s="137"/>
      <c r="V61" s="137"/>
      <c r="W61" s="169"/>
      <c r="X61" s="169"/>
      <c r="Y61" s="169"/>
      <c r="Z61" s="169"/>
      <c r="AI61" s="164"/>
      <c r="AL61" s="256"/>
      <c r="AM61" s="256"/>
      <c r="AN61" s="256"/>
      <c r="AO61" s="256"/>
      <c r="AP61" s="256"/>
      <c r="AQ61" s="258"/>
      <c r="AR61" s="256"/>
      <c r="AS61" s="259"/>
      <c r="AT61" s="259"/>
      <c r="AU61" s="259"/>
    </row>
    <row r="62" spans="1:47" s="134" customFormat="1" ht="15" customHeight="1">
      <c r="A62" s="130"/>
      <c r="B62" s="130"/>
      <c r="C62" s="130"/>
      <c r="D62" s="130"/>
      <c r="E62" s="130"/>
      <c r="F62" s="130"/>
      <c r="G62" s="130"/>
      <c r="H62" s="130"/>
      <c r="I62" s="130"/>
      <c r="J62" s="130"/>
      <c r="K62" s="130"/>
      <c r="L62" s="130"/>
      <c r="M62" s="130"/>
      <c r="N62" s="130"/>
      <c r="O62" s="130"/>
      <c r="P62" s="130"/>
      <c r="Q62" s="130"/>
      <c r="R62" s="130"/>
      <c r="S62" s="130"/>
      <c r="T62" s="136"/>
      <c r="U62" s="137"/>
      <c r="V62" s="137"/>
      <c r="W62" s="169"/>
      <c r="X62" s="169"/>
      <c r="Y62" s="169"/>
      <c r="Z62" s="169"/>
      <c r="AI62" s="164"/>
      <c r="AL62" s="256"/>
      <c r="AM62" s="256"/>
      <c r="AN62" s="256"/>
      <c r="AO62" s="256"/>
      <c r="AP62" s="256"/>
      <c r="AQ62" s="258"/>
      <c r="AR62" s="256"/>
      <c r="AS62" s="259"/>
      <c r="AT62" s="259"/>
      <c r="AU62" s="259"/>
    </row>
    <row r="63" spans="1:47" s="134" customFormat="1" ht="15" customHeight="1">
      <c r="A63" s="130"/>
      <c r="B63" s="130"/>
      <c r="C63" s="130"/>
      <c r="D63" s="130"/>
      <c r="E63" s="130"/>
      <c r="F63" s="130"/>
      <c r="G63" s="130"/>
      <c r="H63" s="130"/>
      <c r="I63" s="130"/>
      <c r="J63" s="130"/>
      <c r="K63" s="130"/>
      <c r="L63" s="130"/>
      <c r="M63" s="130"/>
      <c r="N63" s="130"/>
      <c r="O63" s="130"/>
      <c r="P63" s="130"/>
      <c r="Q63" s="130"/>
      <c r="R63" s="130"/>
      <c r="S63" s="130"/>
      <c r="T63" s="136"/>
      <c r="U63" s="137"/>
      <c r="V63" s="137"/>
      <c r="W63" s="169"/>
      <c r="X63" s="169"/>
      <c r="Y63" s="169"/>
      <c r="Z63" s="169"/>
      <c r="AL63" s="256"/>
      <c r="AM63" s="256"/>
      <c r="AN63" s="256"/>
      <c r="AO63" s="256"/>
      <c r="AP63" s="256"/>
      <c r="AQ63" s="258"/>
      <c r="AR63" s="256"/>
      <c r="AS63" s="259"/>
      <c r="AT63" s="259"/>
      <c r="AU63" s="259"/>
    </row>
    <row r="64" spans="1:47" s="134" customFormat="1" ht="15" customHeight="1">
      <c r="A64" s="130"/>
      <c r="B64" s="130"/>
      <c r="C64" s="130"/>
      <c r="D64" s="130"/>
      <c r="E64" s="130"/>
      <c r="F64" s="130"/>
      <c r="G64" s="130"/>
      <c r="H64" s="130"/>
      <c r="I64" s="130"/>
      <c r="J64" s="130"/>
      <c r="K64" s="130"/>
      <c r="L64" s="130"/>
      <c r="M64" s="130"/>
      <c r="N64" s="130"/>
      <c r="O64" s="130"/>
      <c r="P64" s="130"/>
      <c r="Q64" s="130"/>
      <c r="R64" s="130"/>
      <c r="S64" s="130"/>
      <c r="T64" s="136"/>
      <c r="U64" s="137"/>
      <c r="V64" s="137"/>
      <c r="AL64" s="256"/>
      <c r="AM64" s="256"/>
      <c r="AN64" s="256"/>
      <c r="AO64" s="256"/>
      <c r="AP64" s="256"/>
      <c r="AQ64" s="258"/>
      <c r="AR64" s="256"/>
      <c r="AS64" s="259"/>
      <c r="AT64" s="259"/>
      <c r="AU64" s="259"/>
    </row>
    <row r="65" spans="1:57" s="134" customFormat="1" ht="15" customHeight="1">
      <c r="A65" s="130"/>
      <c r="B65" s="130"/>
      <c r="C65" s="130"/>
      <c r="D65" s="130"/>
      <c r="E65" s="130"/>
      <c r="F65" s="130"/>
      <c r="G65" s="130"/>
      <c r="H65" s="130"/>
      <c r="I65" s="130"/>
      <c r="J65" s="130"/>
      <c r="K65" s="130"/>
      <c r="L65" s="130"/>
      <c r="M65" s="130"/>
      <c r="N65" s="130"/>
      <c r="O65" s="130"/>
      <c r="P65" s="130"/>
      <c r="Q65" s="130"/>
      <c r="R65" s="130"/>
      <c r="S65" s="130"/>
      <c r="T65" s="136"/>
      <c r="U65" s="137"/>
      <c r="V65" s="137"/>
    </row>
    <row r="66" spans="1:57" s="134" customFormat="1" ht="15" customHeight="1">
      <c r="A66" s="130"/>
      <c r="B66" s="130"/>
      <c r="C66" s="130"/>
      <c r="D66" s="130"/>
      <c r="E66" s="130"/>
      <c r="F66" s="130"/>
      <c r="G66" s="130"/>
      <c r="H66" s="130"/>
      <c r="I66" s="130"/>
      <c r="J66" s="130"/>
      <c r="K66" s="130"/>
      <c r="L66" s="130"/>
      <c r="M66" s="130"/>
      <c r="N66" s="130"/>
      <c r="O66" s="130"/>
      <c r="P66" s="130"/>
      <c r="Q66" s="130"/>
      <c r="R66" s="130"/>
      <c r="S66" s="130"/>
      <c r="T66" s="200"/>
      <c r="U66" s="130"/>
      <c r="V66" s="130"/>
      <c r="AZ66" s="130"/>
      <c r="BA66" s="130"/>
      <c r="BB66" s="130"/>
      <c r="BC66" s="130"/>
      <c r="BD66" s="130"/>
      <c r="BE66" s="130"/>
    </row>
    <row r="67" spans="1:57" s="134" customFormat="1">
      <c r="A67" s="130"/>
      <c r="B67" s="130"/>
      <c r="C67" s="130"/>
      <c r="D67" s="130"/>
      <c r="E67" s="130"/>
      <c r="F67" s="130"/>
      <c r="G67" s="130"/>
      <c r="H67" s="130"/>
      <c r="I67" s="130"/>
      <c r="J67" s="130"/>
      <c r="K67" s="130"/>
      <c r="L67" s="130"/>
      <c r="M67" s="130"/>
      <c r="N67" s="130"/>
      <c r="O67" s="130"/>
      <c r="P67" s="130"/>
      <c r="Q67" s="130"/>
      <c r="R67" s="130"/>
      <c r="S67" s="130"/>
      <c r="T67" s="203"/>
      <c r="U67" s="130"/>
      <c r="V67" s="130"/>
      <c r="AZ67" s="130"/>
      <c r="BA67" s="130"/>
      <c r="BB67" s="130"/>
      <c r="BC67" s="130"/>
      <c r="BD67" s="130"/>
      <c r="BE67" s="130"/>
    </row>
    <row r="68" spans="1:57" s="134" customFormat="1" ht="16.5" customHeight="1">
      <c r="A68" s="130"/>
      <c r="B68" s="130"/>
      <c r="C68" s="130"/>
      <c r="D68" s="130"/>
      <c r="E68" s="130"/>
      <c r="F68" s="130"/>
      <c r="G68" s="130"/>
      <c r="H68" s="130"/>
      <c r="I68" s="130"/>
      <c r="J68" s="130"/>
      <c r="K68" s="130"/>
      <c r="L68" s="130"/>
      <c r="M68" s="130"/>
      <c r="N68" s="130"/>
      <c r="O68" s="130"/>
      <c r="P68" s="130"/>
      <c r="Q68" s="130"/>
      <c r="R68" s="130"/>
      <c r="S68" s="130"/>
      <c r="T68" s="203"/>
      <c r="U68" s="130"/>
      <c r="V68" s="130"/>
      <c r="AZ68" s="130"/>
      <c r="BA68" s="130"/>
      <c r="BB68" s="130"/>
      <c r="BC68" s="130"/>
      <c r="BD68" s="130"/>
      <c r="BE68" s="130"/>
    </row>
    <row r="69" spans="1:57" s="134" customFormat="1" ht="13.5" customHeight="1">
      <c r="A69" s="130"/>
      <c r="B69" s="130"/>
      <c r="C69" s="130"/>
      <c r="D69" s="130"/>
      <c r="E69" s="130"/>
      <c r="F69" s="130"/>
      <c r="G69" s="130"/>
      <c r="H69" s="130"/>
      <c r="I69" s="130"/>
      <c r="J69" s="130"/>
      <c r="K69" s="130"/>
      <c r="L69" s="130"/>
      <c r="M69" s="130"/>
      <c r="N69" s="130"/>
      <c r="O69" s="130"/>
      <c r="P69" s="130"/>
      <c r="Q69" s="130"/>
      <c r="R69" s="130"/>
      <c r="S69" s="130"/>
      <c r="T69" s="203"/>
      <c r="U69" s="130"/>
      <c r="V69" s="130"/>
      <c r="AZ69" s="130"/>
      <c r="BA69" s="130"/>
      <c r="BB69" s="130"/>
      <c r="BC69" s="130"/>
      <c r="BD69" s="130"/>
      <c r="BE69" s="130"/>
    </row>
    <row r="70" spans="1:57" s="134" customFormat="1" ht="13.5" customHeight="1">
      <c r="A70" s="130"/>
      <c r="B70" s="130"/>
      <c r="C70" s="130"/>
      <c r="D70" s="130"/>
      <c r="E70" s="130"/>
      <c r="F70" s="130"/>
      <c r="G70" s="130"/>
      <c r="H70" s="130"/>
      <c r="I70" s="130"/>
      <c r="J70" s="130"/>
      <c r="K70" s="130"/>
      <c r="L70" s="130"/>
      <c r="M70" s="130"/>
      <c r="N70" s="130"/>
      <c r="O70" s="130"/>
      <c r="P70" s="130"/>
      <c r="Q70" s="130"/>
      <c r="R70" s="130"/>
      <c r="S70" s="130"/>
      <c r="T70" s="133"/>
      <c r="U70" s="130"/>
      <c r="V70" s="130"/>
      <c r="AZ70" s="130"/>
      <c r="BA70" s="130"/>
      <c r="BB70" s="130"/>
      <c r="BC70" s="130"/>
      <c r="BD70" s="130"/>
      <c r="BE70" s="130"/>
    </row>
    <row r="71" spans="1:57" s="134" customFormat="1" ht="13.5" customHeight="1">
      <c r="A71" s="130"/>
      <c r="B71" s="130"/>
      <c r="C71" s="130"/>
      <c r="D71" s="130"/>
      <c r="E71" s="130"/>
      <c r="F71" s="130"/>
      <c r="G71" s="130"/>
      <c r="H71" s="130"/>
      <c r="I71" s="130"/>
      <c r="J71" s="130"/>
      <c r="K71" s="130"/>
      <c r="L71" s="130"/>
      <c r="M71" s="130"/>
      <c r="N71" s="130"/>
      <c r="O71" s="130"/>
      <c r="P71" s="130"/>
      <c r="Q71" s="130"/>
      <c r="R71" s="130"/>
      <c r="S71" s="130"/>
      <c r="T71" s="203"/>
      <c r="U71" s="130"/>
      <c r="V71" s="130"/>
      <c r="AZ71" s="130"/>
      <c r="BA71" s="130"/>
      <c r="BB71" s="130"/>
      <c r="BC71" s="130"/>
      <c r="BD71" s="130"/>
      <c r="BE71" s="130"/>
    </row>
    <row r="72" spans="1:57" s="134" customFormat="1" ht="13.5" customHeight="1">
      <c r="A72" s="130"/>
      <c r="B72" s="130"/>
      <c r="C72" s="130"/>
      <c r="D72" s="130"/>
      <c r="E72" s="130"/>
      <c r="F72" s="130"/>
      <c r="G72" s="130"/>
      <c r="H72" s="130"/>
      <c r="I72" s="130"/>
      <c r="J72" s="130"/>
      <c r="K72" s="130"/>
      <c r="L72" s="130"/>
      <c r="M72" s="130"/>
      <c r="N72" s="130"/>
      <c r="O72" s="130"/>
      <c r="P72" s="130"/>
      <c r="Q72" s="130"/>
      <c r="R72" s="130"/>
      <c r="S72" s="130"/>
      <c r="T72" s="204"/>
      <c r="U72" s="130"/>
      <c r="V72" s="130"/>
      <c r="AZ72" s="130"/>
      <c r="BA72" s="130"/>
      <c r="BB72" s="130"/>
      <c r="BC72" s="130"/>
      <c r="BD72" s="130"/>
      <c r="BE72" s="130"/>
    </row>
    <row r="73" spans="1:57" s="134" customFormat="1" ht="13.5" customHeight="1">
      <c r="A73" s="130"/>
      <c r="B73" s="130"/>
      <c r="C73" s="130"/>
      <c r="D73" s="130"/>
      <c r="E73" s="130"/>
      <c r="F73" s="130"/>
      <c r="G73" s="130"/>
      <c r="H73" s="130"/>
      <c r="I73" s="130"/>
      <c r="J73" s="130"/>
      <c r="K73" s="130"/>
      <c r="L73" s="130"/>
      <c r="M73" s="130"/>
      <c r="N73" s="130"/>
      <c r="O73" s="130"/>
      <c r="P73" s="130"/>
      <c r="Q73" s="130"/>
      <c r="R73" s="130"/>
      <c r="S73" s="130"/>
      <c r="T73" s="204"/>
      <c r="U73" s="130"/>
      <c r="V73" s="130"/>
      <c r="AZ73" s="130"/>
      <c r="BA73" s="130"/>
      <c r="BB73" s="130"/>
      <c r="BC73" s="130"/>
      <c r="BD73" s="130"/>
      <c r="BE73" s="130"/>
    </row>
    <row r="74" spans="1:57" s="134" customFormat="1" ht="13.5" customHeight="1">
      <c r="A74" s="130"/>
      <c r="B74" s="130"/>
      <c r="C74" s="130"/>
      <c r="D74" s="130"/>
      <c r="E74" s="130"/>
      <c r="F74" s="130"/>
      <c r="G74" s="130"/>
      <c r="H74" s="130"/>
      <c r="I74" s="130"/>
      <c r="J74" s="130"/>
      <c r="K74" s="130"/>
      <c r="L74" s="130"/>
      <c r="M74" s="130"/>
      <c r="N74" s="130"/>
      <c r="O74" s="130"/>
      <c r="P74" s="130"/>
      <c r="Q74" s="130"/>
      <c r="R74" s="130"/>
      <c r="S74" s="130"/>
      <c r="T74" s="130"/>
      <c r="U74" s="130"/>
      <c r="V74" s="130"/>
      <c r="AZ74" s="130"/>
      <c r="BA74" s="130"/>
      <c r="BB74" s="130"/>
      <c r="BC74" s="130"/>
      <c r="BD74" s="130"/>
      <c r="BE74" s="130"/>
    </row>
    <row r="75" spans="1:57" ht="13.5" customHeight="1">
      <c r="T75" s="203"/>
    </row>
    <row r="76" spans="1:57" ht="13.5" customHeight="1">
      <c r="T76" s="205"/>
    </row>
    <row r="77" spans="1:57" ht="13.5" customHeight="1">
      <c r="T77" s="205"/>
    </row>
    <row r="78" spans="1:57" ht="13.5" customHeight="1"/>
    <row r="79" spans="1:57" ht="13.5" customHeight="1"/>
    <row r="81" ht="13.5" customHeight="1"/>
    <row r="82" ht="14.25" customHeight="1"/>
  </sheetData>
  <sheetProtection algorithmName="SHA-512" hashValue="lt758r5q7EoQ/yX1IXEQDl7mnC8yGLVsi0W4UT4DOCpJGXnOdFhyIuYULY1s/jMdDTHfFHI1edyreOddQxJWGw==" saltValue="ElzW23auH0OSPCDS8ae+Dw==" spinCount="100000" sheet="1" formatCells="0"/>
  <mergeCells count="23">
    <mergeCell ref="N3:T3"/>
    <mergeCell ref="P20:P21"/>
    <mergeCell ref="E8:F8"/>
    <mergeCell ref="I6:J6"/>
    <mergeCell ref="I7:J7"/>
    <mergeCell ref="I8:J8"/>
    <mergeCell ref="I20:I21"/>
    <mergeCell ref="A33:P38"/>
    <mergeCell ref="I5:J5"/>
    <mergeCell ref="G8:H8"/>
    <mergeCell ref="C31:P31"/>
    <mergeCell ref="E5:F5"/>
    <mergeCell ref="B5:C5"/>
    <mergeCell ref="A31:B31"/>
    <mergeCell ref="G6:H6"/>
    <mergeCell ref="A18:A20"/>
    <mergeCell ref="B8:C8"/>
    <mergeCell ref="G5:H5"/>
    <mergeCell ref="G7:H7"/>
    <mergeCell ref="B6:C6"/>
    <mergeCell ref="B7:C7"/>
    <mergeCell ref="E6:F6"/>
    <mergeCell ref="E7:F7"/>
  </mergeCells>
  <phoneticPr fontId="3"/>
  <conditionalFormatting sqref="S9">
    <cfRule type="expression" dxfId="24" priority="17">
      <formula>#REF!="なし"</formula>
    </cfRule>
  </conditionalFormatting>
  <conditionalFormatting sqref="A17">
    <cfRule type="expression" dxfId="23" priority="18">
      <formula>#REF!&lt;&gt;2</formula>
    </cfRule>
  </conditionalFormatting>
  <conditionalFormatting sqref="A17">
    <cfRule type="expression" dxfId="22" priority="19">
      <formula>#REF!=2</formula>
    </cfRule>
  </conditionalFormatting>
  <conditionalFormatting sqref="A33">
    <cfRule type="expression" dxfId="21" priority="43">
      <formula>OR(COUNTIF(V24:V28,"○")&gt;0,M23&lt;0.65,O23&lt;0.05)=TRUE</formula>
    </cfRule>
  </conditionalFormatting>
  <conditionalFormatting sqref="M23">
    <cfRule type="cellIs" dxfId="20" priority="5" operator="lessThanOrEqual">
      <formula>0.65</formula>
    </cfRule>
  </conditionalFormatting>
  <conditionalFormatting sqref="P23">
    <cfRule type="expression" dxfId="19" priority="3">
      <formula>COUNTIF(V24:V28,"○")&gt;0</formula>
    </cfRule>
  </conditionalFormatting>
  <conditionalFormatting sqref="O23">
    <cfRule type="expression" dxfId="18" priority="2">
      <formula>AND(O23&lt;0.05,O23&gt;0)</formula>
    </cfRule>
  </conditionalFormatting>
  <conditionalFormatting sqref="A33:P38">
    <cfRule type="expression" dxfId="17" priority="1">
      <formula>$U$31=TRUE</formula>
    </cfRule>
  </conditionalFormatting>
  <dataValidations count="3">
    <dataValidation type="list" allowBlank="1" showInputMessage="1" showErrorMessage="1" sqref="I22 I24:I28" xr:uid="{F2B7AEB0-5AC3-4A22-AB33-01257ADEAC0F}">
      <formula1>$Y$10:$Y$11</formula1>
    </dataValidation>
    <dataValidation type="list" allowBlank="1" showInputMessage="1" showErrorMessage="1" sqref="P22:P28" xr:uid="{3F30C48E-015B-4B30-BF6D-8AF921B8C353}">
      <formula1>$Y$13:$Y$14</formula1>
    </dataValidation>
    <dataValidation type="list" allowBlank="1" showInputMessage="1" showErrorMessage="1" sqref="G16:H16" xr:uid="{2F329494-CD4F-4BF1-A077-49DC0FD9B121}">
      <formula1>#REF!</formula1>
    </dataValidation>
  </dataValidations>
  <printOptions horizontalCentered="1"/>
  <pageMargins left="0.59055118110236227" right="0.59055118110236227" top="0.35433070866141736" bottom="0" header="0.31496062992125984" footer="0.31496062992125984"/>
  <pageSetup paperSize="9" scale="54" orientation="portrait" r:id="rId1"/>
  <headerFooter>
    <oddHeader>&amp;L&amp;10様式第1-1号（別紙）&amp;C&amp;10R5年度_《緊急予算枠》_CO₂削減量算定シート</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9C545-6E3D-479D-B4E3-CB3D42CA5047}">
  <sheetPr codeName="Sheet11">
    <tabColor rgb="FF00B0F0"/>
    <pageSetUpPr fitToPage="1"/>
  </sheetPr>
  <dimension ref="A1:DD91"/>
  <sheetViews>
    <sheetView view="pageBreakPreview" topLeftCell="A3" zoomScaleNormal="100" zoomScaleSheetLayoutView="100" workbookViewId="0">
      <selection activeCell="E9" sqref="E9:F9"/>
    </sheetView>
  </sheetViews>
  <sheetFormatPr defaultColWidth="9" defaultRowHeight="18.75"/>
  <cols>
    <col min="1" max="1" width="3.25" style="130" customWidth="1"/>
    <col min="2" max="2" width="18.125" style="130" customWidth="1"/>
    <col min="3" max="4" width="8.5" style="130" customWidth="1"/>
    <col min="5" max="5" width="4.25" style="130" customWidth="1"/>
    <col min="6" max="6" width="5.625" style="130" customWidth="1"/>
    <col min="7" max="7" width="6.875" style="130" customWidth="1"/>
    <col min="8" max="8" width="4.875" style="130" customWidth="1"/>
    <col min="9" max="9" width="7.375" style="130" customWidth="1"/>
    <col min="10" max="10" width="6.375" style="130" customWidth="1"/>
    <col min="11" max="11" width="4.625" style="130" customWidth="1"/>
    <col min="12" max="12" width="6.625" style="130" customWidth="1"/>
    <col min="13" max="13" width="7" style="130" customWidth="1"/>
    <col min="14" max="14" width="6" style="130" customWidth="1"/>
    <col min="15" max="15" width="7" style="130" hidden="1" customWidth="1"/>
    <col min="16" max="16" width="5.25" style="130" customWidth="1"/>
    <col min="17" max="17" width="8.625" style="130" customWidth="1"/>
    <col min="18" max="18" width="4.875" style="130" customWidth="1"/>
    <col min="19" max="19" width="8.375" style="130" customWidth="1"/>
    <col min="20" max="20" width="8.625" style="130" customWidth="1"/>
    <col min="21" max="21" width="13.625" style="130" customWidth="1"/>
    <col min="22" max="22" width="8.625" style="130" customWidth="1"/>
    <col min="23" max="23" width="5.75" style="130" customWidth="1"/>
    <col min="24" max="24" width="9" style="130" customWidth="1"/>
    <col min="25" max="25" width="4.75" style="130" customWidth="1"/>
    <col min="26" max="26" width="4" style="130" customWidth="1"/>
    <col min="27" max="27" width="5" style="130" customWidth="1"/>
    <col min="28" max="28" width="6.5" style="130" customWidth="1"/>
    <col min="29" max="29" width="6.625" style="130" customWidth="1"/>
    <col min="30" max="30" width="4.625" style="130" customWidth="1"/>
    <col min="31" max="32" width="5.625" style="130" customWidth="1"/>
    <col min="33" max="33" width="8.625" style="130" customWidth="1"/>
    <col min="34" max="34" width="4.5" style="130" customWidth="1"/>
    <col min="35" max="35" width="8.625" style="130" customWidth="1"/>
    <col min="36" max="36" width="9.125" style="130" customWidth="1"/>
    <col min="37" max="38" width="8.375" style="130" customWidth="1"/>
    <col min="39" max="39" width="8.625" style="130" customWidth="1"/>
    <col min="40" max="40" width="8" style="130" hidden="1" customWidth="1"/>
    <col min="41" max="41" width="7.375" style="130" hidden="1" customWidth="1"/>
    <col min="42" max="42" width="3.875" style="130" hidden="1" customWidth="1"/>
    <col min="43" max="44" width="5.625" style="130" hidden="1" customWidth="1"/>
    <col min="45" max="45" width="6.125" style="130" hidden="1" customWidth="1"/>
    <col min="46" max="48" width="9" style="130" hidden="1" customWidth="1"/>
    <col min="49" max="49" width="6.5" style="130" hidden="1" customWidth="1"/>
    <col min="50" max="51" width="6.875" style="130" hidden="1" customWidth="1"/>
    <col min="52" max="52" width="10.125" style="130" hidden="1" customWidth="1"/>
    <col min="53" max="53" width="8.375" style="130" hidden="1" customWidth="1"/>
    <col min="54" max="55" width="6.875" style="130" hidden="1" customWidth="1"/>
    <col min="56" max="56" width="5" style="130" hidden="1" customWidth="1"/>
    <col min="57" max="58" width="9" style="130" hidden="1" customWidth="1"/>
    <col min="59" max="59" width="9.5" style="130" hidden="1" customWidth="1"/>
    <col min="60" max="60" width="9" style="130" hidden="1" customWidth="1"/>
    <col min="61" max="61" width="13.625" style="130" hidden="1" customWidth="1"/>
    <col min="62" max="64" width="9" style="130" hidden="1" customWidth="1"/>
    <col min="65" max="69" width="9" style="134" hidden="1" customWidth="1"/>
    <col min="70" max="70" width="16.625" style="134" hidden="1" customWidth="1"/>
    <col min="71" max="74" width="9" style="134" hidden="1" customWidth="1"/>
    <col min="75" max="99" width="9" style="134" customWidth="1"/>
    <col min="100" max="102" width="9" style="134"/>
    <col min="103" max="16384" width="9" style="130"/>
  </cols>
  <sheetData>
    <row r="1" spans="1:102" hidden="1">
      <c r="B1" s="130" t="s">
        <v>936</v>
      </c>
      <c r="C1" s="130" t="s">
        <v>938</v>
      </c>
      <c r="D1" s="130" t="s">
        <v>4</v>
      </c>
      <c r="E1" s="130" t="s">
        <v>941</v>
      </c>
      <c r="F1" s="130" t="s">
        <v>943</v>
      </c>
      <c r="G1" s="130" t="s">
        <v>938</v>
      </c>
      <c r="H1" s="130" t="s">
        <v>4</v>
      </c>
      <c r="I1" s="130" t="s">
        <v>941</v>
      </c>
      <c r="T1" s="130" t="s">
        <v>945</v>
      </c>
      <c r="U1" s="130" t="s">
        <v>947</v>
      </c>
    </row>
    <row r="2" spans="1:102" hidden="1">
      <c r="B2" s="130">
        <f>E8</f>
        <v>0</v>
      </c>
      <c r="C2" s="130">
        <f>G8</f>
        <v>0</v>
      </c>
      <c r="D2" s="130">
        <f>I8</f>
        <v>0</v>
      </c>
      <c r="E2" s="130">
        <f>K8</f>
        <v>0</v>
      </c>
      <c r="F2" s="130">
        <f>E9</f>
        <v>0</v>
      </c>
      <c r="G2" s="130">
        <f>G9</f>
        <v>0</v>
      </c>
      <c r="H2" s="130">
        <f>I9</f>
        <v>0</v>
      </c>
      <c r="I2" s="130">
        <f>K9</f>
        <v>0</v>
      </c>
      <c r="T2" s="130" t="str">
        <f>X5</f>
        <v/>
      </c>
      <c r="U2" s="130">
        <f>U7</f>
        <v>0</v>
      </c>
    </row>
    <row r="3" spans="1:102" ht="28.5" customHeight="1">
      <c r="A3" s="67" t="s">
        <v>648</v>
      </c>
      <c r="AF3" s="1085">
        <f>CO２削減量算定シート!O7</f>
        <v>0</v>
      </c>
      <c r="AG3" s="1086"/>
      <c r="AH3" s="1086"/>
      <c r="AI3" s="1086"/>
      <c r="AJ3" s="1086"/>
      <c r="AK3" s="1086"/>
      <c r="AL3" s="1086"/>
      <c r="AM3" s="1087"/>
      <c r="AZ3" s="130" t="s">
        <v>915</v>
      </c>
      <c r="BB3" s="130" t="s">
        <v>570</v>
      </c>
      <c r="BC3" s="130" t="s">
        <v>571</v>
      </c>
      <c r="BG3" s="57" t="s">
        <v>538</v>
      </c>
      <c r="BH3" s="57"/>
      <c r="BI3" s="57" t="s">
        <v>539</v>
      </c>
      <c r="BJ3" s="57" t="s">
        <v>540</v>
      </c>
      <c r="BK3" s="57" t="s">
        <v>541</v>
      </c>
      <c r="BL3" s="57" t="s">
        <v>542</v>
      </c>
      <c r="BM3" s="57" t="s">
        <v>543</v>
      </c>
      <c r="BN3" s="146" t="s">
        <v>580</v>
      </c>
      <c r="CX3" s="130"/>
    </row>
    <row r="4" spans="1:102">
      <c r="A4" s="129" t="s">
        <v>308</v>
      </c>
      <c r="B4" s="1"/>
      <c r="C4" s="1"/>
      <c r="D4" s="1"/>
      <c r="E4" s="1"/>
      <c r="F4" s="1"/>
      <c r="G4" s="1"/>
      <c r="H4" s="1"/>
      <c r="I4" s="1"/>
      <c r="J4" s="1"/>
      <c r="K4" s="6"/>
      <c r="L4" s="6"/>
      <c r="T4" s="248"/>
      <c r="U4" s="105" t="s">
        <v>310</v>
      </c>
      <c r="V4" s="105"/>
      <c r="W4" s="105"/>
      <c r="X4" s="468" t="s">
        <v>719</v>
      </c>
      <c r="Y4" s="105"/>
      <c r="AA4" s="104"/>
      <c r="AC4" s="68"/>
      <c r="AD4" s="68"/>
      <c r="AE4" s="68"/>
      <c r="AF4" s="68"/>
      <c r="AG4" s="68"/>
      <c r="AH4" s="68"/>
      <c r="AI4" s="68"/>
      <c r="BB4" s="130" t="s">
        <v>525</v>
      </c>
      <c r="BC4" s="130" t="s">
        <v>526</v>
      </c>
      <c r="BD4" s="130" t="s">
        <v>527</v>
      </c>
      <c r="BG4" s="267" t="s">
        <v>544</v>
      </c>
      <c r="BH4" s="57" t="s">
        <v>591</v>
      </c>
      <c r="BI4" s="268">
        <v>45</v>
      </c>
      <c r="BJ4" s="269">
        <v>40.799999999999997</v>
      </c>
      <c r="BK4" s="57" t="s">
        <v>545</v>
      </c>
      <c r="BL4" s="57" t="s">
        <v>546</v>
      </c>
      <c r="BM4" s="57" t="s">
        <v>584</v>
      </c>
      <c r="BN4" s="146">
        <v>2.2440000000000002</v>
      </c>
      <c r="BP4" s="146" t="s">
        <v>538</v>
      </c>
      <c r="BQ4" s="146"/>
      <c r="CX4" s="130"/>
    </row>
    <row r="5" spans="1:102" ht="20.100000000000001" customHeight="1">
      <c r="A5" s="1"/>
      <c r="B5" s="980" t="s">
        <v>0</v>
      </c>
      <c r="C5" s="981"/>
      <c r="D5" s="382" t="s">
        <v>590</v>
      </c>
      <c r="E5" s="983" t="s">
        <v>2</v>
      </c>
      <c r="F5" s="983"/>
      <c r="G5" s="986" t="s">
        <v>3</v>
      </c>
      <c r="H5" s="987"/>
      <c r="I5" s="986" t="s">
        <v>4</v>
      </c>
      <c r="J5" s="987"/>
      <c r="K5" s="1194" t="s">
        <v>5</v>
      </c>
      <c r="L5" s="1194"/>
      <c r="U5" s="986" t="s">
        <v>11</v>
      </c>
      <c r="V5" s="1139"/>
      <c r="W5" s="906"/>
      <c r="X5" s="1198" t="str">
        <f>IFERROR(IF(AP28&lt;0,"設備容量が増加していませんか？変更がなければ、特記事項に事由を記載してください。","")&amp;IF(BF28=1,"設備名称・種類は適切ですか？",""),"")</f>
        <v/>
      </c>
      <c r="Y5" s="1198"/>
      <c r="Z5" s="1198"/>
      <c r="AA5" s="1198"/>
      <c r="AB5" s="1198"/>
      <c r="AC5" s="1198"/>
      <c r="AD5" s="1198"/>
      <c r="AE5" s="1198"/>
      <c r="AF5" s="1198"/>
      <c r="AG5" s="1198"/>
      <c r="AH5" s="1198"/>
      <c r="AI5" s="1198"/>
      <c r="AJ5" s="1198"/>
      <c r="AK5" s="1198"/>
      <c r="AL5" s="1198"/>
      <c r="AM5" s="1198"/>
      <c r="AY5" s="243"/>
      <c r="BB5" s="130" t="s">
        <v>529</v>
      </c>
      <c r="BC5" s="130" t="s">
        <v>530</v>
      </c>
      <c r="BD5" s="130" t="s">
        <v>531</v>
      </c>
      <c r="BG5" s="270"/>
      <c r="BH5" s="273" t="s">
        <v>568</v>
      </c>
      <c r="BI5" s="57">
        <v>50.8</v>
      </c>
      <c r="BJ5" s="57">
        <v>45.8</v>
      </c>
      <c r="BK5" s="57" t="s">
        <v>547</v>
      </c>
      <c r="BL5" s="57" t="s">
        <v>548</v>
      </c>
      <c r="BM5" s="57" t="s">
        <v>549</v>
      </c>
      <c r="BN5" s="146">
        <v>2.9988999999999999</v>
      </c>
      <c r="BP5" s="331" t="s">
        <v>525</v>
      </c>
      <c r="BQ5" s="146" t="s">
        <v>591</v>
      </c>
      <c r="CJ5" s="130"/>
      <c r="CK5" s="130"/>
      <c r="CL5" s="130"/>
      <c r="CM5" s="130"/>
      <c r="CN5" s="130"/>
      <c r="CO5" s="130"/>
      <c r="CP5" s="130"/>
      <c r="CQ5" s="130"/>
      <c r="CR5" s="130"/>
      <c r="CS5" s="130"/>
      <c r="CT5" s="130"/>
      <c r="CU5" s="130"/>
      <c r="CV5" s="130"/>
      <c r="CW5" s="130"/>
      <c r="CX5" s="130"/>
    </row>
    <row r="6" spans="1:102" ht="20.100000000000001" customHeight="1">
      <c r="A6" s="1"/>
      <c r="B6" s="980" t="s">
        <v>646</v>
      </c>
      <c r="C6" s="981"/>
      <c r="D6" s="527" t="str">
        <f>AK26</f>
        <v>/年</v>
      </c>
      <c r="E6" s="1047">
        <f>Q28</f>
        <v>0</v>
      </c>
      <c r="F6" s="1047"/>
      <c r="G6" s="988">
        <f>AG28</f>
        <v>0</v>
      </c>
      <c r="H6" s="989"/>
      <c r="I6" s="988">
        <f>IF(BG28=12,E6-G6,"")</f>
        <v>0</v>
      </c>
      <c r="J6" s="989"/>
      <c r="K6" s="1193">
        <f>IFERROR(I6/E6,0)</f>
        <v>0</v>
      </c>
      <c r="L6" s="1193"/>
      <c r="M6" s="1020" t="str">
        <f>IF(BG28=12,"","注：燃転や燃料単位が異なっている場合はエネルギー消費量等は表示されません")</f>
        <v/>
      </c>
      <c r="N6" s="1021"/>
      <c r="O6" s="1021"/>
      <c r="P6" s="1021"/>
      <c r="Q6" s="1021"/>
      <c r="R6" s="1021"/>
      <c r="S6" s="1021"/>
      <c r="U6" s="18" t="s">
        <v>683</v>
      </c>
      <c r="V6" s="17"/>
      <c r="W6" s="17"/>
      <c r="X6" s="17"/>
      <c r="Y6" s="17"/>
      <c r="Z6" s="107"/>
      <c r="AA6" s="107"/>
      <c r="AB6" s="107"/>
      <c r="AC6" s="107"/>
      <c r="AD6" s="107"/>
      <c r="AE6" s="107"/>
      <c r="AF6" s="107"/>
      <c r="AG6" s="107"/>
      <c r="AH6" s="107"/>
      <c r="AI6" s="107"/>
      <c r="AJ6" s="107"/>
      <c r="AK6" s="107"/>
      <c r="AL6" s="107"/>
      <c r="AM6" s="108"/>
      <c r="AZ6" s="244"/>
      <c r="BB6" s="130" t="s">
        <v>532</v>
      </c>
      <c r="BC6" s="130" t="s">
        <v>533</v>
      </c>
      <c r="BD6" s="130" t="s">
        <v>534</v>
      </c>
      <c r="BG6" s="270"/>
      <c r="BH6" s="273" t="s">
        <v>569</v>
      </c>
      <c r="BI6" s="274">
        <f>50.8/0.482</f>
        <v>105.39419087136929</v>
      </c>
      <c r="BJ6" s="275">
        <f>45.8/0.482</f>
        <v>95.020746887966808</v>
      </c>
      <c r="BK6" s="276" t="s">
        <v>504</v>
      </c>
      <c r="BL6" s="276" t="s">
        <v>582</v>
      </c>
      <c r="BM6" s="57" t="s">
        <v>584</v>
      </c>
      <c r="BN6" s="146">
        <v>6.22</v>
      </c>
      <c r="BP6" s="333"/>
      <c r="BQ6" s="146" t="s">
        <v>567</v>
      </c>
      <c r="CJ6" s="130"/>
      <c r="CK6" s="130"/>
      <c r="CL6" s="130"/>
      <c r="CM6" s="130"/>
      <c r="CN6" s="130"/>
      <c r="CO6" s="130"/>
      <c r="CP6" s="130"/>
      <c r="CQ6" s="130"/>
      <c r="CR6" s="130"/>
      <c r="CS6" s="130"/>
      <c r="CT6" s="130"/>
      <c r="CU6" s="130"/>
      <c r="CV6" s="130"/>
      <c r="CW6" s="130"/>
      <c r="CX6" s="130"/>
    </row>
    <row r="7" spans="1:102" ht="20.100000000000001" customHeight="1">
      <c r="A7" s="1"/>
      <c r="B7" s="980" t="s">
        <v>647</v>
      </c>
      <c r="C7" s="1034"/>
      <c r="D7" s="412" t="s">
        <v>635</v>
      </c>
      <c r="E7" s="1199">
        <f>S28</f>
        <v>0</v>
      </c>
      <c r="F7" s="1199"/>
      <c r="G7" s="1195">
        <f>AI28</f>
        <v>0</v>
      </c>
      <c r="H7" s="1196"/>
      <c r="I7" s="988">
        <f>E7-G7</f>
        <v>0</v>
      </c>
      <c r="J7" s="989"/>
      <c r="K7" s="1193">
        <f>IFERROR(I7/E7,0)</f>
        <v>0</v>
      </c>
      <c r="L7" s="1193"/>
      <c r="M7" s="1020"/>
      <c r="N7" s="1021"/>
      <c r="O7" s="1021"/>
      <c r="P7" s="1021"/>
      <c r="Q7" s="1021"/>
      <c r="R7" s="1021"/>
      <c r="S7" s="1021"/>
      <c r="U7" s="1001"/>
      <c r="V7" s="1002"/>
      <c r="W7" s="1002"/>
      <c r="X7" s="1002"/>
      <c r="Y7" s="1002"/>
      <c r="Z7" s="1002"/>
      <c r="AA7" s="1002"/>
      <c r="AB7" s="1002"/>
      <c r="AC7" s="1002"/>
      <c r="AD7" s="1002"/>
      <c r="AE7" s="1002"/>
      <c r="AF7" s="1002"/>
      <c r="AG7" s="1002"/>
      <c r="AH7" s="1002"/>
      <c r="AI7" s="1002"/>
      <c r="AJ7" s="1002"/>
      <c r="AK7" s="1002"/>
      <c r="AL7" s="1002"/>
      <c r="AM7" s="1003"/>
      <c r="AZ7" s="244"/>
      <c r="BB7" s="130" t="s">
        <v>572</v>
      </c>
      <c r="BC7" s="130" t="s">
        <v>526</v>
      </c>
      <c r="BD7" s="130" t="s">
        <v>527</v>
      </c>
      <c r="BG7" s="270"/>
      <c r="BH7" s="57" t="s">
        <v>505</v>
      </c>
      <c r="BI7" s="57">
        <v>54.6</v>
      </c>
      <c r="BJ7" s="57">
        <v>49.2</v>
      </c>
      <c r="BK7" s="57" t="s">
        <v>547</v>
      </c>
      <c r="BL7" s="57" t="s">
        <v>548</v>
      </c>
      <c r="BM7" s="57" t="s">
        <v>549</v>
      </c>
      <c r="BN7" s="146">
        <v>2.7027000000000001</v>
      </c>
      <c r="BP7" s="333"/>
      <c r="BQ7" s="146" t="s">
        <v>601</v>
      </c>
      <c r="CJ7" s="130"/>
      <c r="CK7" s="130"/>
      <c r="CL7" s="130"/>
      <c r="CM7" s="130"/>
      <c r="CN7" s="130"/>
      <c r="CO7" s="130"/>
      <c r="CP7" s="130"/>
      <c r="CQ7" s="130"/>
      <c r="CR7" s="130"/>
      <c r="CS7" s="130"/>
      <c r="CT7" s="130"/>
      <c r="CU7" s="130"/>
      <c r="CV7" s="130"/>
      <c r="CW7" s="130"/>
      <c r="CX7" s="130"/>
    </row>
    <row r="8" spans="1:102" ht="20.100000000000001" customHeight="1">
      <c r="A8" s="1"/>
      <c r="B8" s="980" t="s">
        <v>9</v>
      </c>
      <c r="C8" s="1034"/>
      <c r="D8" s="119" t="s">
        <v>479</v>
      </c>
      <c r="E8" s="990">
        <f>T28</f>
        <v>0</v>
      </c>
      <c r="F8" s="990"/>
      <c r="G8" s="1024">
        <f>AJ28</f>
        <v>0</v>
      </c>
      <c r="H8" s="1025"/>
      <c r="I8" s="1022">
        <f>E8-G8</f>
        <v>0</v>
      </c>
      <c r="J8" s="1023"/>
      <c r="K8" s="1193">
        <f>IFERROR(I8/E8,0)</f>
        <v>0</v>
      </c>
      <c r="L8" s="1193"/>
      <c r="U8" s="1004"/>
      <c r="V8" s="1005"/>
      <c r="W8" s="1005"/>
      <c r="X8" s="1005"/>
      <c r="Y8" s="1005"/>
      <c r="Z8" s="1005"/>
      <c r="AA8" s="1005"/>
      <c r="AB8" s="1005"/>
      <c r="AC8" s="1005"/>
      <c r="AD8" s="1005"/>
      <c r="AE8" s="1005"/>
      <c r="AF8" s="1005"/>
      <c r="AG8" s="1005"/>
      <c r="AH8" s="1005"/>
      <c r="AI8" s="1005"/>
      <c r="AJ8" s="1005"/>
      <c r="AK8" s="1005"/>
      <c r="AL8" s="1005"/>
      <c r="AM8" s="1006"/>
      <c r="AZ8" s="244"/>
      <c r="BG8" s="271"/>
      <c r="BH8" s="57" t="s">
        <v>566</v>
      </c>
      <c r="BI8" s="57">
        <f>W18</f>
        <v>0</v>
      </c>
      <c r="BJ8" s="57">
        <f>W19</f>
        <v>0</v>
      </c>
      <c r="BK8" s="57" t="s">
        <v>526</v>
      </c>
      <c r="BL8" s="57" t="s">
        <v>528</v>
      </c>
      <c r="BM8" s="57" t="s">
        <v>549</v>
      </c>
      <c r="BN8" s="146">
        <f>W20</f>
        <v>0</v>
      </c>
      <c r="BP8" s="333"/>
      <c r="BQ8" s="146" t="s">
        <v>581</v>
      </c>
      <c r="CJ8" s="130"/>
      <c r="CK8" s="130"/>
      <c r="CL8" s="130"/>
      <c r="CM8" s="130"/>
      <c r="CN8" s="130"/>
      <c r="CO8" s="130"/>
      <c r="CP8" s="130"/>
      <c r="CQ8" s="130"/>
      <c r="CR8" s="130"/>
      <c r="CS8" s="130"/>
      <c r="CT8" s="130"/>
      <c r="CU8" s="130"/>
      <c r="CV8" s="130"/>
      <c r="CW8" s="130"/>
      <c r="CX8" s="130"/>
    </row>
    <row r="9" spans="1:102" ht="20.100000000000001" customHeight="1">
      <c r="A9" s="1"/>
      <c r="B9" s="980" t="s">
        <v>12</v>
      </c>
      <c r="C9" s="1034"/>
      <c r="D9" s="119" t="s">
        <v>13</v>
      </c>
      <c r="E9" s="991">
        <f>AW28</f>
        <v>0</v>
      </c>
      <c r="F9" s="991"/>
      <c r="G9" s="1022">
        <f>BC28</f>
        <v>0</v>
      </c>
      <c r="H9" s="1023"/>
      <c r="I9" s="1022">
        <f>E9-G9</f>
        <v>0</v>
      </c>
      <c r="J9" s="1023"/>
      <c r="K9" s="1193">
        <f>IFERROR(I9/E9,0)</f>
        <v>0</v>
      </c>
      <c r="L9" s="1193"/>
      <c r="T9" s="251"/>
      <c r="U9" s="1004"/>
      <c r="V9" s="1005"/>
      <c r="W9" s="1005"/>
      <c r="X9" s="1005"/>
      <c r="Y9" s="1005"/>
      <c r="Z9" s="1005"/>
      <c r="AA9" s="1005"/>
      <c r="AB9" s="1005"/>
      <c r="AC9" s="1005"/>
      <c r="AD9" s="1005"/>
      <c r="AE9" s="1005"/>
      <c r="AF9" s="1005"/>
      <c r="AG9" s="1005"/>
      <c r="AH9" s="1005"/>
      <c r="AI9" s="1005"/>
      <c r="AJ9" s="1005"/>
      <c r="AK9" s="1005"/>
      <c r="AL9" s="1005"/>
      <c r="AM9" s="1006"/>
      <c r="AZ9" s="244"/>
      <c r="BG9" s="267" t="s">
        <v>550</v>
      </c>
      <c r="BH9" s="57" t="s">
        <v>551</v>
      </c>
      <c r="BI9" s="57">
        <v>36.700000000000003</v>
      </c>
      <c r="BJ9" s="57">
        <v>34.200000000000003</v>
      </c>
      <c r="BK9" s="57" t="s">
        <v>552</v>
      </c>
      <c r="BL9" s="57" t="s">
        <v>553</v>
      </c>
      <c r="BM9" s="57" t="s">
        <v>554</v>
      </c>
      <c r="BN9" s="146">
        <v>2.4895</v>
      </c>
      <c r="BP9" s="331" t="s">
        <v>550</v>
      </c>
      <c r="BQ9" s="146" t="s">
        <v>551</v>
      </c>
      <c r="CJ9" s="130"/>
      <c r="CK9" s="130"/>
      <c r="CL9" s="130"/>
      <c r="CM9" s="130"/>
      <c r="CN9" s="130"/>
      <c r="CO9" s="130"/>
      <c r="CP9" s="130"/>
      <c r="CQ9" s="130"/>
      <c r="CR9" s="130"/>
      <c r="CS9" s="130"/>
      <c r="CT9" s="130"/>
      <c r="CU9" s="130"/>
      <c r="CV9" s="130"/>
      <c r="CW9" s="130"/>
      <c r="CX9" s="130"/>
    </row>
    <row r="10" spans="1:102" ht="19.5" customHeight="1">
      <c r="B10" s="284"/>
      <c r="C10" s="284"/>
      <c r="D10" s="284"/>
      <c r="E10" s="284"/>
      <c r="F10" s="284"/>
      <c r="G10" s="284"/>
      <c r="H10" s="283"/>
      <c r="I10" s="285"/>
      <c r="J10" s="285"/>
      <c r="K10" s="285"/>
      <c r="L10" s="285"/>
      <c r="T10" s="250"/>
      <c r="U10" s="1004"/>
      <c r="V10" s="1005"/>
      <c r="W10" s="1005"/>
      <c r="X10" s="1005"/>
      <c r="Y10" s="1005"/>
      <c r="Z10" s="1005"/>
      <c r="AA10" s="1005"/>
      <c r="AB10" s="1005"/>
      <c r="AC10" s="1005"/>
      <c r="AD10" s="1005"/>
      <c r="AE10" s="1005"/>
      <c r="AF10" s="1005"/>
      <c r="AG10" s="1005"/>
      <c r="AH10" s="1005"/>
      <c r="AI10" s="1005"/>
      <c r="AJ10" s="1005"/>
      <c r="AK10" s="1005"/>
      <c r="AL10" s="1005"/>
      <c r="AM10" s="1006"/>
      <c r="AZ10" s="244"/>
      <c r="BC10" s="57" t="s">
        <v>526</v>
      </c>
      <c r="BD10" s="134" t="s">
        <v>598</v>
      </c>
      <c r="BG10" s="270"/>
      <c r="BH10" s="57" t="s">
        <v>555</v>
      </c>
      <c r="BI10" s="57">
        <v>37.700000000000003</v>
      </c>
      <c r="BJ10" s="57">
        <v>35.1</v>
      </c>
      <c r="BK10" s="57" t="s">
        <v>552</v>
      </c>
      <c r="BL10" s="57" t="s">
        <v>553</v>
      </c>
      <c r="BM10" s="57" t="s">
        <v>554</v>
      </c>
      <c r="BN10" s="146">
        <v>2.585</v>
      </c>
      <c r="BP10" s="333"/>
      <c r="BQ10" s="146" t="s">
        <v>555</v>
      </c>
      <c r="BS10" s="134" t="s">
        <v>922</v>
      </c>
      <c r="BU10" s="134" t="s">
        <v>916</v>
      </c>
      <c r="CJ10" s="130"/>
      <c r="CK10" s="130"/>
      <c r="CL10" s="130"/>
      <c r="CM10" s="130"/>
      <c r="CN10" s="130"/>
      <c r="CO10" s="130"/>
      <c r="CP10" s="130"/>
      <c r="CQ10" s="130"/>
      <c r="CR10" s="130"/>
      <c r="CS10" s="130"/>
      <c r="CT10" s="130"/>
      <c r="CU10" s="130"/>
      <c r="CV10" s="130"/>
      <c r="CW10" s="130"/>
      <c r="CX10" s="130"/>
    </row>
    <row r="11" spans="1:102" ht="20.25" customHeight="1">
      <c r="A11" s="105" t="s">
        <v>309</v>
      </c>
      <c r="U11" s="1004"/>
      <c r="V11" s="1005"/>
      <c r="W11" s="1005"/>
      <c r="X11" s="1005"/>
      <c r="Y11" s="1005"/>
      <c r="Z11" s="1005"/>
      <c r="AA11" s="1005"/>
      <c r="AB11" s="1005"/>
      <c r="AC11" s="1005"/>
      <c r="AD11" s="1005"/>
      <c r="AE11" s="1005"/>
      <c r="AF11" s="1005"/>
      <c r="AG11" s="1005"/>
      <c r="AH11" s="1005"/>
      <c r="AI11" s="1005"/>
      <c r="AJ11" s="1005"/>
      <c r="AK11" s="1005"/>
      <c r="AL11" s="1005"/>
      <c r="AM11" s="1006"/>
      <c r="BC11" s="57" t="s">
        <v>552</v>
      </c>
      <c r="BD11" s="134" t="s">
        <v>600</v>
      </c>
      <c r="BG11" s="270"/>
      <c r="BH11" s="57" t="s">
        <v>556</v>
      </c>
      <c r="BI11" s="57">
        <v>39.1</v>
      </c>
      <c r="BJ11" s="57">
        <v>36.6</v>
      </c>
      <c r="BK11" s="57" t="s">
        <v>552</v>
      </c>
      <c r="BL11" s="57" t="s">
        <v>553</v>
      </c>
      <c r="BM11" s="57" t="s">
        <v>554</v>
      </c>
      <c r="BN11" s="146">
        <v>2.7096</v>
      </c>
      <c r="BP11" s="333"/>
      <c r="BQ11" s="146" t="s">
        <v>556</v>
      </c>
      <c r="BR11" s="134">
        <v>1</v>
      </c>
      <c r="BS11" s="134" t="s">
        <v>636</v>
      </c>
      <c r="BU11" s="134" t="s">
        <v>674</v>
      </c>
      <c r="CJ11" s="130"/>
      <c r="CK11" s="130"/>
      <c r="CL11" s="130"/>
      <c r="CM11" s="130"/>
      <c r="CN11" s="130"/>
      <c r="CO11" s="130"/>
      <c r="CP11" s="130"/>
      <c r="CQ11" s="130"/>
      <c r="CR11" s="130"/>
      <c r="CS11" s="130"/>
      <c r="CT11" s="130"/>
      <c r="CU11" s="130"/>
      <c r="CV11" s="130"/>
      <c r="CW11" s="130"/>
      <c r="CX11" s="130"/>
    </row>
    <row r="12" spans="1:102" ht="20.25" customHeight="1">
      <c r="U12" s="1007"/>
      <c r="V12" s="1008"/>
      <c r="W12" s="1008"/>
      <c r="X12" s="1008"/>
      <c r="Y12" s="1008"/>
      <c r="Z12" s="1008"/>
      <c r="AA12" s="1008"/>
      <c r="AB12" s="1008"/>
      <c r="AC12" s="1008"/>
      <c r="AD12" s="1008"/>
      <c r="AE12" s="1008"/>
      <c r="AF12" s="1008"/>
      <c r="AG12" s="1008"/>
      <c r="AH12" s="1008"/>
      <c r="AI12" s="1008"/>
      <c r="AJ12" s="1008"/>
      <c r="AK12" s="1008"/>
      <c r="AL12" s="1008"/>
      <c r="AM12" s="1009"/>
      <c r="AX12" s="146"/>
      <c r="AZ12" s="146"/>
      <c r="BC12" s="57" t="s">
        <v>560</v>
      </c>
      <c r="BD12" s="134" t="s">
        <v>599</v>
      </c>
      <c r="BG12" s="270"/>
      <c r="BH12" s="57" t="s">
        <v>557</v>
      </c>
      <c r="BI12" s="57">
        <v>41.9</v>
      </c>
      <c r="BJ12" s="57">
        <v>39.4</v>
      </c>
      <c r="BK12" s="57" t="s">
        <v>552</v>
      </c>
      <c r="BL12" s="57" t="s">
        <v>553</v>
      </c>
      <c r="BM12" s="57" t="s">
        <v>554</v>
      </c>
      <c r="BN12" s="146">
        <v>2.7955999999999999</v>
      </c>
      <c r="BP12" s="333"/>
      <c r="BQ12" s="146" t="s">
        <v>557</v>
      </c>
      <c r="BR12" s="134">
        <v>2</v>
      </c>
      <c r="BS12" s="134" t="s">
        <v>637</v>
      </c>
      <c r="BU12" s="134" t="s">
        <v>674</v>
      </c>
      <c r="CJ12" s="130"/>
      <c r="CK12" s="130"/>
      <c r="CL12" s="130"/>
      <c r="CM12" s="130"/>
      <c r="CN12" s="130"/>
      <c r="CO12" s="130"/>
      <c r="CP12" s="130"/>
      <c r="CQ12" s="130"/>
      <c r="CR12" s="130"/>
      <c r="CS12" s="130"/>
      <c r="CT12" s="130"/>
      <c r="CU12" s="130"/>
      <c r="CV12" s="130"/>
      <c r="CW12" s="130"/>
      <c r="CX12" s="130"/>
    </row>
    <row r="13" spans="1:102" ht="20.25" customHeight="1">
      <c r="Z13" s="247"/>
      <c r="AA13" s="247"/>
      <c r="AB13" s="247"/>
      <c r="AC13" s="247"/>
      <c r="AD13" s="247"/>
      <c r="AE13" s="247"/>
      <c r="AF13" s="247"/>
      <c r="AG13" s="247"/>
      <c r="AH13" s="247"/>
      <c r="AI13" s="247"/>
      <c r="AJ13" s="247"/>
      <c r="AK13" s="247"/>
      <c r="AL13" s="247"/>
      <c r="AM13" s="247"/>
      <c r="AN13" s="247"/>
      <c r="BG13" s="270"/>
      <c r="BH13" s="57" t="s">
        <v>558</v>
      </c>
      <c r="BI13" s="57">
        <v>41.9</v>
      </c>
      <c r="BJ13" s="57">
        <v>39.4</v>
      </c>
      <c r="BK13" s="57" t="s">
        <v>552</v>
      </c>
      <c r="BL13" s="57" t="s">
        <v>553</v>
      </c>
      <c r="BM13" s="57" t="s">
        <v>554</v>
      </c>
      <c r="BN13" s="146">
        <v>2.7955999999999999</v>
      </c>
      <c r="BP13" s="334"/>
      <c r="BQ13" s="146" t="s">
        <v>558</v>
      </c>
      <c r="BR13" s="134">
        <v>3</v>
      </c>
      <c r="BS13" s="134" t="s">
        <v>667</v>
      </c>
      <c r="BU13" s="134" t="s">
        <v>674</v>
      </c>
      <c r="CJ13" s="130"/>
      <c r="CK13" s="130"/>
      <c r="CL13" s="130"/>
      <c r="CM13" s="130"/>
      <c r="CN13" s="130"/>
      <c r="CO13" s="130"/>
      <c r="CP13" s="130"/>
      <c r="CQ13" s="130"/>
      <c r="CR13" s="130"/>
      <c r="CS13" s="130"/>
      <c r="CT13" s="130"/>
      <c r="CU13" s="130"/>
      <c r="CV13" s="130"/>
      <c r="CW13" s="130"/>
      <c r="CX13" s="130"/>
    </row>
    <row r="14" spans="1:102" ht="20.25" customHeight="1">
      <c r="U14" s="130" t="s">
        <v>684</v>
      </c>
      <c r="AA14" s="177"/>
      <c r="AB14" s="177"/>
      <c r="AC14" s="177"/>
      <c r="AD14" s="247"/>
      <c r="AE14" s="247"/>
      <c r="AF14" s="247"/>
      <c r="AG14" s="247"/>
      <c r="AH14" s="247"/>
      <c r="AI14" s="247"/>
      <c r="AJ14" s="247"/>
      <c r="AK14" s="247"/>
      <c r="AL14" s="247"/>
      <c r="AM14" s="247"/>
      <c r="AN14" s="247"/>
      <c r="BC14" s="130" t="s">
        <v>678</v>
      </c>
      <c r="BG14" s="271"/>
      <c r="BH14" s="57" t="s">
        <v>564</v>
      </c>
      <c r="BI14" s="57">
        <f>W18</f>
        <v>0</v>
      </c>
      <c r="BJ14" s="57">
        <f>W19</f>
        <v>0</v>
      </c>
      <c r="BK14" s="57" t="s">
        <v>552</v>
      </c>
      <c r="BL14" s="57" t="s">
        <v>553</v>
      </c>
      <c r="BM14" s="57" t="s">
        <v>554</v>
      </c>
      <c r="BN14" s="146">
        <f>W20</f>
        <v>0</v>
      </c>
      <c r="BP14" s="146" t="s">
        <v>559</v>
      </c>
      <c r="BQ14" s="146" t="s">
        <v>532</v>
      </c>
      <c r="BR14" s="134">
        <v>4</v>
      </c>
      <c r="BS14" s="134" t="s">
        <v>638</v>
      </c>
      <c r="CJ14" s="130"/>
      <c r="CK14" s="130"/>
      <c r="CL14" s="130"/>
      <c r="CM14" s="130"/>
      <c r="CN14" s="130"/>
      <c r="CO14" s="130"/>
      <c r="CP14" s="130"/>
      <c r="CQ14" s="130"/>
      <c r="CR14" s="130"/>
      <c r="CS14" s="130"/>
      <c r="CT14" s="130"/>
      <c r="CU14" s="130"/>
      <c r="CV14" s="130"/>
      <c r="CW14" s="130"/>
      <c r="CX14" s="130"/>
    </row>
    <row r="15" spans="1:102" ht="12" customHeight="1">
      <c r="AA15" s="247"/>
      <c r="AB15" s="247"/>
      <c r="AC15" s="247"/>
      <c r="AD15" s="247"/>
      <c r="AE15" s="247"/>
      <c r="AF15" s="247"/>
      <c r="AG15" s="247"/>
      <c r="AH15" s="247"/>
      <c r="AI15" s="247"/>
      <c r="AJ15" s="247"/>
      <c r="AK15" s="247"/>
      <c r="AL15" s="247"/>
      <c r="AM15" s="247"/>
      <c r="AN15" s="247"/>
      <c r="BC15" s="130" t="s">
        <v>679</v>
      </c>
      <c r="BG15" s="267" t="s">
        <v>559</v>
      </c>
      <c r="BH15" s="57" t="s">
        <v>532</v>
      </c>
      <c r="BI15" s="272">
        <v>9.76</v>
      </c>
      <c r="BJ15" s="57">
        <v>9.76</v>
      </c>
      <c r="BK15" s="57" t="s">
        <v>560</v>
      </c>
      <c r="BL15" s="332" t="s">
        <v>561</v>
      </c>
      <c r="BM15" s="57" t="s">
        <v>562</v>
      </c>
      <c r="BN15" s="146">
        <v>0.495</v>
      </c>
      <c r="BP15" s="331" t="s">
        <v>563</v>
      </c>
      <c r="BQ15" s="146" t="s">
        <v>536</v>
      </c>
      <c r="BR15" s="134">
        <v>5</v>
      </c>
      <c r="BS15" s="134" t="s">
        <v>652</v>
      </c>
      <c r="CJ15" s="130"/>
      <c r="CK15" s="130"/>
      <c r="CL15" s="130"/>
      <c r="CM15" s="130"/>
      <c r="CN15" s="130"/>
      <c r="CO15" s="130"/>
      <c r="CP15" s="130"/>
      <c r="CQ15" s="130"/>
      <c r="CR15" s="130"/>
      <c r="CS15" s="130"/>
      <c r="CT15" s="130"/>
      <c r="CU15" s="130"/>
      <c r="CV15" s="130"/>
      <c r="CW15" s="130"/>
      <c r="CX15" s="130"/>
    </row>
    <row r="16" spans="1:102" ht="20.100000000000001" customHeight="1">
      <c r="U16" s="336" t="s">
        <v>863</v>
      </c>
      <c r="V16" s="1201"/>
      <c r="W16" s="1202"/>
      <c r="X16" s="1203"/>
      <c r="AD16" s="247"/>
      <c r="AE16" s="247"/>
      <c r="AF16" s="247"/>
      <c r="AG16" s="247"/>
      <c r="AH16" s="247"/>
      <c r="AI16" s="247"/>
      <c r="AJ16" s="247"/>
      <c r="AK16" s="247"/>
      <c r="AL16" s="247"/>
      <c r="AM16" s="247"/>
      <c r="AN16" s="247"/>
      <c r="BC16" s="130" t="s">
        <v>680</v>
      </c>
      <c r="BG16" s="271"/>
      <c r="BH16" s="57" t="s">
        <v>565</v>
      </c>
      <c r="BI16" s="57">
        <f>W18</f>
        <v>0</v>
      </c>
      <c r="BJ16" s="57">
        <f>W19</f>
        <v>0</v>
      </c>
      <c r="BK16" s="57" t="s">
        <v>526</v>
      </c>
      <c r="BL16" s="57" t="s">
        <v>561</v>
      </c>
      <c r="BM16" s="57" t="s">
        <v>562</v>
      </c>
      <c r="BN16" s="146">
        <f>W20</f>
        <v>0</v>
      </c>
      <c r="BP16" s="334"/>
      <c r="BQ16" s="146" t="s">
        <v>537</v>
      </c>
      <c r="BR16" s="134">
        <v>6</v>
      </c>
      <c r="BS16" s="134" t="s">
        <v>651</v>
      </c>
      <c r="CX16" s="130"/>
    </row>
    <row r="17" spans="1:102" ht="20.100000000000001" customHeight="1">
      <c r="A17" s="207"/>
      <c r="B17" s="313"/>
      <c r="C17" s="313"/>
      <c r="D17" s="313"/>
      <c r="E17" s="313"/>
      <c r="F17" s="314"/>
      <c r="G17" s="314"/>
      <c r="H17" s="314"/>
      <c r="I17" s="314"/>
      <c r="J17" s="314"/>
      <c r="K17" s="315"/>
      <c r="L17" s="315"/>
      <c r="M17" s="314"/>
      <c r="N17" s="314"/>
      <c r="O17" s="314"/>
      <c r="P17" s="246"/>
      <c r="Q17" s="246"/>
      <c r="R17" s="246"/>
      <c r="S17" s="315"/>
      <c r="T17" s="315"/>
      <c r="U17" s="337" t="s">
        <v>865</v>
      </c>
      <c r="V17" s="341" t="s">
        <v>590</v>
      </c>
      <c r="W17" s="1096"/>
      <c r="X17" s="1096"/>
      <c r="AD17" s="208"/>
      <c r="AE17" s="208"/>
      <c r="AF17" s="208"/>
      <c r="AG17" s="209"/>
      <c r="AH17" s="209"/>
      <c r="AI17" s="209"/>
      <c r="AJ17" s="209"/>
      <c r="AK17" s="209"/>
      <c r="AL17" s="209"/>
      <c r="AM17" s="209"/>
      <c r="AN17" s="209"/>
      <c r="AO17" s="209"/>
      <c r="AP17" s="209"/>
      <c r="AQ17" s="209"/>
      <c r="BC17" s="130" t="s">
        <v>681</v>
      </c>
      <c r="BG17" s="267" t="s">
        <v>563</v>
      </c>
      <c r="BH17" s="57" t="s">
        <v>536</v>
      </c>
      <c r="BI17" s="57">
        <v>25.7</v>
      </c>
      <c r="BJ17" s="57">
        <v>24.4</v>
      </c>
      <c r="BK17" s="57" t="s">
        <v>547</v>
      </c>
      <c r="BL17" s="57" t="s">
        <v>548</v>
      </c>
      <c r="BM17" s="57" t="s">
        <v>549</v>
      </c>
      <c r="BN17" s="146">
        <v>2.3275999999999999</v>
      </c>
      <c r="BR17" s="134">
        <v>7</v>
      </c>
      <c r="BS17" s="134" t="s">
        <v>658</v>
      </c>
      <c r="CX17" s="130"/>
    </row>
    <row r="18" spans="1:102" ht="20.100000000000001" customHeight="1">
      <c r="A18" s="207"/>
      <c r="B18" s="313"/>
      <c r="C18" s="313"/>
      <c r="D18" s="313"/>
      <c r="E18" s="313"/>
      <c r="F18" s="314"/>
      <c r="G18" s="314"/>
      <c r="H18" s="314"/>
      <c r="I18" s="314"/>
      <c r="J18" s="314"/>
      <c r="K18" s="315"/>
      <c r="L18" s="315"/>
      <c r="M18" s="314"/>
      <c r="N18" s="314"/>
      <c r="O18" s="314"/>
      <c r="P18" s="246"/>
      <c r="Q18" s="246"/>
      <c r="R18" s="246"/>
      <c r="S18" s="315"/>
      <c r="T18" s="246"/>
      <c r="U18" s="338" t="s">
        <v>515</v>
      </c>
      <c r="V18" s="576"/>
      <c r="W18" s="1200"/>
      <c r="X18" s="1200"/>
      <c r="AD18" s="208"/>
      <c r="AE18" s="208"/>
      <c r="AF18" s="208"/>
      <c r="AG18" s="209"/>
      <c r="AH18" s="209"/>
      <c r="AI18" s="209"/>
      <c r="AJ18" s="209"/>
      <c r="AK18" s="209"/>
      <c r="AL18" s="209"/>
      <c r="AM18" s="209"/>
      <c r="AN18" s="209"/>
      <c r="AO18" s="209"/>
      <c r="AP18" s="209"/>
      <c r="AQ18" s="209"/>
      <c r="BC18" s="130" t="s">
        <v>682</v>
      </c>
      <c r="BG18" s="270"/>
      <c r="BH18" s="57" t="s">
        <v>537</v>
      </c>
      <c r="BI18" s="57">
        <v>29.4</v>
      </c>
      <c r="BJ18" s="57">
        <v>27.9</v>
      </c>
      <c r="BK18" s="57" t="s">
        <v>547</v>
      </c>
      <c r="BL18" s="57" t="s">
        <v>548</v>
      </c>
      <c r="BM18" s="57" t="s">
        <v>549</v>
      </c>
      <c r="BN18" s="146">
        <v>3.1692999999999998</v>
      </c>
      <c r="BR18" s="134">
        <v>8</v>
      </c>
      <c r="BS18" s="134" t="s">
        <v>654</v>
      </c>
      <c r="BU18" s="134" t="s">
        <v>674</v>
      </c>
      <c r="CX18" s="130"/>
    </row>
    <row r="19" spans="1:102" ht="20.100000000000001" customHeight="1">
      <c r="A19" s="133"/>
      <c r="B19" s="133"/>
      <c r="C19" s="133"/>
      <c r="D19" s="133"/>
      <c r="E19" s="133"/>
      <c r="F19" s="175"/>
      <c r="G19" s="175"/>
      <c r="H19" s="314"/>
      <c r="I19" s="175"/>
      <c r="J19" s="175"/>
      <c r="K19" s="175"/>
      <c r="L19" s="175"/>
      <c r="M19" s="175"/>
      <c r="N19" s="175"/>
      <c r="O19" s="175"/>
      <c r="P19" s="175"/>
      <c r="Q19" s="175"/>
      <c r="R19" s="175"/>
      <c r="S19" s="133"/>
      <c r="T19" s="133"/>
      <c r="U19" s="339" t="s">
        <v>595</v>
      </c>
      <c r="V19" s="576"/>
      <c r="W19" s="1096"/>
      <c r="X19" s="1096"/>
      <c r="AD19" s="175"/>
      <c r="AE19" s="175"/>
      <c r="AF19" s="175"/>
      <c r="AG19" s="175"/>
      <c r="AH19" s="175"/>
      <c r="AI19" s="175"/>
      <c r="AJ19" s="175"/>
      <c r="AK19" s="175"/>
      <c r="AL19" s="175"/>
      <c r="AM19" s="175"/>
      <c r="AN19" s="206"/>
      <c r="AO19" s="131"/>
      <c r="BC19" s="130" t="s">
        <v>788</v>
      </c>
      <c r="BG19" s="57" t="s">
        <v>535</v>
      </c>
      <c r="BH19" s="57" t="s">
        <v>535</v>
      </c>
      <c r="BI19" s="57">
        <f>W18</f>
        <v>0</v>
      </c>
      <c r="BJ19" s="57">
        <f>W19</f>
        <v>0</v>
      </c>
      <c r="BK19" s="57" t="s">
        <v>548</v>
      </c>
      <c r="BL19" s="57" t="s">
        <v>549</v>
      </c>
      <c r="BM19" s="57" t="s">
        <v>549</v>
      </c>
      <c r="BN19" s="146">
        <f>W20</f>
        <v>0</v>
      </c>
      <c r="BO19" s="134" t="s">
        <v>598</v>
      </c>
      <c r="BR19" s="134">
        <v>9</v>
      </c>
      <c r="BS19" s="134" t="s">
        <v>673</v>
      </c>
      <c r="BU19" s="134" t="s">
        <v>674</v>
      </c>
      <c r="CX19" s="130"/>
    </row>
    <row r="20" spans="1:102" ht="20.100000000000001" customHeight="1">
      <c r="A20" s="133"/>
      <c r="B20" s="133"/>
      <c r="C20" s="133"/>
      <c r="D20" s="133"/>
      <c r="E20" s="133"/>
      <c r="F20" s="176"/>
      <c r="G20" s="176"/>
      <c r="H20" s="176"/>
      <c r="I20" s="176"/>
      <c r="J20" s="176"/>
      <c r="K20" s="176"/>
      <c r="L20" s="176"/>
      <c r="M20" s="175"/>
      <c r="N20" s="175"/>
      <c r="O20" s="175"/>
      <c r="P20" s="175"/>
      <c r="Q20" s="175"/>
      <c r="R20" s="175"/>
      <c r="S20" s="133"/>
      <c r="T20" s="133"/>
      <c r="U20" s="340" t="s">
        <v>502</v>
      </c>
      <c r="V20" s="577" t="str">
        <f>IFERROR(INDEX(BD10:BD12,MATCH(V18,BC10:BC12,0),1),"")</f>
        <v/>
      </c>
      <c r="W20" s="1096"/>
      <c r="X20" s="1096"/>
      <c r="AD20" s="177"/>
      <c r="AE20" s="177"/>
      <c r="AF20" s="177"/>
      <c r="AG20" s="175"/>
      <c r="AH20" s="175"/>
      <c r="AI20" s="175"/>
      <c r="AJ20" s="175"/>
      <c r="AK20" s="175"/>
      <c r="AL20" s="175"/>
      <c r="AM20" s="175"/>
      <c r="AN20" s="134"/>
      <c r="BK20" s="134"/>
      <c r="BL20" s="134"/>
      <c r="CW20" s="130"/>
      <c r="CX20" s="130"/>
    </row>
    <row r="21" spans="1:102" ht="21" customHeight="1">
      <c r="A21" s="133"/>
      <c r="B21" s="133"/>
      <c r="C21" s="133"/>
      <c r="D21" s="133"/>
      <c r="E21" s="133"/>
      <c r="F21" s="176"/>
      <c r="G21" s="176"/>
      <c r="H21" s="176"/>
      <c r="I21" s="176"/>
      <c r="J21" s="176"/>
      <c r="K21" s="176"/>
      <c r="L21" s="176"/>
      <c r="M21" s="175"/>
      <c r="N21" s="175"/>
      <c r="O21" s="175"/>
      <c r="P21" s="175"/>
      <c r="Q21" s="175"/>
      <c r="R21" s="175"/>
      <c r="S21" s="133"/>
      <c r="T21" s="133"/>
      <c r="U21" s="133"/>
      <c r="V21" s="133"/>
      <c r="W21" s="133"/>
      <c r="X21" s="133"/>
      <c r="Y21" s="133"/>
      <c r="Z21" s="133"/>
      <c r="AA21" s="133"/>
      <c r="AB21" s="133"/>
      <c r="AC21" s="133"/>
      <c r="AD21" s="133"/>
      <c r="AE21" s="177"/>
      <c r="AF21" s="177"/>
      <c r="AG21" s="175"/>
      <c r="AH21" s="175"/>
      <c r="AI21" s="175"/>
      <c r="AJ21" s="175"/>
      <c r="AK21" s="175"/>
      <c r="AL21" s="175"/>
      <c r="AM21" s="175"/>
      <c r="AN21" s="134"/>
      <c r="BK21" s="134"/>
      <c r="BL21" s="134"/>
      <c r="CW21" s="130"/>
      <c r="CX21" s="130"/>
    </row>
    <row r="22" spans="1:102" ht="21" customHeight="1">
      <c r="A22" s="132"/>
      <c r="B22" s="206"/>
      <c r="C22" s="206"/>
      <c r="D22" s="400"/>
      <c r="E22" s="400"/>
      <c r="F22" s="400"/>
      <c r="G22" s="411"/>
      <c r="H22" s="402"/>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380" t="s">
        <v>883</v>
      </c>
      <c r="AG22" s="380"/>
      <c r="AH22" s="206"/>
      <c r="AI22" s="206"/>
      <c r="AJ22" s="206"/>
      <c r="AK22" s="206"/>
      <c r="AL22" s="206"/>
      <c r="AM22" s="206"/>
      <c r="AN22" s="206"/>
      <c r="AO22" s="133"/>
      <c r="AQ22" s="133"/>
      <c r="AR22" s="133"/>
      <c r="BL22" s="134"/>
      <c r="CX22" s="130"/>
    </row>
    <row r="23" spans="1:102" ht="15.75" customHeight="1">
      <c r="A23" s="977" t="s">
        <v>0</v>
      </c>
      <c r="B23" s="213" t="s">
        <v>2</v>
      </c>
      <c r="C23" s="214"/>
      <c r="D23" s="214"/>
      <c r="E23" s="214"/>
      <c r="F23" s="214"/>
      <c r="G23" s="214"/>
      <c r="H23" s="214"/>
      <c r="I23" s="214"/>
      <c r="J23" s="214"/>
      <c r="K23" s="214"/>
      <c r="L23" s="214"/>
      <c r="M23" s="214"/>
      <c r="N23" s="214"/>
      <c r="O23" s="214"/>
      <c r="P23" s="214"/>
      <c r="Q23" s="215"/>
      <c r="R23" s="215"/>
      <c r="S23" s="215"/>
      <c r="T23" s="216"/>
      <c r="U23" s="217" t="s">
        <v>46</v>
      </c>
      <c r="V23" s="218"/>
      <c r="W23" s="218"/>
      <c r="X23" s="218"/>
      <c r="Y23" s="218"/>
      <c r="Z23" s="218"/>
      <c r="AA23" s="218"/>
      <c r="AB23" s="218"/>
      <c r="AC23" s="218"/>
      <c r="AD23" s="218"/>
      <c r="AE23" s="218"/>
      <c r="AF23" s="218"/>
      <c r="AG23" s="218"/>
      <c r="AH23" s="218"/>
      <c r="AI23" s="218"/>
      <c r="AJ23" s="218"/>
      <c r="AK23" s="994" t="s">
        <v>14</v>
      </c>
      <c r="AL23" s="1045"/>
      <c r="AM23" s="1045"/>
      <c r="AN23" s="888"/>
      <c r="AO23" s="889"/>
      <c r="AP23" s="135"/>
      <c r="AQ23" s="134"/>
      <c r="AR23" s="134"/>
      <c r="AS23" s="134"/>
      <c r="AT23" s="130" t="s">
        <v>913</v>
      </c>
      <c r="AZ23" s="130" t="s">
        <v>914</v>
      </c>
      <c r="BE23" s="134"/>
      <c r="BF23" s="134"/>
    </row>
    <row r="24" spans="1:102" ht="15" customHeight="1">
      <c r="A24" s="978"/>
      <c r="B24" s="220"/>
      <c r="C24" s="221"/>
      <c r="D24" s="221"/>
      <c r="E24" s="221"/>
      <c r="F24" s="221"/>
      <c r="G24" s="221"/>
      <c r="H24" s="221"/>
      <c r="I24" s="221"/>
      <c r="J24" s="221"/>
      <c r="K24" s="221"/>
      <c r="L24" s="221"/>
      <c r="M24" s="319" t="s">
        <v>49</v>
      </c>
      <c r="N24" s="215"/>
      <c r="O24" s="215"/>
      <c r="P24" s="219"/>
      <c r="Q24" s="219"/>
      <c r="R24" s="219"/>
      <c r="S24" s="219"/>
      <c r="T24" s="219"/>
      <c r="U24" s="220"/>
      <c r="V24" s="221"/>
      <c r="W24" s="221"/>
      <c r="X24" s="221"/>
      <c r="Y24" s="221"/>
      <c r="Z24" s="221"/>
      <c r="AA24" s="221"/>
      <c r="AB24" s="221"/>
      <c r="AC24" s="221"/>
      <c r="AD24" s="221"/>
      <c r="AE24" s="221"/>
      <c r="AF24" s="221"/>
      <c r="AG24" s="319" t="s">
        <v>49</v>
      </c>
      <c r="AH24" s="219"/>
      <c r="AI24" s="219"/>
      <c r="AJ24" s="216"/>
      <c r="AK24" s="996"/>
      <c r="AL24" s="1046"/>
      <c r="AM24" s="1046"/>
      <c r="AN24" s="890"/>
      <c r="AO24" s="532"/>
      <c r="AP24" s="135"/>
      <c r="AR24" s="134"/>
      <c r="AS24" s="134"/>
      <c r="BE24" s="134"/>
      <c r="BF24" s="134"/>
    </row>
    <row r="25" spans="1:102" s="134" customFormat="1" ht="36" customHeight="1">
      <c r="A25" s="979"/>
      <c r="B25" s="225" t="s">
        <v>15</v>
      </c>
      <c r="C25" s="389" t="s">
        <v>665</v>
      </c>
      <c r="D25" s="386" t="s">
        <v>675</v>
      </c>
      <c r="E25" s="386" t="s">
        <v>676</v>
      </c>
      <c r="F25" s="1115" t="s">
        <v>863</v>
      </c>
      <c r="G25" s="386" t="s">
        <v>410</v>
      </c>
      <c r="H25" s="226" t="s">
        <v>641</v>
      </c>
      <c r="I25" s="386" t="s">
        <v>864</v>
      </c>
      <c r="J25" s="226" t="s">
        <v>656</v>
      </c>
      <c r="K25" s="386" t="s">
        <v>1</v>
      </c>
      <c r="L25" s="386" t="s">
        <v>644</v>
      </c>
      <c r="M25" s="528" t="s">
        <v>793</v>
      </c>
      <c r="N25" s="525" t="s">
        <v>794</v>
      </c>
      <c r="O25" s="226" t="s">
        <v>640</v>
      </c>
      <c r="P25" s="226" t="s">
        <v>795</v>
      </c>
      <c r="Q25" s="1115" t="s">
        <v>797</v>
      </c>
      <c r="R25" s="386" t="s">
        <v>1</v>
      </c>
      <c r="S25" s="226" t="s">
        <v>798</v>
      </c>
      <c r="T25" s="226" t="s">
        <v>508</v>
      </c>
      <c r="U25" s="225" t="s">
        <v>15</v>
      </c>
      <c r="V25" s="389" t="s">
        <v>665</v>
      </c>
      <c r="W25" s="992" t="s">
        <v>1032</v>
      </c>
      <c r="X25" s="386" t="s">
        <v>675</v>
      </c>
      <c r="Y25" s="386" t="s">
        <v>676</v>
      </c>
      <c r="Z25" s="226" t="s">
        <v>642</v>
      </c>
      <c r="AA25" s="1115" t="s">
        <v>863</v>
      </c>
      <c r="AB25" s="386" t="s">
        <v>661</v>
      </c>
      <c r="AC25" s="226" t="s">
        <v>657</v>
      </c>
      <c r="AD25" s="386" t="s">
        <v>1</v>
      </c>
      <c r="AE25" s="386" t="s">
        <v>645</v>
      </c>
      <c r="AF25" s="437" t="s">
        <v>804</v>
      </c>
      <c r="AG25" s="1115" t="s">
        <v>803</v>
      </c>
      <c r="AH25" s="386" t="s">
        <v>1</v>
      </c>
      <c r="AI25" s="227" t="s">
        <v>799</v>
      </c>
      <c r="AJ25" s="226" t="s">
        <v>511</v>
      </c>
      <c r="AK25" s="227" t="s">
        <v>796</v>
      </c>
      <c r="AL25" s="227" t="s">
        <v>800</v>
      </c>
      <c r="AM25" s="227" t="s">
        <v>801</v>
      </c>
      <c r="AN25" s="1197" t="s">
        <v>523</v>
      </c>
      <c r="AO25" s="891" t="s">
        <v>585</v>
      </c>
      <c r="AP25" s="820" t="s">
        <v>909</v>
      </c>
      <c r="AQ25" s="137" t="s">
        <v>908</v>
      </c>
      <c r="AS25" s="829" t="s">
        <v>912</v>
      </c>
      <c r="AT25" s="188" t="s">
        <v>578</v>
      </c>
      <c r="AU25" s="188" t="s">
        <v>579</v>
      </c>
      <c r="AV25" s="188" t="s">
        <v>577</v>
      </c>
      <c r="AW25" s="188" t="s">
        <v>589</v>
      </c>
      <c r="AX25" s="188" t="s">
        <v>580</v>
      </c>
      <c r="AY25" s="188" t="s">
        <v>907</v>
      </c>
      <c r="AZ25" s="188" t="s">
        <v>578</v>
      </c>
      <c r="BA25" s="188" t="s">
        <v>579</v>
      </c>
      <c r="BB25" s="188" t="s">
        <v>577</v>
      </c>
      <c r="BC25" s="188" t="s">
        <v>589</v>
      </c>
      <c r="BD25" s="188" t="s">
        <v>580</v>
      </c>
      <c r="BE25" s="188" t="s">
        <v>907</v>
      </c>
      <c r="BF25" s="139" t="s">
        <v>1003</v>
      </c>
      <c r="BG25" s="134" t="s">
        <v>1019</v>
      </c>
      <c r="BH25" s="130"/>
      <c r="BI25" s="130"/>
      <c r="BL25" s="130"/>
    </row>
    <row r="26" spans="1:102" s="134" customFormat="1" ht="22.5" customHeight="1">
      <c r="A26" s="126" t="s">
        <v>1</v>
      </c>
      <c r="B26" s="122"/>
      <c r="C26" s="123"/>
      <c r="D26" s="401"/>
      <c r="E26" s="401" t="s">
        <v>677</v>
      </c>
      <c r="F26" s="1116"/>
      <c r="G26" s="123"/>
      <c r="H26" s="119" t="s">
        <v>44</v>
      </c>
      <c r="I26" s="266"/>
      <c r="J26" s="119" t="s">
        <v>588</v>
      </c>
      <c r="K26" s="266"/>
      <c r="L26" s="266" t="s">
        <v>631</v>
      </c>
      <c r="M26" s="440" t="s">
        <v>779</v>
      </c>
      <c r="N26" s="440" t="s">
        <v>778</v>
      </c>
      <c r="O26" s="119" t="s">
        <v>22</v>
      </c>
      <c r="P26" s="119" t="s">
        <v>266</v>
      </c>
      <c r="Q26" s="1116"/>
      <c r="R26" s="266"/>
      <c r="S26" s="266" t="s">
        <v>639</v>
      </c>
      <c r="T26" s="119" t="s">
        <v>479</v>
      </c>
      <c r="U26" s="123"/>
      <c r="V26" s="123"/>
      <c r="W26" s="993"/>
      <c r="X26" s="401"/>
      <c r="Y26" s="401" t="s">
        <v>677</v>
      </c>
      <c r="Z26" s="119" t="s">
        <v>44</v>
      </c>
      <c r="AA26" s="1116"/>
      <c r="AB26" s="266"/>
      <c r="AC26" s="119" t="s">
        <v>588</v>
      </c>
      <c r="AD26" s="266"/>
      <c r="AE26" s="119" t="s">
        <v>631</v>
      </c>
      <c r="AF26" s="119" t="s">
        <v>802</v>
      </c>
      <c r="AG26" s="1116"/>
      <c r="AH26" s="266"/>
      <c r="AI26" s="266" t="s">
        <v>639</v>
      </c>
      <c r="AJ26" s="119" t="s">
        <v>479</v>
      </c>
      <c r="AK26" s="119" t="str">
        <f>IF(AS28=10,AH29,"")&amp;"/年"</f>
        <v>/年</v>
      </c>
      <c r="AL26" s="119" t="s">
        <v>8</v>
      </c>
      <c r="AM26" s="119" t="s">
        <v>479</v>
      </c>
      <c r="AN26" s="1197"/>
      <c r="AO26" s="892" t="s">
        <v>583</v>
      </c>
      <c r="AP26" s="136"/>
      <c r="AQ26" s="204" t="s">
        <v>910</v>
      </c>
      <c r="AR26" s="828" t="s">
        <v>911</v>
      </c>
      <c r="AS26" s="829"/>
      <c r="AT26" s="188"/>
      <c r="AU26" s="188"/>
      <c r="AV26" s="188"/>
      <c r="AW26" s="188"/>
      <c r="AX26" s="188"/>
      <c r="AY26" s="188"/>
      <c r="AZ26" s="188"/>
      <c r="BA26" s="188"/>
      <c r="BB26" s="188"/>
      <c r="BC26" s="188"/>
      <c r="BD26" s="188"/>
      <c r="BE26" s="793"/>
      <c r="BF26" s="139"/>
      <c r="BH26" s="130"/>
      <c r="BS26" s="147"/>
    </row>
    <row r="27" spans="1:102" s="134" customFormat="1" ht="29.25" customHeight="1">
      <c r="A27" s="343" t="s">
        <v>419</v>
      </c>
      <c r="B27" s="556" t="s">
        <v>231</v>
      </c>
      <c r="C27" s="538" t="s">
        <v>636</v>
      </c>
      <c r="D27" s="538">
        <v>280</v>
      </c>
      <c r="E27" s="538" t="s">
        <v>58</v>
      </c>
      <c r="F27" s="557" t="s">
        <v>529</v>
      </c>
      <c r="G27" s="535">
        <v>2009</v>
      </c>
      <c r="H27" s="559">
        <v>2</v>
      </c>
      <c r="I27" s="560" t="s">
        <v>551</v>
      </c>
      <c r="J27" s="561">
        <v>40</v>
      </c>
      <c r="K27" s="316" t="str">
        <f>IF(F27="","",VLOOKUP(I27,$BH$4:$BM$19,6,FALSE))</f>
        <v>L/h</v>
      </c>
      <c r="L27" s="540">
        <v>0.2</v>
      </c>
      <c r="M27" s="539">
        <v>240</v>
      </c>
      <c r="N27" s="539">
        <v>24</v>
      </c>
      <c r="O27" s="316">
        <f>M27*N27</f>
        <v>5760</v>
      </c>
      <c r="P27" s="819">
        <v>0.5</v>
      </c>
      <c r="Q27" s="539">
        <f>IF(P27="",H27*J27*O27,H27*J27*O27*P27)</f>
        <v>230400</v>
      </c>
      <c r="R27" s="316" t="str">
        <f>IF(K27="","",IF(K27="kW","kW",LEFT(K27,FIND("/",K27)-1)))</f>
        <v>L</v>
      </c>
      <c r="S27" s="316">
        <f t="shared" ref="S27" si="0">IFERROR(H27*L27*O27,"")</f>
        <v>2304</v>
      </c>
      <c r="T27" s="318">
        <f>IFERROR((Q27*AX27*0.001)+(S27*0.495*0.001),"")</f>
        <v>574.72128000000009</v>
      </c>
      <c r="U27" s="556" t="s">
        <v>52</v>
      </c>
      <c r="V27" s="537" t="s">
        <v>636</v>
      </c>
      <c r="W27" s="537">
        <v>3</v>
      </c>
      <c r="X27" s="538">
        <v>240</v>
      </c>
      <c r="Y27" s="538" t="s">
        <v>58</v>
      </c>
      <c r="Z27" s="538">
        <v>2</v>
      </c>
      <c r="AA27" s="557" t="s">
        <v>525</v>
      </c>
      <c r="AB27" s="560" t="s">
        <v>591</v>
      </c>
      <c r="AC27" s="561">
        <v>40</v>
      </c>
      <c r="AD27" s="316" t="str">
        <f>IF(AA27="","",VLOOKUP(AB27,$BH$4:$BM$19,6,FALSE))</f>
        <v>m3（N)/h</v>
      </c>
      <c r="AE27" s="817">
        <v>0.25</v>
      </c>
      <c r="AF27" s="818"/>
      <c r="AG27" s="539">
        <f>AO27/BB27</f>
        <v>187904</v>
      </c>
      <c r="AH27" s="316" t="str">
        <f>IF(AD27="","",IF(AD27="kW","kW",LEFT(AD27,FIND("/",AD27)-1)))</f>
        <v>m3（N)</v>
      </c>
      <c r="AI27" s="316">
        <v>1440</v>
      </c>
      <c r="AJ27" s="316">
        <f>IFERROR((AG27*BD27*0.001)+(AI27*0.495*0.001),"")</f>
        <v>422.3693760000001</v>
      </c>
      <c r="AK27" s="316">
        <f>IFERROR(Q27-AG27,"")</f>
        <v>42496</v>
      </c>
      <c r="AL27" s="316">
        <f>IFERROR(S27-AI27,"")</f>
        <v>864</v>
      </c>
      <c r="AM27" s="316">
        <f>IFERROR(T27-AJ27,"")</f>
        <v>152.35190399999999</v>
      </c>
      <c r="AN27" s="893" t="s">
        <v>27</v>
      </c>
      <c r="AO27" s="894">
        <f>H27*J27*O27*P27*AV27</f>
        <v>8455680</v>
      </c>
      <c r="AP27" s="136"/>
      <c r="AQ27" s="829">
        <f>MATCH(C27,$BS$11:$BS$19,0)</f>
        <v>1</v>
      </c>
      <c r="AR27" s="829">
        <f>IF(V27="",AQ27,MATCH(V27,$BS$11:$BS$19,0))</f>
        <v>1</v>
      </c>
      <c r="AS27" s="829">
        <f>IF(I27=AA27,1,2)</f>
        <v>2</v>
      </c>
      <c r="AT27" s="830">
        <f>VLOOKUP(I27,$BH$4:$BM$19,2,FALSE)</f>
        <v>36.700000000000003</v>
      </c>
      <c r="AU27" s="830">
        <f>VLOOKUP(I27,$BH$4:$BM$19,3,FALSE)</f>
        <v>34.200000000000003</v>
      </c>
      <c r="AV27" s="793">
        <f>IF(AN27="",VLOOKUP(I27,$BH$4:$BM$19,3,FALSE),VLOOKUP(I27,$BH$4:$BM$19,2,FALSE))</f>
        <v>36.700000000000003</v>
      </c>
      <c r="AW27" s="796">
        <f>Q27*AT27*0.0258+S27*9.76*0.0258</f>
        <v>218736.70963199998</v>
      </c>
      <c r="AX27" s="793">
        <f>VLOOKUP(I27,$BH$4:$BN$19,7,FALSE)</f>
        <v>2.4895</v>
      </c>
      <c r="AY27" s="793"/>
      <c r="AZ27" s="830">
        <f>VLOOKUP(AB27,$BH$4:$BM$19,2,FALSE)</f>
        <v>45</v>
      </c>
      <c r="BA27" s="830">
        <f>VLOOKUP(AB27,$BH$4:$BM$19,3,FALSE)</f>
        <v>40.799999999999997</v>
      </c>
      <c r="BB27" s="793">
        <f>IF(R27="",VLOOKUP(AB27,$BH$4:$BM$19,3,FALSE),VLOOKUP(AB27,$BH$4:$BM$19,2,FALSE))</f>
        <v>45</v>
      </c>
      <c r="BC27" s="796">
        <f>AG27*AZ27*0.0258+AI27*9.76*0.0258</f>
        <v>218519.14752</v>
      </c>
      <c r="BD27" s="793">
        <f>VLOOKUP(AB27,$BH$4:$BN$19,7,FALSE)</f>
        <v>2.2440000000000002</v>
      </c>
      <c r="BE27" s="793"/>
      <c r="BF27" s="139"/>
      <c r="BS27" s="147"/>
      <c r="BV27" s="144"/>
      <c r="CC27" s="144"/>
    </row>
    <row r="28" spans="1:102" s="134" customFormat="1" ht="29.25" customHeight="1" thickBot="1">
      <c r="A28" s="675" t="s">
        <v>30</v>
      </c>
      <c r="B28" s="702"/>
      <c r="C28" s="715"/>
      <c r="D28" s="751">
        <f>SUMPRODUCT(D29:D38*H29:H38)</f>
        <v>0</v>
      </c>
      <c r="E28" s="715"/>
      <c r="F28" s="752"/>
      <c r="G28" s="681"/>
      <c r="H28" s="704">
        <f>_xlfn.AGGREGATE(9,7,H29:H38)</f>
        <v>0</v>
      </c>
      <c r="I28" s="753"/>
      <c r="J28" s="754"/>
      <c r="K28" s="706"/>
      <c r="L28" s="706"/>
      <c r="M28" s="753"/>
      <c r="N28" s="753"/>
      <c r="O28" s="705"/>
      <c r="P28" s="716"/>
      <c r="Q28" s="707">
        <f>IF(BG39=1,_xlfn.AGGREGATE(9,7,Q29:Q38),"")</f>
        <v>0</v>
      </c>
      <c r="R28" s="706" t="str">
        <f>RIGHT(K28,FIND("",K28))</f>
        <v/>
      </c>
      <c r="S28" s="708">
        <f>_xlfn.AGGREGATE(9,7,S29:S38)</f>
        <v>0</v>
      </c>
      <c r="T28" s="708">
        <f>_xlfn.AGGREGATE(9,7,T29:T38)</f>
        <v>0</v>
      </c>
      <c r="U28" s="702"/>
      <c r="V28" s="715"/>
      <c r="W28" s="715"/>
      <c r="X28" s="751">
        <f>SUMPRODUCT(X29:X38*Z29:Z38)</f>
        <v>0</v>
      </c>
      <c r="Y28" s="715"/>
      <c r="Z28" s="751">
        <f>_xlfn.AGGREGATE(9,7,Z29:Z38)</f>
        <v>0</v>
      </c>
      <c r="AA28" s="752"/>
      <c r="AB28" s="753"/>
      <c r="AC28" s="754"/>
      <c r="AD28" s="706"/>
      <c r="AE28" s="707"/>
      <c r="AF28" s="706"/>
      <c r="AG28" s="707">
        <f>IF(BG40=1,_xlfn.AGGREGATE(9,7,AG29:AG38),"")</f>
        <v>0</v>
      </c>
      <c r="AH28" s="707" t="str">
        <f>RIGHT(AD28,FIND("",AD28))</f>
        <v/>
      </c>
      <c r="AI28" s="934">
        <f>_xlfn.AGGREGATE(9,7,AI29:AI38)</f>
        <v>0</v>
      </c>
      <c r="AJ28" s="934">
        <f>_xlfn.AGGREGATE(9,7,AJ29:AJ38)</f>
        <v>0</v>
      </c>
      <c r="AK28" s="935">
        <f>IF(BG28=12,_xlfn.AGGREGATE(9,7,AK29:AK38),"")</f>
        <v>0</v>
      </c>
      <c r="AL28" s="935">
        <f t="shared" ref="AL28:AM28" si="1">_xlfn.AGGREGATE(9,7,AL29:AL38)</f>
        <v>0</v>
      </c>
      <c r="AM28" s="935">
        <f t="shared" si="1"/>
        <v>0</v>
      </c>
      <c r="AN28" s="895"/>
      <c r="AO28" s="896">
        <f>_xlfn.AGGREGATE(9,7,AO29:AO38)</f>
        <v>0</v>
      </c>
      <c r="AP28" s="904">
        <f>AY28-BE28</f>
        <v>0</v>
      </c>
      <c r="AQ28" s="829"/>
      <c r="AR28" s="829"/>
      <c r="AS28" s="831">
        <f>_xlfn.AGGREGATE(9,7,AS29:AS38)</f>
        <v>10</v>
      </c>
      <c r="AT28" s="830"/>
      <c r="AU28" s="830"/>
      <c r="AV28" s="793"/>
      <c r="AW28" s="831">
        <f>_xlfn.AGGREGATE(9,7,AW29:AW38)</f>
        <v>0</v>
      </c>
      <c r="AX28" s="793"/>
      <c r="AY28" s="300">
        <f>_xlfn.AGGREGATE(9,7,AY29:AY38)</f>
        <v>0</v>
      </c>
      <c r="AZ28" s="830"/>
      <c r="BA28" s="830"/>
      <c r="BB28" s="793"/>
      <c r="BC28" s="831">
        <f>_xlfn.AGGREGATE(9,7,BC29:BC38)</f>
        <v>0</v>
      </c>
      <c r="BD28" s="793"/>
      <c r="BE28" s="300">
        <f>_xlfn.AGGREGATE(9,7,BE29:BE38)</f>
        <v>0</v>
      </c>
      <c r="BF28" s="905">
        <f>COUNTIF(BF29:BF38,"×")</f>
        <v>0</v>
      </c>
      <c r="BG28" s="134">
        <f>SUM(BG29:BG40)</f>
        <v>12</v>
      </c>
      <c r="BO28" s="254"/>
      <c r="BP28" s="254"/>
      <c r="BQ28" s="150"/>
      <c r="BS28" s="147"/>
    </row>
    <row r="29" spans="1:102" s="134" customFormat="1" ht="29.25" customHeight="1">
      <c r="A29" s="690">
        <v>1</v>
      </c>
      <c r="B29" s="692"/>
      <c r="C29" s="662"/>
      <c r="D29" s="662"/>
      <c r="E29" s="662"/>
      <c r="F29" s="691"/>
      <c r="G29" s="662">
        <v>2009</v>
      </c>
      <c r="H29" s="692"/>
      <c r="I29" s="693"/>
      <c r="J29" s="694"/>
      <c r="K29" s="923" t="str">
        <f t="shared" ref="K29:K38" si="2">IF(F29="","",VLOOKUP(I29,$BH$4:$BM$19,6,FALSE))</f>
        <v/>
      </c>
      <c r="L29" s="625"/>
      <c r="M29" s="746"/>
      <c r="N29" s="746"/>
      <c r="O29" s="699">
        <f t="shared" ref="O29:O38" si="3">M29*N29</f>
        <v>0</v>
      </c>
      <c r="P29" s="747"/>
      <c r="Q29" s="748"/>
      <c r="R29" s="925" t="str">
        <f t="shared" ref="R29:R38" si="4">IF(K29="","",IF(K29="kW","kW",LEFT(K29,FIND("/",K29)-1)))</f>
        <v/>
      </c>
      <c r="S29" s="929">
        <f>IFERROR(H29*L29*O29,0)</f>
        <v>0</v>
      </c>
      <c r="T29" s="936">
        <f t="shared" ref="T29:T38" si="5">IFERROR((Q29*AX29*0.001)+(S29*0.495*0.001),0)</f>
        <v>0</v>
      </c>
      <c r="U29" s="692"/>
      <c r="V29" s="662"/>
      <c r="W29" s="941"/>
      <c r="X29" s="662"/>
      <c r="Y29" s="662"/>
      <c r="Z29" s="662"/>
      <c r="AA29" s="691"/>
      <c r="AB29" s="693"/>
      <c r="AC29" s="694"/>
      <c r="AD29" s="923" t="str">
        <f t="shared" ref="AD29:AD38" si="6">IF(AA29="","",VLOOKUP(AB29,$BH$4:$BM$19,6,FALSE))</f>
        <v/>
      </c>
      <c r="AE29" s="745"/>
      <c r="AF29" s="749"/>
      <c r="AG29" s="750"/>
      <c r="AH29" s="925" t="str">
        <f t="shared" ref="AH29:AH38" si="7">IF(AD29="","",IF(AD29="kW","kW",LEFT(AD29,FIND("/",AD29)-1)))</f>
        <v/>
      </c>
      <c r="AI29" s="929">
        <f t="shared" ref="AI29:AI38" si="8">IFERROR(Z29*AE29*O29,"")</f>
        <v>0</v>
      </c>
      <c r="AJ29" s="929" t="str">
        <f t="shared" ref="AJ29:AJ38" si="9">IFERROR((AG29*BD29*0.001)+(AI29*0.495*0.001),"")</f>
        <v/>
      </c>
      <c r="AK29" s="930">
        <f t="shared" ref="AK29:AK38" si="10">IFERROR(Q29-AG29,"")</f>
        <v>0</v>
      </c>
      <c r="AL29" s="930">
        <f t="shared" ref="AL29:AL38" si="11">IFERROR(S29-AI29,"")</f>
        <v>0</v>
      </c>
      <c r="AM29" s="931" t="str">
        <f t="shared" ref="AM29:AM38" si="12">IFERROR(T29-AJ29,"")</f>
        <v/>
      </c>
      <c r="AN29" s="897"/>
      <c r="AO29" s="898" t="str">
        <f t="shared" ref="AO29:AO38" si="13">IFERROR(IF(P29="",H29*J29*O29*AV29,H29*J29*O29*P29*AV29),"")</f>
        <v/>
      </c>
      <c r="AP29" s="136"/>
      <c r="AQ29" s="829" t="e">
        <f t="shared" ref="AQ29:AQ38" si="14">MATCH(C29,$BS$11:$BS$19,0)</f>
        <v>#N/A</v>
      </c>
      <c r="AR29" s="829" t="e">
        <f t="shared" ref="AR29:AR38" si="15">IF(V29="",AQ29,MATCH(V29,$BS$11:$BS$19,0))</f>
        <v>#N/A</v>
      </c>
      <c r="AS29" s="829">
        <f t="shared" ref="AS29:AS38" si="16">IF(I29=AB29,1,2)</f>
        <v>1</v>
      </c>
      <c r="AT29" s="830" t="e">
        <f t="shared" ref="AT29:AT38" si="17">VLOOKUP(I29,$BH$4:$BM$19,2,FALSE)</f>
        <v>#N/A</v>
      </c>
      <c r="AU29" s="830" t="e">
        <f t="shared" ref="AU29:AU38" si="18">VLOOKUP(I29,$BH$4:$BM$19,3,FALSE)</f>
        <v>#N/A</v>
      </c>
      <c r="AV29" s="793" t="e">
        <f t="shared" ref="AV29:AV38" si="19">IF(AN29="",VLOOKUP(I29,$BH$4:$BM$19,3,FALSE),VLOOKUP(I29,$BH$4:$BM$19,2,FALSE))</f>
        <v>#N/A</v>
      </c>
      <c r="AW29" s="796" t="e">
        <f t="shared" ref="AW29:AW38" si="20">Q29*AT29*0.0258+S29*9.76*0.0258</f>
        <v>#N/A</v>
      </c>
      <c r="AX29" s="793" t="e">
        <f t="shared" ref="AX29:AX38" si="21">VLOOKUP(I29,$BH$4:$BN$19,7,FALSE)</f>
        <v>#N/A</v>
      </c>
      <c r="AY29" s="793" t="e">
        <f t="shared" ref="AY29:AY38" si="22">H29*J29*IF(P29="",1,P29)*AV29</f>
        <v>#N/A</v>
      </c>
      <c r="AZ29" s="830" t="e">
        <f t="shared" ref="AZ29:AZ38" si="23">VLOOKUP(AB29,$BH$4:$BM$19,2,FALSE)</f>
        <v>#N/A</v>
      </c>
      <c r="BA29" s="830" t="e">
        <f t="shared" ref="BA29:BA38" si="24">VLOOKUP(AB29,$BH$4:$BM$19,3,FALSE)</f>
        <v>#N/A</v>
      </c>
      <c r="BB29" s="793" t="e">
        <f t="shared" ref="BB29:BB38" si="25">IF(R29="",VLOOKUP(AB29,$BH$4:$BM$19,3,FALSE),VLOOKUP(AB29,$BH$4:$BM$19,2,FALSE))</f>
        <v>#N/A</v>
      </c>
      <c r="BC29" s="796" t="e">
        <f t="shared" ref="BC29:BC38" si="26">AG29*AZ29*0.0258+AI29*9.76*0.0258</f>
        <v>#N/A</v>
      </c>
      <c r="BD29" s="793" t="e">
        <f t="shared" ref="BD29:BD38" si="27">VLOOKUP(AB29,$BH$4:$BN$19,7,FALSE)</f>
        <v>#N/A</v>
      </c>
      <c r="BE29" s="793" t="e">
        <f t="shared" ref="BE29:BE38" si="28">Z29*AC29*IF(P29="",1,P29)*BB29</f>
        <v>#N/A</v>
      </c>
      <c r="BF29" s="139" t="e">
        <f>IF(AQ29=AR29,"","×")</f>
        <v>#N/A</v>
      </c>
      <c r="BG29" s="134">
        <f t="shared" ref="BG29:BG38" si="29">IF(U29="",1,IF(AND(I29=AB29,K29=AD29),1,0))</f>
        <v>1</v>
      </c>
      <c r="BO29" s="254"/>
      <c r="BP29" s="254"/>
      <c r="BQ29" s="150"/>
      <c r="BS29" s="147"/>
      <c r="BV29" s="253"/>
      <c r="BW29" s="150"/>
      <c r="BZ29" s="147"/>
      <c r="CA29" s="147"/>
      <c r="CC29" s="254"/>
      <c r="CD29" s="150"/>
    </row>
    <row r="30" spans="1:102" s="134" customFormat="1" ht="29.25" customHeight="1">
      <c r="A30" s="21">
        <v>2</v>
      </c>
      <c r="B30" s="403"/>
      <c r="C30" s="404"/>
      <c r="D30" s="404"/>
      <c r="E30" s="404"/>
      <c r="F30" s="405"/>
      <c r="G30" s="404"/>
      <c r="H30" s="403"/>
      <c r="I30" s="406"/>
      <c r="J30" s="396"/>
      <c r="K30" s="924" t="str">
        <f t="shared" si="2"/>
        <v/>
      </c>
      <c r="L30" s="625"/>
      <c r="M30" s="397"/>
      <c r="N30" s="397"/>
      <c r="O30" s="327">
        <f t="shared" si="3"/>
        <v>0</v>
      </c>
      <c r="P30" s="626"/>
      <c r="Q30" s="390"/>
      <c r="R30" s="926" t="str">
        <f t="shared" si="4"/>
        <v/>
      </c>
      <c r="S30" s="927">
        <f t="shared" ref="S30:S38" si="30">IFERROR(H30*L30*O30,0)</f>
        <v>0</v>
      </c>
      <c r="T30" s="928">
        <f t="shared" si="5"/>
        <v>0</v>
      </c>
      <c r="U30" s="403"/>
      <c r="V30" s="404"/>
      <c r="W30" s="942"/>
      <c r="X30" s="404"/>
      <c r="Y30" s="404"/>
      <c r="Z30" s="404"/>
      <c r="AA30" s="405"/>
      <c r="AB30" s="406"/>
      <c r="AC30" s="396"/>
      <c r="AD30" s="924" t="str">
        <f t="shared" si="6"/>
        <v/>
      </c>
      <c r="AE30" s="625"/>
      <c r="AF30" s="627"/>
      <c r="AG30" s="399"/>
      <c r="AH30" s="926" t="str">
        <f t="shared" si="7"/>
        <v/>
      </c>
      <c r="AI30" s="927">
        <f t="shared" si="8"/>
        <v>0</v>
      </c>
      <c r="AJ30" s="927" t="str">
        <f t="shared" si="9"/>
        <v/>
      </c>
      <c r="AK30" s="932">
        <f t="shared" si="10"/>
        <v>0</v>
      </c>
      <c r="AL30" s="932">
        <f t="shared" si="11"/>
        <v>0</v>
      </c>
      <c r="AM30" s="933" t="str">
        <f t="shared" si="12"/>
        <v/>
      </c>
      <c r="AN30" s="897"/>
      <c r="AO30" s="898" t="str">
        <f t="shared" si="13"/>
        <v/>
      </c>
      <c r="AP30" s="136"/>
      <c r="AQ30" s="829" t="e">
        <f t="shared" si="14"/>
        <v>#N/A</v>
      </c>
      <c r="AR30" s="829" t="e">
        <f t="shared" si="15"/>
        <v>#N/A</v>
      </c>
      <c r="AS30" s="829">
        <f t="shared" si="16"/>
        <v>1</v>
      </c>
      <c r="AT30" s="830" t="e">
        <f t="shared" si="17"/>
        <v>#N/A</v>
      </c>
      <c r="AU30" s="830" t="e">
        <f t="shared" si="18"/>
        <v>#N/A</v>
      </c>
      <c r="AV30" s="793" t="e">
        <f t="shared" si="19"/>
        <v>#N/A</v>
      </c>
      <c r="AW30" s="796" t="e">
        <f t="shared" si="20"/>
        <v>#N/A</v>
      </c>
      <c r="AX30" s="793" t="e">
        <f t="shared" si="21"/>
        <v>#N/A</v>
      </c>
      <c r="AY30" s="793" t="e">
        <f t="shared" si="22"/>
        <v>#N/A</v>
      </c>
      <c r="AZ30" s="830" t="e">
        <f t="shared" si="23"/>
        <v>#N/A</v>
      </c>
      <c r="BA30" s="830" t="e">
        <f t="shared" si="24"/>
        <v>#N/A</v>
      </c>
      <c r="BB30" s="793" t="e">
        <f t="shared" si="25"/>
        <v>#N/A</v>
      </c>
      <c r="BC30" s="796" t="e">
        <f t="shared" si="26"/>
        <v>#N/A</v>
      </c>
      <c r="BD30" s="793" t="e">
        <f t="shared" si="27"/>
        <v>#N/A</v>
      </c>
      <c r="BE30" s="793" t="e">
        <f t="shared" si="28"/>
        <v>#N/A</v>
      </c>
      <c r="BF30" s="139" t="e">
        <f t="shared" ref="BF30:BF38" si="31">IF(AQ30=AR30,"","×")</f>
        <v>#N/A</v>
      </c>
      <c r="BG30" s="134">
        <f t="shared" si="29"/>
        <v>1</v>
      </c>
      <c r="BH30" s="145"/>
      <c r="BM30" s="147"/>
      <c r="BN30" s="253"/>
      <c r="BO30" s="254"/>
      <c r="BP30" s="254"/>
      <c r="BQ30" s="150"/>
      <c r="BS30" s="147"/>
      <c r="BT30" s="147"/>
      <c r="BV30" s="253"/>
      <c r="BW30" s="150"/>
      <c r="BZ30" s="147"/>
      <c r="CA30" s="147"/>
      <c r="CC30" s="254"/>
      <c r="CD30" s="150"/>
    </row>
    <row r="31" spans="1:102" s="134" customFormat="1" ht="29.25" customHeight="1">
      <c r="A31" s="21">
        <v>3</v>
      </c>
      <c r="B31" s="403"/>
      <c r="C31" s="404"/>
      <c r="D31" s="404"/>
      <c r="E31" s="404"/>
      <c r="F31" s="405"/>
      <c r="G31" s="404"/>
      <c r="H31" s="403"/>
      <c r="I31" s="406"/>
      <c r="J31" s="396"/>
      <c r="K31" s="924" t="str">
        <f t="shared" si="2"/>
        <v/>
      </c>
      <c r="L31" s="625"/>
      <c r="M31" s="397"/>
      <c r="N31" s="397"/>
      <c r="O31" s="327">
        <f t="shared" si="3"/>
        <v>0</v>
      </c>
      <c r="P31" s="626"/>
      <c r="Q31" s="390"/>
      <c r="R31" s="926" t="str">
        <f t="shared" si="4"/>
        <v/>
      </c>
      <c r="S31" s="927">
        <f t="shared" si="30"/>
        <v>0</v>
      </c>
      <c r="T31" s="928">
        <f t="shared" si="5"/>
        <v>0</v>
      </c>
      <c r="U31" s="403"/>
      <c r="V31" s="404"/>
      <c r="W31" s="942"/>
      <c r="X31" s="404"/>
      <c r="Y31" s="404"/>
      <c r="Z31" s="404"/>
      <c r="AA31" s="405"/>
      <c r="AB31" s="406"/>
      <c r="AC31" s="396"/>
      <c r="AD31" s="924" t="str">
        <f t="shared" si="6"/>
        <v/>
      </c>
      <c r="AE31" s="625"/>
      <c r="AF31" s="627"/>
      <c r="AG31" s="399"/>
      <c r="AH31" s="926" t="str">
        <f t="shared" si="7"/>
        <v/>
      </c>
      <c r="AI31" s="927">
        <f t="shared" si="8"/>
        <v>0</v>
      </c>
      <c r="AJ31" s="927" t="str">
        <f t="shared" si="9"/>
        <v/>
      </c>
      <c r="AK31" s="932">
        <f t="shared" si="10"/>
        <v>0</v>
      </c>
      <c r="AL31" s="932">
        <f t="shared" si="11"/>
        <v>0</v>
      </c>
      <c r="AM31" s="933" t="str">
        <f t="shared" si="12"/>
        <v/>
      </c>
      <c r="AN31" s="897"/>
      <c r="AO31" s="898" t="str">
        <f t="shared" si="13"/>
        <v/>
      </c>
      <c r="AP31" s="136"/>
      <c r="AQ31" s="829" t="e">
        <f t="shared" si="14"/>
        <v>#N/A</v>
      </c>
      <c r="AR31" s="829" t="e">
        <f t="shared" si="15"/>
        <v>#N/A</v>
      </c>
      <c r="AS31" s="829">
        <f t="shared" si="16"/>
        <v>1</v>
      </c>
      <c r="AT31" s="830" t="e">
        <f t="shared" si="17"/>
        <v>#N/A</v>
      </c>
      <c r="AU31" s="830" t="e">
        <f t="shared" si="18"/>
        <v>#N/A</v>
      </c>
      <c r="AV31" s="793" t="e">
        <f t="shared" si="19"/>
        <v>#N/A</v>
      </c>
      <c r="AW31" s="796" t="e">
        <f t="shared" si="20"/>
        <v>#N/A</v>
      </c>
      <c r="AX31" s="793" t="e">
        <f t="shared" si="21"/>
        <v>#N/A</v>
      </c>
      <c r="AY31" s="793" t="e">
        <f t="shared" si="22"/>
        <v>#N/A</v>
      </c>
      <c r="AZ31" s="830" t="e">
        <f t="shared" si="23"/>
        <v>#N/A</v>
      </c>
      <c r="BA31" s="830" t="e">
        <f t="shared" si="24"/>
        <v>#N/A</v>
      </c>
      <c r="BB31" s="793" t="e">
        <f t="shared" si="25"/>
        <v>#N/A</v>
      </c>
      <c r="BC31" s="796" t="e">
        <f t="shared" si="26"/>
        <v>#N/A</v>
      </c>
      <c r="BD31" s="793" t="e">
        <f t="shared" si="27"/>
        <v>#N/A</v>
      </c>
      <c r="BE31" s="793" t="e">
        <f t="shared" si="28"/>
        <v>#N/A</v>
      </c>
      <c r="BF31" s="139" t="e">
        <f t="shared" si="31"/>
        <v>#N/A</v>
      </c>
      <c r="BG31" s="134">
        <f t="shared" si="29"/>
        <v>1</v>
      </c>
      <c r="BH31" s="145"/>
      <c r="BM31" s="147"/>
      <c r="BN31" s="253"/>
      <c r="BO31" s="253"/>
      <c r="BP31" s="254"/>
      <c r="BQ31" s="150"/>
      <c r="BS31" s="147"/>
      <c r="BT31" s="147"/>
      <c r="BV31" s="253"/>
      <c r="BW31" s="150"/>
      <c r="BZ31" s="147"/>
      <c r="CA31" s="147"/>
      <c r="CC31" s="254"/>
      <c r="CD31" s="150"/>
    </row>
    <row r="32" spans="1:102" s="134" customFormat="1" ht="29.25" customHeight="1">
      <c r="A32" s="21">
        <v>4</v>
      </c>
      <c r="B32" s="403"/>
      <c r="C32" s="404"/>
      <c r="D32" s="404"/>
      <c r="E32" s="404"/>
      <c r="F32" s="405"/>
      <c r="G32" s="404"/>
      <c r="H32" s="403"/>
      <c r="I32" s="406"/>
      <c r="J32" s="396"/>
      <c r="K32" s="924" t="str">
        <f t="shared" si="2"/>
        <v/>
      </c>
      <c r="L32" s="625"/>
      <c r="M32" s="397"/>
      <c r="N32" s="397"/>
      <c r="O32" s="327">
        <f t="shared" si="3"/>
        <v>0</v>
      </c>
      <c r="P32" s="626"/>
      <c r="Q32" s="390"/>
      <c r="R32" s="926" t="str">
        <f t="shared" si="4"/>
        <v/>
      </c>
      <c r="S32" s="927">
        <f t="shared" si="30"/>
        <v>0</v>
      </c>
      <c r="T32" s="928">
        <f t="shared" si="5"/>
        <v>0</v>
      </c>
      <c r="U32" s="403"/>
      <c r="V32" s="404"/>
      <c r="W32" s="942"/>
      <c r="X32" s="404"/>
      <c r="Y32" s="404"/>
      <c r="Z32" s="404"/>
      <c r="AA32" s="405"/>
      <c r="AB32" s="406"/>
      <c r="AC32" s="396"/>
      <c r="AD32" s="924" t="str">
        <f t="shared" si="6"/>
        <v/>
      </c>
      <c r="AE32" s="625"/>
      <c r="AF32" s="627"/>
      <c r="AG32" s="399"/>
      <c r="AH32" s="926" t="str">
        <f t="shared" si="7"/>
        <v/>
      </c>
      <c r="AI32" s="927">
        <f t="shared" si="8"/>
        <v>0</v>
      </c>
      <c r="AJ32" s="927" t="str">
        <f t="shared" si="9"/>
        <v/>
      </c>
      <c r="AK32" s="932">
        <f t="shared" si="10"/>
        <v>0</v>
      </c>
      <c r="AL32" s="932">
        <f t="shared" si="11"/>
        <v>0</v>
      </c>
      <c r="AM32" s="933" t="str">
        <f t="shared" si="12"/>
        <v/>
      </c>
      <c r="AN32" s="897"/>
      <c r="AO32" s="898" t="str">
        <f t="shared" si="13"/>
        <v/>
      </c>
      <c r="AP32" s="136"/>
      <c r="AQ32" s="829" t="e">
        <f t="shared" si="14"/>
        <v>#N/A</v>
      </c>
      <c r="AR32" s="829" t="e">
        <f t="shared" si="15"/>
        <v>#N/A</v>
      </c>
      <c r="AS32" s="829">
        <f t="shared" si="16"/>
        <v>1</v>
      </c>
      <c r="AT32" s="830" t="e">
        <f t="shared" si="17"/>
        <v>#N/A</v>
      </c>
      <c r="AU32" s="830" t="e">
        <f t="shared" si="18"/>
        <v>#N/A</v>
      </c>
      <c r="AV32" s="793" t="e">
        <f t="shared" si="19"/>
        <v>#N/A</v>
      </c>
      <c r="AW32" s="796" t="e">
        <f t="shared" si="20"/>
        <v>#N/A</v>
      </c>
      <c r="AX32" s="793" t="e">
        <f t="shared" si="21"/>
        <v>#N/A</v>
      </c>
      <c r="AY32" s="793" t="e">
        <f t="shared" si="22"/>
        <v>#N/A</v>
      </c>
      <c r="AZ32" s="830" t="e">
        <f t="shared" si="23"/>
        <v>#N/A</v>
      </c>
      <c r="BA32" s="830" t="e">
        <f t="shared" si="24"/>
        <v>#N/A</v>
      </c>
      <c r="BB32" s="793" t="e">
        <f t="shared" si="25"/>
        <v>#N/A</v>
      </c>
      <c r="BC32" s="796" t="e">
        <f t="shared" si="26"/>
        <v>#N/A</v>
      </c>
      <c r="BD32" s="793" t="e">
        <f t="shared" si="27"/>
        <v>#N/A</v>
      </c>
      <c r="BE32" s="793" t="e">
        <f t="shared" si="28"/>
        <v>#N/A</v>
      </c>
      <c r="BF32" s="139" t="e">
        <f t="shared" si="31"/>
        <v>#N/A</v>
      </c>
      <c r="BG32" s="134">
        <f t="shared" si="29"/>
        <v>1</v>
      </c>
      <c r="BH32" s="145"/>
      <c r="BM32" s="147"/>
      <c r="BN32" s="253"/>
      <c r="BO32" s="253"/>
      <c r="BP32" s="254"/>
      <c r="BQ32" s="150"/>
      <c r="BS32" s="147"/>
      <c r="BT32" s="147"/>
      <c r="BV32" s="253"/>
      <c r="BW32" s="150"/>
      <c r="BZ32" s="147"/>
      <c r="CA32" s="147"/>
      <c r="CC32" s="254"/>
      <c r="CD32" s="150"/>
    </row>
    <row r="33" spans="1:98" s="134" customFormat="1" ht="29.25" customHeight="1">
      <c r="A33" s="21">
        <v>5</v>
      </c>
      <c r="B33" s="403"/>
      <c r="C33" s="404"/>
      <c r="D33" s="404"/>
      <c r="E33" s="404"/>
      <c r="F33" s="405"/>
      <c r="G33" s="404"/>
      <c r="H33" s="403"/>
      <c r="I33" s="406"/>
      <c r="J33" s="396"/>
      <c r="K33" s="924" t="str">
        <f t="shared" si="2"/>
        <v/>
      </c>
      <c r="L33" s="625"/>
      <c r="M33" s="397"/>
      <c r="N33" s="397"/>
      <c r="O33" s="327">
        <f t="shared" si="3"/>
        <v>0</v>
      </c>
      <c r="P33" s="626"/>
      <c r="Q33" s="390"/>
      <c r="R33" s="926" t="str">
        <f t="shared" si="4"/>
        <v/>
      </c>
      <c r="S33" s="927">
        <f t="shared" si="30"/>
        <v>0</v>
      </c>
      <c r="T33" s="928">
        <f t="shared" si="5"/>
        <v>0</v>
      </c>
      <c r="U33" s="403"/>
      <c r="V33" s="404"/>
      <c r="W33" s="942"/>
      <c r="X33" s="404"/>
      <c r="Y33" s="404"/>
      <c r="Z33" s="404"/>
      <c r="AA33" s="405"/>
      <c r="AB33" s="406"/>
      <c r="AC33" s="396"/>
      <c r="AD33" s="924" t="str">
        <f t="shared" si="6"/>
        <v/>
      </c>
      <c r="AE33" s="625"/>
      <c r="AF33" s="627"/>
      <c r="AG33" s="399"/>
      <c r="AH33" s="926" t="str">
        <f t="shared" si="7"/>
        <v/>
      </c>
      <c r="AI33" s="927">
        <f t="shared" si="8"/>
        <v>0</v>
      </c>
      <c r="AJ33" s="927" t="str">
        <f t="shared" si="9"/>
        <v/>
      </c>
      <c r="AK33" s="932">
        <f t="shared" si="10"/>
        <v>0</v>
      </c>
      <c r="AL33" s="932">
        <f t="shared" si="11"/>
        <v>0</v>
      </c>
      <c r="AM33" s="933" t="str">
        <f t="shared" si="12"/>
        <v/>
      </c>
      <c r="AN33" s="897"/>
      <c r="AO33" s="898" t="str">
        <f t="shared" si="13"/>
        <v/>
      </c>
      <c r="AP33" s="136"/>
      <c r="AQ33" s="829" t="e">
        <f t="shared" si="14"/>
        <v>#N/A</v>
      </c>
      <c r="AR33" s="829" t="e">
        <f t="shared" si="15"/>
        <v>#N/A</v>
      </c>
      <c r="AS33" s="829">
        <f t="shared" si="16"/>
        <v>1</v>
      </c>
      <c r="AT33" s="830" t="e">
        <f t="shared" si="17"/>
        <v>#N/A</v>
      </c>
      <c r="AU33" s="830" t="e">
        <f t="shared" si="18"/>
        <v>#N/A</v>
      </c>
      <c r="AV33" s="793" t="e">
        <f t="shared" si="19"/>
        <v>#N/A</v>
      </c>
      <c r="AW33" s="796" t="e">
        <f t="shared" si="20"/>
        <v>#N/A</v>
      </c>
      <c r="AX33" s="793" t="e">
        <f t="shared" si="21"/>
        <v>#N/A</v>
      </c>
      <c r="AY33" s="793" t="e">
        <f t="shared" si="22"/>
        <v>#N/A</v>
      </c>
      <c r="AZ33" s="830" t="e">
        <f t="shared" si="23"/>
        <v>#N/A</v>
      </c>
      <c r="BA33" s="830" t="e">
        <f t="shared" si="24"/>
        <v>#N/A</v>
      </c>
      <c r="BB33" s="793" t="e">
        <f t="shared" si="25"/>
        <v>#N/A</v>
      </c>
      <c r="BC33" s="796" t="e">
        <f t="shared" si="26"/>
        <v>#N/A</v>
      </c>
      <c r="BD33" s="793" t="e">
        <f t="shared" si="27"/>
        <v>#N/A</v>
      </c>
      <c r="BE33" s="793" t="e">
        <f t="shared" si="28"/>
        <v>#N/A</v>
      </c>
      <c r="BF33" s="139" t="e">
        <f t="shared" si="31"/>
        <v>#N/A</v>
      </c>
      <c r="BG33" s="134">
        <f t="shared" si="29"/>
        <v>1</v>
      </c>
      <c r="BH33" s="145"/>
      <c r="BM33" s="147"/>
      <c r="BN33" s="254"/>
      <c r="BO33" s="254"/>
      <c r="BP33" s="254"/>
      <c r="BQ33" s="150"/>
      <c r="BS33" s="147"/>
      <c r="BT33" s="147"/>
      <c r="BV33" s="253"/>
      <c r="BW33" s="150"/>
      <c r="BZ33" s="147"/>
      <c r="CA33" s="147"/>
      <c r="CC33" s="254"/>
      <c r="CD33" s="150"/>
    </row>
    <row r="34" spans="1:98" s="134" customFormat="1" ht="29.25" customHeight="1">
      <c r="A34" s="21">
        <v>6</v>
      </c>
      <c r="B34" s="403"/>
      <c r="C34" s="404"/>
      <c r="D34" s="404"/>
      <c r="E34" s="404"/>
      <c r="F34" s="405"/>
      <c r="G34" s="404"/>
      <c r="H34" s="403"/>
      <c r="I34" s="406"/>
      <c r="J34" s="396"/>
      <c r="K34" s="924" t="str">
        <f t="shared" si="2"/>
        <v/>
      </c>
      <c r="L34" s="625"/>
      <c r="M34" s="397"/>
      <c r="N34" s="397"/>
      <c r="O34" s="327">
        <f t="shared" si="3"/>
        <v>0</v>
      </c>
      <c r="P34" s="626"/>
      <c r="Q34" s="390"/>
      <c r="R34" s="926" t="str">
        <f t="shared" si="4"/>
        <v/>
      </c>
      <c r="S34" s="927">
        <f t="shared" si="30"/>
        <v>0</v>
      </c>
      <c r="T34" s="928">
        <f t="shared" si="5"/>
        <v>0</v>
      </c>
      <c r="U34" s="403"/>
      <c r="V34" s="404"/>
      <c r="W34" s="942"/>
      <c r="X34" s="404"/>
      <c r="Y34" s="404"/>
      <c r="Z34" s="404"/>
      <c r="AA34" s="405"/>
      <c r="AB34" s="406"/>
      <c r="AC34" s="396"/>
      <c r="AD34" s="924" t="str">
        <f t="shared" si="6"/>
        <v/>
      </c>
      <c r="AE34" s="625"/>
      <c r="AF34" s="627"/>
      <c r="AG34" s="399"/>
      <c r="AH34" s="926" t="str">
        <f t="shared" si="7"/>
        <v/>
      </c>
      <c r="AI34" s="927">
        <f t="shared" si="8"/>
        <v>0</v>
      </c>
      <c r="AJ34" s="927" t="str">
        <f t="shared" si="9"/>
        <v/>
      </c>
      <c r="AK34" s="932">
        <f t="shared" si="10"/>
        <v>0</v>
      </c>
      <c r="AL34" s="932">
        <f t="shared" si="11"/>
        <v>0</v>
      </c>
      <c r="AM34" s="933" t="str">
        <f t="shared" si="12"/>
        <v/>
      </c>
      <c r="AN34" s="897"/>
      <c r="AO34" s="898" t="str">
        <f t="shared" si="13"/>
        <v/>
      </c>
      <c r="AP34" s="136"/>
      <c r="AQ34" s="829" t="e">
        <f t="shared" si="14"/>
        <v>#N/A</v>
      </c>
      <c r="AR34" s="829" t="e">
        <f t="shared" si="15"/>
        <v>#N/A</v>
      </c>
      <c r="AS34" s="829">
        <f t="shared" si="16"/>
        <v>1</v>
      </c>
      <c r="AT34" s="830" t="e">
        <f t="shared" si="17"/>
        <v>#N/A</v>
      </c>
      <c r="AU34" s="830" t="e">
        <f t="shared" si="18"/>
        <v>#N/A</v>
      </c>
      <c r="AV34" s="793" t="e">
        <f t="shared" si="19"/>
        <v>#N/A</v>
      </c>
      <c r="AW34" s="796" t="e">
        <f t="shared" si="20"/>
        <v>#N/A</v>
      </c>
      <c r="AX34" s="793" t="e">
        <f t="shared" si="21"/>
        <v>#N/A</v>
      </c>
      <c r="AY34" s="793" t="e">
        <f t="shared" si="22"/>
        <v>#N/A</v>
      </c>
      <c r="AZ34" s="830" t="e">
        <f t="shared" si="23"/>
        <v>#N/A</v>
      </c>
      <c r="BA34" s="830" t="e">
        <f t="shared" si="24"/>
        <v>#N/A</v>
      </c>
      <c r="BB34" s="793" t="e">
        <f t="shared" si="25"/>
        <v>#N/A</v>
      </c>
      <c r="BC34" s="796" t="e">
        <f t="shared" si="26"/>
        <v>#N/A</v>
      </c>
      <c r="BD34" s="793" t="e">
        <f t="shared" si="27"/>
        <v>#N/A</v>
      </c>
      <c r="BE34" s="793" t="e">
        <f t="shared" si="28"/>
        <v>#N/A</v>
      </c>
      <c r="BF34" s="139" t="e">
        <f t="shared" si="31"/>
        <v>#N/A</v>
      </c>
      <c r="BG34" s="134">
        <f t="shared" si="29"/>
        <v>1</v>
      </c>
      <c r="BM34" s="147"/>
      <c r="BN34" s="254"/>
      <c r="BO34" s="253"/>
      <c r="BP34" s="254"/>
      <c r="BQ34" s="150"/>
      <c r="BS34" s="147"/>
      <c r="BT34" s="147"/>
      <c r="BV34" s="253"/>
      <c r="BW34" s="150"/>
      <c r="BZ34" s="147"/>
      <c r="CA34" s="147"/>
      <c r="CC34" s="254"/>
      <c r="CD34" s="150"/>
    </row>
    <row r="35" spans="1:98" s="134" customFormat="1" ht="29.25" customHeight="1">
      <c r="A35" s="21">
        <v>7</v>
      </c>
      <c r="B35" s="403"/>
      <c r="C35" s="404"/>
      <c r="D35" s="404"/>
      <c r="E35" s="404"/>
      <c r="F35" s="405"/>
      <c r="G35" s="404"/>
      <c r="H35" s="403"/>
      <c r="I35" s="406"/>
      <c r="J35" s="396"/>
      <c r="K35" s="924" t="str">
        <f t="shared" si="2"/>
        <v/>
      </c>
      <c r="L35" s="625"/>
      <c r="M35" s="397"/>
      <c r="N35" s="397"/>
      <c r="O35" s="327">
        <f t="shared" si="3"/>
        <v>0</v>
      </c>
      <c r="P35" s="626"/>
      <c r="Q35" s="390"/>
      <c r="R35" s="926" t="str">
        <f t="shared" si="4"/>
        <v/>
      </c>
      <c r="S35" s="927">
        <f t="shared" si="30"/>
        <v>0</v>
      </c>
      <c r="T35" s="928">
        <f t="shared" si="5"/>
        <v>0</v>
      </c>
      <c r="U35" s="403"/>
      <c r="V35" s="404"/>
      <c r="W35" s="942"/>
      <c r="X35" s="404"/>
      <c r="Y35" s="404"/>
      <c r="Z35" s="404"/>
      <c r="AA35" s="405"/>
      <c r="AB35" s="406"/>
      <c r="AC35" s="396"/>
      <c r="AD35" s="924" t="str">
        <f t="shared" si="6"/>
        <v/>
      </c>
      <c r="AE35" s="625"/>
      <c r="AF35" s="627"/>
      <c r="AG35" s="399"/>
      <c r="AH35" s="926" t="str">
        <f t="shared" si="7"/>
        <v/>
      </c>
      <c r="AI35" s="927">
        <f t="shared" si="8"/>
        <v>0</v>
      </c>
      <c r="AJ35" s="927" t="str">
        <f t="shared" si="9"/>
        <v/>
      </c>
      <c r="AK35" s="932">
        <f t="shared" si="10"/>
        <v>0</v>
      </c>
      <c r="AL35" s="932">
        <f t="shared" si="11"/>
        <v>0</v>
      </c>
      <c r="AM35" s="933" t="str">
        <f t="shared" si="12"/>
        <v/>
      </c>
      <c r="AN35" s="897"/>
      <c r="AO35" s="898" t="str">
        <f t="shared" si="13"/>
        <v/>
      </c>
      <c r="AP35" s="136"/>
      <c r="AQ35" s="829" t="e">
        <f t="shared" si="14"/>
        <v>#N/A</v>
      </c>
      <c r="AR35" s="829" t="e">
        <f t="shared" si="15"/>
        <v>#N/A</v>
      </c>
      <c r="AS35" s="829">
        <f t="shared" si="16"/>
        <v>1</v>
      </c>
      <c r="AT35" s="830" t="e">
        <f t="shared" si="17"/>
        <v>#N/A</v>
      </c>
      <c r="AU35" s="830" t="e">
        <f t="shared" si="18"/>
        <v>#N/A</v>
      </c>
      <c r="AV35" s="793" t="e">
        <f t="shared" si="19"/>
        <v>#N/A</v>
      </c>
      <c r="AW35" s="796" t="e">
        <f t="shared" si="20"/>
        <v>#N/A</v>
      </c>
      <c r="AX35" s="793" t="e">
        <f t="shared" si="21"/>
        <v>#N/A</v>
      </c>
      <c r="AY35" s="793" t="e">
        <f t="shared" si="22"/>
        <v>#N/A</v>
      </c>
      <c r="AZ35" s="830" t="e">
        <f t="shared" si="23"/>
        <v>#N/A</v>
      </c>
      <c r="BA35" s="830" t="e">
        <f t="shared" si="24"/>
        <v>#N/A</v>
      </c>
      <c r="BB35" s="793" t="e">
        <f t="shared" si="25"/>
        <v>#N/A</v>
      </c>
      <c r="BC35" s="796" t="e">
        <f t="shared" si="26"/>
        <v>#N/A</v>
      </c>
      <c r="BD35" s="793" t="e">
        <f t="shared" si="27"/>
        <v>#N/A</v>
      </c>
      <c r="BE35" s="793" t="e">
        <f t="shared" si="28"/>
        <v>#N/A</v>
      </c>
      <c r="BF35" s="139" t="e">
        <f t="shared" si="31"/>
        <v>#N/A</v>
      </c>
      <c r="BG35" s="134">
        <f t="shared" si="29"/>
        <v>1</v>
      </c>
      <c r="BM35" s="147"/>
      <c r="BN35" s="253"/>
      <c r="BO35" s="253"/>
      <c r="BP35" s="254"/>
      <c r="BQ35" s="150"/>
      <c r="BS35" s="147"/>
      <c r="BT35" s="147"/>
      <c r="BV35" s="253"/>
      <c r="BW35" s="150"/>
      <c r="BZ35" s="147"/>
      <c r="CA35" s="147"/>
      <c r="CC35" s="254"/>
      <c r="CD35" s="150"/>
    </row>
    <row r="36" spans="1:98" s="134" customFormat="1" ht="29.25" customHeight="1">
      <c r="A36" s="21">
        <v>8</v>
      </c>
      <c r="B36" s="403"/>
      <c r="C36" s="404"/>
      <c r="D36" s="404"/>
      <c r="E36" s="404"/>
      <c r="F36" s="405"/>
      <c r="G36" s="404"/>
      <c r="H36" s="403"/>
      <c r="I36" s="406"/>
      <c r="J36" s="396"/>
      <c r="K36" s="924" t="str">
        <f t="shared" si="2"/>
        <v/>
      </c>
      <c r="L36" s="625"/>
      <c r="M36" s="397"/>
      <c r="N36" s="397"/>
      <c r="O36" s="327">
        <f t="shared" si="3"/>
        <v>0</v>
      </c>
      <c r="P36" s="626"/>
      <c r="Q36" s="390"/>
      <c r="R36" s="926" t="str">
        <f t="shared" si="4"/>
        <v/>
      </c>
      <c r="S36" s="927">
        <f t="shared" si="30"/>
        <v>0</v>
      </c>
      <c r="T36" s="928">
        <f t="shared" si="5"/>
        <v>0</v>
      </c>
      <c r="U36" s="403"/>
      <c r="V36" s="404"/>
      <c r="W36" s="942"/>
      <c r="X36" s="404"/>
      <c r="Y36" s="404"/>
      <c r="Z36" s="404"/>
      <c r="AA36" s="405"/>
      <c r="AB36" s="406"/>
      <c r="AC36" s="396"/>
      <c r="AD36" s="924" t="str">
        <f t="shared" si="6"/>
        <v/>
      </c>
      <c r="AE36" s="625"/>
      <c r="AF36" s="627"/>
      <c r="AG36" s="399"/>
      <c r="AH36" s="926" t="str">
        <f t="shared" si="7"/>
        <v/>
      </c>
      <c r="AI36" s="927">
        <f t="shared" si="8"/>
        <v>0</v>
      </c>
      <c r="AJ36" s="927" t="str">
        <f t="shared" si="9"/>
        <v/>
      </c>
      <c r="AK36" s="932">
        <f t="shared" si="10"/>
        <v>0</v>
      </c>
      <c r="AL36" s="932">
        <f t="shared" si="11"/>
        <v>0</v>
      </c>
      <c r="AM36" s="933" t="str">
        <f t="shared" si="12"/>
        <v/>
      </c>
      <c r="AN36" s="897"/>
      <c r="AO36" s="898" t="str">
        <f t="shared" si="13"/>
        <v/>
      </c>
      <c r="AP36" s="136"/>
      <c r="AQ36" s="829" t="e">
        <f t="shared" si="14"/>
        <v>#N/A</v>
      </c>
      <c r="AR36" s="829" t="e">
        <f t="shared" si="15"/>
        <v>#N/A</v>
      </c>
      <c r="AS36" s="829">
        <f t="shared" si="16"/>
        <v>1</v>
      </c>
      <c r="AT36" s="830" t="e">
        <f t="shared" si="17"/>
        <v>#N/A</v>
      </c>
      <c r="AU36" s="830" t="e">
        <f t="shared" si="18"/>
        <v>#N/A</v>
      </c>
      <c r="AV36" s="793" t="e">
        <f t="shared" si="19"/>
        <v>#N/A</v>
      </c>
      <c r="AW36" s="796" t="e">
        <f t="shared" si="20"/>
        <v>#N/A</v>
      </c>
      <c r="AX36" s="793" t="e">
        <f t="shared" si="21"/>
        <v>#N/A</v>
      </c>
      <c r="AY36" s="793" t="e">
        <f t="shared" si="22"/>
        <v>#N/A</v>
      </c>
      <c r="AZ36" s="830" t="e">
        <f t="shared" si="23"/>
        <v>#N/A</v>
      </c>
      <c r="BA36" s="830" t="e">
        <f t="shared" si="24"/>
        <v>#N/A</v>
      </c>
      <c r="BB36" s="793" t="e">
        <f t="shared" si="25"/>
        <v>#N/A</v>
      </c>
      <c r="BC36" s="796" t="e">
        <f t="shared" si="26"/>
        <v>#N/A</v>
      </c>
      <c r="BD36" s="793" t="e">
        <f t="shared" si="27"/>
        <v>#N/A</v>
      </c>
      <c r="BE36" s="793" t="e">
        <f t="shared" si="28"/>
        <v>#N/A</v>
      </c>
      <c r="BF36" s="139" t="e">
        <f t="shared" si="31"/>
        <v>#N/A</v>
      </c>
      <c r="BG36" s="134">
        <f t="shared" si="29"/>
        <v>1</v>
      </c>
      <c r="BM36" s="147"/>
      <c r="BN36" s="254"/>
      <c r="BO36" s="254"/>
      <c r="BP36" s="254"/>
      <c r="BQ36" s="150"/>
      <c r="BS36" s="147"/>
      <c r="BT36" s="147"/>
      <c r="BV36" s="253"/>
      <c r="BW36" s="150"/>
      <c r="BZ36" s="147"/>
      <c r="CA36" s="147"/>
      <c r="CC36" s="254"/>
      <c r="CD36" s="150"/>
    </row>
    <row r="37" spans="1:98" s="134" customFormat="1" ht="29.25" customHeight="1">
      <c r="A37" s="21">
        <v>9</v>
      </c>
      <c r="B37" s="403"/>
      <c r="C37" s="404"/>
      <c r="D37" s="404"/>
      <c r="E37" s="404"/>
      <c r="F37" s="405"/>
      <c r="G37" s="404"/>
      <c r="H37" s="403"/>
      <c r="I37" s="406"/>
      <c r="J37" s="396"/>
      <c r="K37" s="924" t="str">
        <f t="shared" si="2"/>
        <v/>
      </c>
      <c r="L37" s="625"/>
      <c r="M37" s="397"/>
      <c r="N37" s="397"/>
      <c r="O37" s="327">
        <f t="shared" si="3"/>
        <v>0</v>
      </c>
      <c r="P37" s="626"/>
      <c r="Q37" s="390"/>
      <c r="R37" s="926" t="str">
        <f t="shared" si="4"/>
        <v/>
      </c>
      <c r="S37" s="927">
        <f t="shared" si="30"/>
        <v>0</v>
      </c>
      <c r="T37" s="928">
        <f t="shared" si="5"/>
        <v>0</v>
      </c>
      <c r="U37" s="403"/>
      <c r="V37" s="404"/>
      <c r="W37" s="942"/>
      <c r="X37" s="404"/>
      <c r="Y37" s="404"/>
      <c r="Z37" s="404"/>
      <c r="AA37" s="405"/>
      <c r="AB37" s="406"/>
      <c r="AC37" s="396"/>
      <c r="AD37" s="924" t="str">
        <f t="shared" si="6"/>
        <v/>
      </c>
      <c r="AE37" s="625"/>
      <c r="AF37" s="627"/>
      <c r="AG37" s="399"/>
      <c r="AH37" s="926" t="str">
        <f t="shared" si="7"/>
        <v/>
      </c>
      <c r="AI37" s="927">
        <f t="shared" si="8"/>
        <v>0</v>
      </c>
      <c r="AJ37" s="927" t="str">
        <f t="shared" si="9"/>
        <v/>
      </c>
      <c r="AK37" s="932">
        <f t="shared" si="10"/>
        <v>0</v>
      </c>
      <c r="AL37" s="932">
        <f t="shared" si="11"/>
        <v>0</v>
      </c>
      <c r="AM37" s="933" t="str">
        <f t="shared" si="12"/>
        <v/>
      </c>
      <c r="AN37" s="897"/>
      <c r="AO37" s="898" t="str">
        <f t="shared" si="13"/>
        <v/>
      </c>
      <c r="AP37" s="136"/>
      <c r="AQ37" s="829" t="e">
        <f t="shared" si="14"/>
        <v>#N/A</v>
      </c>
      <c r="AR37" s="829" t="e">
        <f t="shared" si="15"/>
        <v>#N/A</v>
      </c>
      <c r="AS37" s="829">
        <f t="shared" si="16"/>
        <v>1</v>
      </c>
      <c r="AT37" s="830" t="e">
        <f t="shared" si="17"/>
        <v>#N/A</v>
      </c>
      <c r="AU37" s="830" t="e">
        <f t="shared" si="18"/>
        <v>#N/A</v>
      </c>
      <c r="AV37" s="793" t="e">
        <f t="shared" si="19"/>
        <v>#N/A</v>
      </c>
      <c r="AW37" s="796" t="e">
        <f t="shared" si="20"/>
        <v>#N/A</v>
      </c>
      <c r="AX37" s="793" t="e">
        <f t="shared" si="21"/>
        <v>#N/A</v>
      </c>
      <c r="AY37" s="793" t="e">
        <f t="shared" si="22"/>
        <v>#N/A</v>
      </c>
      <c r="AZ37" s="830" t="e">
        <f t="shared" si="23"/>
        <v>#N/A</v>
      </c>
      <c r="BA37" s="830" t="e">
        <f t="shared" si="24"/>
        <v>#N/A</v>
      </c>
      <c r="BB37" s="793" t="e">
        <f t="shared" si="25"/>
        <v>#N/A</v>
      </c>
      <c r="BC37" s="796" t="e">
        <f t="shared" si="26"/>
        <v>#N/A</v>
      </c>
      <c r="BD37" s="793" t="e">
        <f t="shared" si="27"/>
        <v>#N/A</v>
      </c>
      <c r="BE37" s="793" t="e">
        <f t="shared" si="28"/>
        <v>#N/A</v>
      </c>
      <c r="BF37" s="139" t="e">
        <f t="shared" si="31"/>
        <v>#N/A</v>
      </c>
      <c r="BG37" s="134">
        <f t="shared" si="29"/>
        <v>1</v>
      </c>
      <c r="BM37" s="147"/>
      <c r="BN37" s="254"/>
      <c r="BO37" s="254"/>
      <c r="BP37" s="254"/>
      <c r="BQ37" s="150"/>
      <c r="BS37" s="147"/>
      <c r="BT37" s="147"/>
      <c r="BV37" s="253"/>
      <c r="BW37" s="150"/>
      <c r="BZ37" s="147"/>
      <c r="CA37" s="147"/>
      <c r="CC37" s="254"/>
      <c r="CD37" s="150"/>
    </row>
    <row r="38" spans="1:98" s="134" customFormat="1" ht="29.25" customHeight="1">
      <c r="A38" s="21">
        <v>10</v>
      </c>
      <c r="B38" s="403"/>
      <c r="C38" s="404"/>
      <c r="D38" s="404"/>
      <c r="E38" s="404"/>
      <c r="F38" s="405"/>
      <c r="G38" s="404"/>
      <c r="H38" s="403"/>
      <c r="I38" s="406"/>
      <c r="J38" s="396"/>
      <c r="K38" s="924" t="str">
        <f t="shared" si="2"/>
        <v/>
      </c>
      <c r="L38" s="625"/>
      <c r="M38" s="397"/>
      <c r="N38" s="397"/>
      <c r="O38" s="327">
        <f t="shared" si="3"/>
        <v>0</v>
      </c>
      <c r="P38" s="626"/>
      <c r="Q38" s="390"/>
      <c r="R38" s="926" t="str">
        <f t="shared" si="4"/>
        <v/>
      </c>
      <c r="S38" s="927">
        <f t="shared" si="30"/>
        <v>0</v>
      </c>
      <c r="T38" s="928">
        <f t="shared" si="5"/>
        <v>0</v>
      </c>
      <c r="U38" s="403"/>
      <c r="V38" s="404"/>
      <c r="W38" s="942"/>
      <c r="X38" s="404"/>
      <c r="Y38" s="404"/>
      <c r="Z38" s="404"/>
      <c r="AA38" s="405"/>
      <c r="AB38" s="406"/>
      <c r="AC38" s="396"/>
      <c r="AD38" s="924" t="str">
        <f t="shared" si="6"/>
        <v/>
      </c>
      <c r="AE38" s="625"/>
      <c r="AF38" s="627"/>
      <c r="AG38" s="399"/>
      <c r="AH38" s="926" t="str">
        <f t="shared" si="7"/>
        <v/>
      </c>
      <c r="AI38" s="927">
        <f t="shared" si="8"/>
        <v>0</v>
      </c>
      <c r="AJ38" s="927" t="str">
        <f t="shared" si="9"/>
        <v/>
      </c>
      <c r="AK38" s="932">
        <f t="shared" si="10"/>
        <v>0</v>
      </c>
      <c r="AL38" s="932">
        <f t="shared" si="11"/>
        <v>0</v>
      </c>
      <c r="AM38" s="933" t="str">
        <f t="shared" si="12"/>
        <v/>
      </c>
      <c r="AN38" s="897"/>
      <c r="AO38" s="898" t="str">
        <f t="shared" si="13"/>
        <v/>
      </c>
      <c r="AP38" s="136"/>
      <c r="AQ38" s="829" t="e">
        <f t="shared" si="14"/>
        <v>#N/A</v>
      </c>
      <c r="AR38" s="829" t="e">
        <f t="shared" si="15"/>
        <v>#N/A</v>
      </c>
      <c r="AS38" s="829">
        <f t="shared" si="16"/>
        <v>1</v>
      </c>
      <c r="AT38" s="830" t="e">
        <f t="shared" si="17"/>
        <v>#N/A</v>
      </c>
      <c r="AU38" s="830" t="e">
        <f t="shared" si="18"/>
        <v>#N/A</v>
      </c>
      <c r="AV38" s="793" t="e">
        <f t="shared" si="19"/>
        <v>#N/A</v>
      </c>
      <c r="AW38" s="796" t="e">
        <f t="shared" si="20"/>
        <v>#N/A</v>
      </c>
      <c r="AX38" s="793" t="e">
        <f t="shared" si="21"/>
        <v>#N/A</v>
      </c>
      <c r="AY38" s="793" t="e">
        <f t="shared" si="22"/>
        <v>#N/A</v>
      </c>
      <c r="AZ38" s="830" t="e">
        <f t="shared" si="23"/>
        <v>#N/A</v>
      </c>
      <c r="BA38" s="830" t="e">
        <f t="shared" si="24"/>
        <v>#N/A</v>
      </c>
      <c r="BB38" s="793" t="e">
        <f t="shared" si="25"/>
        <v>#N/A</v>
      </c>
      <c r="BC38" s="796" t="e">
        <f t="shared" si="26"/>
        <v>#N/A</v>
      </c>
      <c r="BD38" s="793" t="e">
        <f t="shared" si="27"/>
        <v>#N/A</v>
      </c>
      <c r="BE38" s="793" t="e">
        <f t="shared" si="28"/>
        <v>#N/A</v>
      </c>
      <c r="BF38" s="139" t="e">
        <f t="shared" si="31"/>
        <v>#N/A</v>
      </c>
      <c r="BG38" s="134">
        <f t="shared" si="29"/>
        <v>1</v>
      </c>
      <c r="BM38" s="147"/>
      <c r="BN38" s="253"/>
      <c r="BO38" s="253"/>
      <c r="BP38" s="254"/>
      <c r="BQ38" s="150"/>
      <c r="BS38" s="147"/>
      <c r="BT38" s="147"/>
      <c r="BV38" s="253"/>
      <c r="BW38" s="150"/>
      <c r="BZ38" s="147"/>
      <c r="CA38" s="147"/>
      <c r="CC38" s="254"/>
      <c r="CD38" s="150"/>
    </row>
    <row r="39" spans="1:98" s="134" customFormat="1" ht="18" customHeight="1">
      <c r="A39" s="133"/>
      <c r="B39" s="133"/>
      <c r="C39" s="133"/>
      <c r="D39" s="133"/>
      <c r="E39" s="133"/>
      <c r="F39" s="133"/>
      <c r="G39" s="189"/>
      <c r="H39" s="189"/>
      <c r="J39" s="189"/>
      <c r="K39" s="317"/>
      <c r="L39" s="317"/>
      <c r="M39" s="172"/>
      <c r="N39" s="172"/>
      <c r="O39" s="172"/>
      <c r="P39" s="172"/>
      <c r="Q39" s="172"/>
      <c r="R39" s="172"/>
      <c r="S39" s="172"/>
      <c r="T39" s="172"/>
      <c r="U39" s="172"/>
      <c r="V39" s="172"/>
      <c r="W39" s="172"/>
      <c r="X39" s="172"/>
      <c r="Y39" s="172"/>
      <c r="Z39" s="172"/>
      <c r="AA39" s="172"/>
      <c r="AC39" s="172"/>
      <c r="AD39" s="172"/>
      <c r="AE39" s="172"/>
      <c r="AF39" s="172"/>
      <c r="AG39" s="172"/>
      <c r="AH39" s="172"/>
      <c r="AI39" s="172"/>
      <c r="AJ39" s="172"/>
      <c r="AK39" s="330"/>
      <c r="AL39" s="330"/>
      <c r="AM39" s="330"/>
      <c r="AN39" s="136"/>
      <c r="AO39" s="179"/>
      <c r="AP39" s="137"/>
      <c r="AQ39" s="137"/>
      <c r="AR39" s="137"/>
      <c r="AS39" s="138"/>
      <c r="AT39" s="138"/>
      <c r="AU39" s="139"/>
      <c r="AV39" s="140"/>
      <c r="AW39" s="139"/>
      <c r="AX39" s="139"/>
      <c r="AY39" s="138"/>
      <c r="AZ39" s="138"/>
      <c r="BA39" s="139"/>
      <c r="BB39" s="140"/>
      <c r="BC39" s="139"/>
      <c r="BD39" s="139"/>
      <c r="BE39" s="139"/>
      <c r="BG39" s="189">
        <f>IF(COUNTA(I29:I38)=COUNTIF(I29:I38,I29),1,0)</f>
        <v>1</v>
      </c>
      <c r="BL39" s="147"/>
      <c r="BM39" s="253"/>
      <c r="BN39" s="254"/>
      <c r="BO39" s="254"/>
      <c r="BP39" s="150"/>
      <c r="BS39" s="147"/>
      <c r="BT39" s="147"/>
      <c r="BU39" s="253"/>
      <c r="BV39" s="150"/>
      <c r="BY39" s="147"/>
      <c r="BZ39" s="147"/>
      <c r="CB39" s="254"/>
      <c r="CC39" s="150"/>
    </row>
    <row r="40" spans="1:98" s="134" customFormat="1" ht="18" customHeight="1">
      <c r="A40" s="133"/>
      <c r="B40" s="133"/>
      <c r="C40" s="133"/>
      <c r="D40" s="133"/>
      <c r="E40" s="133"/>
      <c r="F40" s="176"/>
      <c r="G40" s="176"/>
      <c r="H40" s="176"/>
      <c r="I40" s="176"/>
      <c r="J40" s="176"/>
      <c r="K40" s="176"/>
      <c r="L40" s="176"/>
      <c r="M40" s="175"/>
      <c r="N40" s="175"/>
      <c r="O40" s="175"/>
      <c r="P40" s="175"/>
      <c r="Q40" s="175"/>
      <c r="R40" s="175"/>
      <c r="S40" s="133"/>
      <c r="T40" s="133"/>
      <c r="U40" s="133"/>
      <c r="V40" s="133"/>
      <c r="W40" s="133"/>
      <c r="X40" s="133"/>
      <c r="Y40" s="133"/>
      <c r="Z40" s="133"/>
      <c r="AA40" s="177"/>
      <c r="AB40" s="177"/>
      <c r="AC40" s="177"/>
      <c r="AD40" s="177"/>
      <c r="AE40" s="177"/>
      <c r="AF40" s="177"/>
      <c r="AG40" s="177"/>
      <c r="AH40" s="175"/>
      <c r="AI40" s="175"/>
      <c r="AJ40" s="175"/>
      <c r="AK40" s="175"/>
      <c r="AL40" s="175"/>
      <c r="AM40" s="175"/>
      <c r="AN40" s="175"/>
      <c r="AO40" s="136"/>
      <c r="AP40" s="137"/>
      <c r="AQ40" s="137"/>
      <c r="AR40" s="137"/>
      <c r="AS40" s="138"/>
      <c r="AT40" s="138"/>
      <c r="AU40" s="139"/>
      <c r="AV40" s="140"/>
      <c r="AW40" s="139"/>
      <c r="AX40" s="139"/>
      <c r="AY40" s="138"/>
      <c r="AZ40" s="138"/>
      <c r="BA40" s="139"/>
      <c r="BB40" s="140"/>
      <c r="BC40" s="139"/>
      <c r="BD40" s="139"/>
      <c r="BE40" s="139"/>
      <c r="BG40" s="189">
        <f>IF(COUNTA(AB29:AB38)=COUNTIF(AB29:AB38,AB29),1,0)</f>
        <v>1</v>
      </c>
      <c r="BL40" s="147"/>
      <c r="BM40" s="254"/>
      <c r="BN40" s="254"/>
      <c r="BO40" s="254"/>
      <c r="BS40" s="147"/>
      <c r="BU40" s="253"/>
      <c r="BV40" s="150"/>
      <c r="BY40" s="147"/>
      <c r="BZ40" s="147"/>
      <c r="CB40" s="254"/>
      <c r="CC40" s="150"/>
    </row>
    <row r="41" spans="1:98" s="134" customFormat="1" ht="18" customHeight="1">
      <c r="A41" s="133"/>
      <c r="B41" s="133"/>
      <c r="C41" s="133"/>
      <c r="D41" s="133"/>
      <c r="E41" s="133"/>
      <c r="F41" s="133"/>
      <c r="G41" s="178"/>
      <c r="H41" s="178"/>
      <c r="I41" s="179"/>
      <c r="J41" s="179"/>
      <c r="K41" s="180"/>
      <c r="L41" s="180"/>
      <c r="M41" s="180"/>
      <c r="N41" s="180"/>
      <c r="O41" s="180"/>
      <c r="P41" s="180"/>
      <c r="Q41" s="180"/>
      <c r="R41" s="180"/>
      <c r="S41" s="133"/>
      <c r="T41" s="133"/>
      <c r="U41" s="133"/>
      <c r="V41" s="133"/>
      <c r="W41" s="133"/>
      <c r="X41" s="133"/>
      <c r="Y41" s="133"/>
      <c r="Z41" s="133"/>
      <c r="AB41" s="133"/>
      <c r="AC41" s="133"/>
      <c r="AD41" s="133"/>
      <c r="AE41" s="133"/>
      <c r="AF41" s="133"/>
      <c r="AG41" s="133"/>
      <c r="AH41" s="178"/>
      <c r="AI41" s="178"/>
      <c r="AJ41" s="178"/>
      <c r="AK41" s="178"/>
      <c r="AL41" s="178"/>
      <c r="AM41" s="178"/>
      <c r="AN41" s="181"/>
      <c r="AO41" s="136"/>
      <c r="AP41" s="137"/>
      <c r="AQ41" s="137"/>
      <c r="AR41" s="137"/>
      <c r="AS41" s="138"/>
      <c r="AT41" s="138"/>
      <c r="AU41" s="139"/>
      <c r="AV41" s="140"/>
      <c r="AW41" s="139"/>
      <c r="AX41" s="139"/>
      <c r="AY41" s="138"/>
      <c r="AZ41" s="138"/>
      <c r="BA41" s="139"/>
      <c r="BB41" s="140"/>
      <c r="BC41" s="139"/>
      <c r="BD41" s="139"/>
      <c r="BE41" s="139"/>
      <c r="BL41" s="147"/>
      <c r="BM41" s="253"/>
      <c r="BU41" s="254"/>
      <c r="BW41" s="255"/>
      <c r="BY41" s="147"/>
      <c r="CA41" s="255"/>
      <c r="CB41" s="254"/>
      <c r="CD41" s="255"/>
    </row>
    <row r="42" spans="1:98" s="134" customFormat="1" ht="18" customHeight="1">
      <c r="A42" s="182"/>
      <c r="B42" s="183"/>
      <c r="C42" s="183"/>
      <c r="D42" s="183"/>
      <c r="E42" s="183"/>
      <c r="F42" s="175"/>
      <c r="G42" s="175"/>
      <c r="H42" s="175"/>
      <c r="I42" s="175"/>
      <c r="J42" s="175"/>
      <c r="K42" s="175"/>
      <c r="L42" s="175"/>
      <c r="M42" s="175"/>
      <c r="N42" s="175"/>
      <c r="O42" s="175"/>
      <c r="P42" s="175"/>
      <c r="Q42" s="175"/>
      <c r="R42" s="175"/>
      <c r="AA42" s="175"/>
      <c r="AB42" s="175"/>
      <c r="AC42" s="175"/>
      <c r="AD42" s="175"/>
      <c r="AE42" s="175"/>
      <c r="AF42" s="175"/>
      <c r="AG42" s="175"/>
      <c r="AH42" s="175"/>
      <c r="AI42" s="175"/>
      <c r="AJ42" s="175"/>
      <c r="AK42" s="175"/>
      <c r="AL42" s="175"/>
      <c r="AM42" s="175"/>
      <c r="AO42" s="136"/>
      <c r="AP42" s="137"/>
      <c r="AQ42" s="137"/>
      <c r="AR42" s="137"/>
      <c r="AS42" s="138"/>
      <c r="AT42" s="138"/>
      <c r="AU42" s="139"/>
      <c r="AV42" s="140"/>
      <c r="AW42" s="139"/>
      <c r="AX42" s="139"/>
      <c r="AY42" s="138"/>
      <c r="AZ42" s="138"/>
      <c r="BA42" s="139"/>
      <c r="BB42" s="140"/>
      <c r="BC42" s="139"/>
      <c r="BD42" s="139"/>
      <c r="BE42" s="139"/>
      <c r="BL42" s="147"/>
      <c r="BM42" s="254"/>
      <c r="BT42" s="255"/>
      <c r="CJ42" s="256"/>
      <c r="CK42" s="256"/>
      <c r="CL42" s="256"/>
      <c r="CM42" s="256"/>
      <c r="CN42" s="256"/>
      <c r="CO42" s="256"/>
      <c r="CP42" s="256"/>
      <c r="CQ42" s="256"/>
      <c r="CR42" s="256"/>
      <c r="CS42" s="256"/>
    </row>
    <row r="43" spans="1:98" s="134" customFormat="1" ht="18" customHeight="1">
      <c r="A43" s="182"/>
      <c r="B43" s="186"/>
      <c r="C43" s="186"/>
      <c r="D43" s="186"/>
      <c r="E43" s="186"/>
      <c r="F43" s="187"/>
      <c r="G43" s="187"/>
      <c r="H43" s="187"/>
      <c r="I43" s="187"/>
      <c r="J43" s="187"/>
      <c r="K43" s="187"/>
      <c r="L43" s="187"/>
      <c r="M43" s="188"/>
      <c r="N43" s="188"/>
      <c r="O43" s="188"/>
      <c r="P43" s="188"/>
      <c r="Q43" s="188"/>
      <c r="R43" s="188"/>
      <c r="S43" s="175"/>
      <c r="T43" s="175"/>
      <c r="U43" s="175"/>
      <c r="V43" s="175"/>
      <c r="W43" s="175"/>
      <c r="X43" s="175"/>
      <c r="Y43" s="175"/>
      <c r="Z43" s="175"/>
      <c r="AA43" s="187"/>
      <c r="AB43" s="187"/>
      <c r="AC43" s="187"/>
      <c r="AD43" s="187"/>
      <c r="AE43" s="187"/>
      <c r="AF43" s="187"/>
      <c r="AG43" s="187"/>
      <c r="AH43" s="188"/>
      <c r="AI43" s="188"/>
      <c r="AJ43" s="188"/>
      <c r="AK43" s="188"/>
      <c r="AL43" s="188"/>
      <c r="AM43" s="188"/>
      <c r="AN43" s="175"/>
      <c r="AO43" s="136"/>
      <c r="AP43" s="137"/>
      <c r="AQ43" s="137"/>
      <c r="AR43" s="137"/>
      <c r="AS43" s="138"/>
      <c r="AT43" s="138"/>
      <c r="AU43" s="139"/>
      <c r="AV43" s="140"/>
      <c r="AW43" s="139"/>
      <c r="AX43" s="139"/>
      <c r="AY43" s="138"/>
      <c r="AZ43" s="138"/>
      <c r="BA43" s="139"/>
      <c r="BB43" s="140"/>
      <c r="BC43" s="139"/>
      <c r="BD43" s="139"/>
      <c r="BE43" s="139"/>
      <c r="CJ43" s="256"/>
      <c r="CK43" s="257"/>
      <c r="CL43" s="256"/>
      <c r="CM43" s="256"/>
      <c r="CN43" s="256"/>
      <c r="CO43" s="256"/>
      <c r="CP43" s="256"/>
      <c r="CQ43" s="256"/>
      <c r="CR43" s="256"/>
      <c r="CS43" s="256"/>
    </row>
    <row r="44" spans="1:98" s="134" customFormat="1" ht="18" customHeight="1">
      <c r="A44" s="189"/>
      <c r="B44" s="189"/>
      <c r="C44" s="189"/>
      <c r="D44" s="189"/>
      <c r="E44" s="189"/>
      <c r="F44" s="187"/>
      <c r="G44" s="187"/>
      <c r="H44" s="187"/>
      <c r="I44" s="187"/>
      <c r="J44" s="187"/>
      <c r="K44" s="187"/>
      <c r="L44" s="187"/>
      <c r="M44" s="188"/>
      <c r="N44" s="188"/>
      <c r="O44" s="188"/>
      <c r="P44" s="188"/>
      <c r="Q44" s="188"/>
      <c r="R44" s="188"/>
      <c r="S44" s="175"/>
      <c r="T44" s="175"/>
      <c r="U44" s="175"/>
      <c r="V44" s="175"/>
      <c r="W44" s="175"/>
      <c r="X44" s="175"/>
      <c r="Y44" s="175"/>
      <c r="Z44" s="175"/>
      <c r="AA44" s="187"/>
      <c r="AB44" s="187"/>
      <c r="AC44" s="187"/>
      <c r="AD44" s="187"/>
      <c r="AE44" s="187"/>
      <c r="AF44" s="187"/>
      <c r="AG44" s="187"/>
      <c r="AH44" s="188"/>
      <c r="AI44" s="188"/>
      <c r="AJ44" s="188"/>
      <c r="AK44" s="188"/>
      <c r="AL44" s="188"/>
      <c r="AM44" s="188"/>
      <c r="AN44" s="175"/>
      <c r="AO44" s="136"/>
      <c r="AP44" s="137"/>
      <c r="AQ44" s="137"/>
      <c r="AR44" s="137"/>
      <c r="AS44" s="138"/>
      <c r="AT44" s="138"/>
      <c r="AU44" s="139"/>
      <c r="AV44" s="140"/>
      <c r="AW44" s="139"/>
      <c r="AX44" s="139"/>
      <c r="AY44" s="138"/>
      <c r="AZ44" s="138"/>
      <c r="BA44" s="139"/>
      <c r="BB44" s="140"/>
      <c r="BC44" s="139"/>
      <c r="BD44" s="139"/>
      <c r="BE44" s="139"/>
      <c r="CJ44" s="256"/>
      <c r="CK44" s="257"/>
      <c r="CL44" s="256"/>
      <c r="CM44" s="256"/>
      <c r="CN44" s="256"/>
      <c r="CO44" s="256"/>
      <c r="CP44" s="256"/>
      <c r="CQ44" s="256"/>
      <c r="CR44" s="256"/>
      <c r="CS44" s="256"/>
    </row>
    <row r="45" spans="1:98" s="134" customFormat="1" ht="18" customHeight="1">
      <c r="B45" s="175"/>
      <c r="C45" s="175"/>
      <c r="D45" s="175"/>
      <c r="E45" s="175"/>
      <c r="AO45" s="136"/>
      <c r="AP45" s="137"/>
      <c r="AQ45" s="137"/>
      <c r="AR45" s="137"/>
      <c r="AS45" s="138"/>
      <c r="AT45" s="138"/>
      <c r="AU45" s="139"/>
      <c r="AV45" s="140"/>
      <c r="AW45" s="139"/>
      <c r="AX45" s="139"/>
      <c r="AY45" s="138"/>
      <c r="AZ45" s="138"/>
      <c r="BA45" s="139"/>
      <c r="BB45" s="140"/>
      <c r="BC45" s="139"/>
      <c r="BD45" s="139"/>
      <c r="BE45" s="139"/>
      <c r="BQ45" s="169"/>
      <c r="BR45" s="260"/>
      <c r="CJ45" s="256"/>
      <c r="CK45" s="256"/>
      <c r="CL45" s="256"/>
      <c r="CM45" s="256"/>
      <c r="CN45" s="256"/>
      <c r="CO45" s="256"/>
      <c r="CP45" s="256"/>
      <c r="CQ45" s="256"/>
      <c r="CR45" s="256"/>
      <c r="CS45" s="256"/>
    </row>
    <row r="46" spans="1:98" s="134" customFormat="1" ht="18" customHeight="1">
      <c r="A46" s="130"/>
      <c r="B46" s="130"/>
      <c r="C46" s="130"/>
      <c r="D46" s="130"/>
      <c r="E46" s="130"/>
      <c r="AA46" s="190"/>
      <c r="AB46" s="190"/>
      <c r="AC46" s="190"/>
      <c r="AD46" s="190"/>
      <c r="AE46" s="190"/>
      <c r="AF46" s="190"/>
      <c r="AG46" s="190"/>
      <c r="AO46" s="136"/>
      <c r="AP46" s="137"/>
      <c r="AQ46" s="137"/>
      <c r="AR46" s="137"/>
      <c r="AS46" s="138"/>
      <c r="AT46" s="138"/>
      <c r="AU46" s="139"/>
      <c r="AV46" s="140"/>
      <c r="AW46" s="139"/>
      <c r="AX46" s="139"/>
      <c r="AY46" s="138"/>
      <c r="AZ46" s="138"/>
      <c r="BA46" s="139"/>
      <c r="BB46" s="140"/>
      <c r="BC46" s="139"/>
      <c r="BD46" s="139"/>
      <c r="BE46" s="139"/>
      <c r="BQ46" s="169"/>
      <c r="BR46" s="228"/>
      <c r="CG46" s="164"/>
      <c r="CJ46" s="256"/>
      <c r="CK46" s="256"/>
      <c r="CL46" s="256"/>
      <c r="CM46" s="256"/>
      <c r="CN46" s="256"/>
      <c r="CO46" s="256"/>
      <c r="CP46" s="256"/>
      <c r="CQ46" s="256"/>
      <c r="CR46" s="256"/>
      <c r="CS46" s="256"/>
    </row>
    <row r="47" spans="1:98" s="134" customFormat="1" ht="15" customHeight="1">
      <c r="A47" s="130"/>
      <c r="B47" s="130"/>
      <c r="C47" s="130"/>
      <c r="D47" s="130"/>
      <c r="E47" s="130"/>
      <c r="V47" s="147"/>
      <c r="W47" s="147"/>
      <c r="X47" s="147"/>
      <c r="Y47" s="147"/>
      <c r="Z47" s="147"/>
      <c r="AA47" s="191"/>
      <c r="AB47" s="191"/>
      <c r="AC47" s="191"/>
      <c r="AD47" s="191"/>
      <c r="AE47" s="191"/>
      <c r="AF47" s="191"/>
      <c r="AG47" s="191"/>
      <c r="AO47" s="136"/>
      <c r="AP47" s="137"/>
      <c r="AQ47" s="130"/>
      <c r="AR47" s="130"/>
      <c r="AS47" s="138"/>
      <c r="AT47" s="138"/>
      <c r="AU47" s="139"/>
      <c r="AV47" s="140"/>
      <c r="AW47" s="139"/>
      <c r="AX47" s="139"/>
      <c r="AY47" s="138"/>
      <c r="AZ47" s="138"/>
      <c r="BA47" s="139"/>
      <c r="BB47" s="140"/>
      <c r="BC47" s="139"/>
      <c r="BQ47" s="169"/>
      <c r="BR47" s="228"/>
      <c r="CH47" s="164"/>
      <c r="CK47" s="256"/>
      <c r="CL47" s="256"/>
      <c r="CM47" s="256"/>
      <c r="CN47" s="256"/>
      <c r="CO47" s="258"/>
      <c r="CP47" s="258"/>
      <c r="CQ47" s="258"/>
      <c r="CR47" s="259"/>
      <c r="CS47" s="259"/>
      <c r="CT47" s="259"/>
    </row>
    <row r="48" spans="1:98" s="134" customFormat="1" ht="15" customHeight="1">
      <c r="A48" s="130"/>
      <c r="B48" s="130"/>
      <c r="C48" s="130"/>
      <c r="D48" s="130"/>
      <c r="E48" s="130"/>
      <c r="AA48" s="191"/>
      <c r="AB48" s="191"/>
      <c r="AC48" s="191"/>
      <c r="AD48" s="191"/>
      <c r="AE48" s="191"/>
      <c r="AF48" s="191"/>
      <c r="AG48" s="191"/>
      <c r="AP48" s="136"/>
      <c r="AQ48" s="137"/>
      <c r="AR48" s="137"/>
      <c r="AS48" s="138"/>
      <c r="AT48" s="138"/>
      <c r="AU48" s="139"/>
      <c r="AV48" s="140"/>
      <c r="AW48" s="139"/>
      <c r="AX48" s="139"/>
      <c r="AY48" s="138"/>
      <c r="AZ48" s="138"/>
      <c r="BA48" s="139"/>
      <c r="BB48" s="140"/>
      <c r="BC48" s="139"/>
      <c r="BQ48" s="169"/>
      <c r="BR48" s="228"/>
      <c r="BS48" s="260"/>
      <c r="BU48" s="230"/>
      <c r="BV48" s="231"/>
      <c r="BW48" s="261"/>
      <c r="BX48" s="261"/>
      <c r="BY48" s="169"/>
      <c r="CH48" s="164"/>
      <c r="CK48" s="256"/>
      <c r="CL48" s="256"/>
      <c r="CM48" s="256"/>
      <c r="CN48" s="256"/>
      <c r="CO48" s="258"/>
      <c r="CP48" s="258"/>
      <c r="CQ48" s="258"/>
      <c r="CR48" s="259"/>
      <c r="CS48" s="259"/>
      <c r="CT48" s="259"/>
    </row>
    <row r="49" spans="1:98" s="134" customFormat="1" ht="15" customHeight="1">
      <c r="A49" s="130"/>
      <c r="B49" s="130"/>
      <c r="C49" s="130"/>
      <c r="D49" s="130"/>
      <c r="E49" s="130"/>
      <c r="AA49" s="192"/>
      <c r="AC49" s="193"/>
      <c r="AO49" s="175"/>
      <c r="AP49" s="136"/>
      <c r="AQ49" s="137"/>
      <c r="AR49" s="137"/>
      <c r="AS49" s="137"/>
      <c r="AT49" s="138"/>
      <c r="AU49" s="138"/>
      <c r="AV49" s="139"/>
      <c r="AW49" s="139"/>
      <c r="AX49" s="139"/>
      <c r="AY49" s="139"/>
      <c r="AZ49" s="139"/>
      <c r="BA49" s="139"/>
      <c r="BB49" s="139"/>
      <c r="BC49" s="139"/>
      <c r="BQ49" s="169"/>
      <c r="BR49" s="228"/>
      <c r="BS49" s="228"/>
      <c r="BT49" s="169"/>
      <c r="BU49" s="169"/>
      <c r="BV49" s="169"/>
      <c r="BW49" s="169"/>
      <c r="BX49" s="169"/>
      <c r="BY49" s="169"/>
      <c r="CH49" s="164"/>
      <c r="CK49" s="256"/>
      <c r="CL49" s="256"/>
      <c r="CM49" s="256"/>
      <c r="CN49" s="256"/>
      <c r="CO49" s="258"/>
      <c r="CP49" s="258"/>
      <c r="CQ49" s="258"/>
      <c r="CR49" s="259"/>
      <c r="CS49" s="259"/>
      <c r="CT49" s="259"/>
    </row>
    <row r="50" spans="1:98" s="134" customFormat="1" ht="15" customHeight="1">
      <c r="A50" s="130"/>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75"/>
      <c r="AP50" s="136"/>
      <c r="AQ50" s="137"/>
      <c r="AR50" s="137"/>
      <c r="AS50" s="137"/>
      <c r="AT50" s="138"/>
      <c r="AU50" s="138"/>
      <c r="AV50" s="139"/>
      <c r="AW50" s="139"/>
      <c r="AX50" s="139"/>
      <c r="AY50" s="139"/>
      <c r="AZ50" s="139"/>
      <c r="BA50" s="139"/>
      <c r="BB50" s="139"/>
      <c r="BC50" s="139"/>
      <c r="BQ50" s="169"/>
      <c r="BR50" s="228"/>
      <c r="BS50" s="228"/>
      <c r="BT50" s="169"/>
      <c r="BU50" s="169"/>
      <c r="BV50" s="169"/>
      <c r="BW50" s="169"/>
      <c r="BX50" s="169"/>
      <c r="BY50" s="169"/>
      <c r="CH50" s="164"/>
      <c r="CK50" s="256"/>
      <c r="CL50" s="256"/>
      <c r="CM50" s="256"/>
      <c r="CN50" s="256"/>
      <c r="CO50" s="258"/>
      <c r="CP50" s="258"/>
      <c r="CQ50" s="258"/>
      <c r="CR50" s="259"/>
      <c r="CS50" s="259"/>
      <c r="CT50" s="259"/>
    </row>
    <row r="51" spans="1:98" s="134" customFormat="1" ht="15" customHeight="1">
      <c r="A51" s="130"/>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81"/>
      <c r="AP51" s="136"/>
      <c r="AQ51" s="137"/>
      <c r="AR51" s="137"/>
      <c r="AS51" s="137"/>
      <c r="AT51" s="138"/>
      <c r="AU51" s="138"/>
      <c r="AV51" s="139"/>
      <c r="AW51" s="139"/>
      <c r="AX51" s="139"/>
      <c r="AY51" s="139"/>
      <c r="AZ51" s="139"/>
      <c r="BA51" s="139"/>
      <c r="BB51" s="139"/>
      <c r="BC51" s="139"/>
      <c r="BQ51" s="169"/>
      <c r="BR51" s="228"/>
      <c r="BS51" s="228"/>
      <c r="BT51" s="169"/>
      <c r="BU51" s="169"/>
      <c r="BV51" s="169"/>
      <c r="BW51" s="169"/>
      <c r="BX51" s="169"/>
      <c r="BY51" s="169"/>
      <c r="CH51" s="164"/>
      <c r="CK51" s="256"/>
      <c r="CL51" s="256"/>
      <c r="CM51" s="256"/>
      <c r="CN51" s="256"/>
      <c r="CO51" s="258"/>
      <c r="CP51" s="258"/>
      <c r="CQ51" s="258"/>
      <c r="CR51" s="259"/>
      <c r="CS51" s="259"/>
      <c r="CT51" s="259"/>
    </row>
    <row r="52" spans="1:98" s="134" customFormat="1" ht="15" customHeight="1">
      <c r="A52" s="130"/>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P52" s="136"/>
      <c r="AQ52" s="137"/>
      <c r="AR52" s="137"/>
      <c r="AS52" s="137"/>
      <c r="AT52" s="138"/>
      <c r="AU52" s="138"/>
      <c r="AV52" s="139"/>
      <c r="AW52" s="139"/>
      <c r="AX52" s="139"/>
      <c r="AY52" s="139"/>
      <c r="AZ52" s="139"/>
      <c r="BA52" s="139"/>
      <c r="BB52" s="139"/>
      <c r="BC52" s="139"/>
      <c r="BQ52" s="169"/>
      <c r="BR52" s="228"/>
      <c r="BS52" s="228"/>
      <c r="BT52" s="169"/>
      <c r="BU52" s="169"/>
      <c r="BV52" s="169"/>
      <c r="BW52" s="169"/>
      <c r="BX52" s="169"/>
      <c r="BY52" s="169"/>
      <c r="CH52" s="164"/>
      <c r="CK52" s="256"/>
      <c r="CL52" s="256"/>
      <c r="CM52" s="256"/>
      <c r="CN52" s="256"/>
      <c r="CO52" s="258"/>
      <c r="CP52" s="258"/>
      <c r="CQ52" s="258"/>
      <c r="CR52" s="259"/>
      <c r="CS52" s="259"/>
      <c r="CT52" s="259"/>
    </row>
    <row r="53" spans="1:98" s="134" customFormat="1" ht="15" customHeight="1">
      <c r="A53" s="130"/>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75"/>
      <c r="AP53" s="136"/>
      <c r="AQ53" s="137"/>
      <c r="AR53" s="137"/>
      <c r="AS53" s="137"/>
      <c r="AT53" s="138"/>
      <c r="AU53" s="138"/>
      <c r="AV53" s="139"/>
      <c r="AW53" s="139"/>
      <c r="AX53" s="139"/>
      <c r="AY53" s="139"/>
      <c r="AZ53" s="139"/>
      <c r="BA53" s="139"/>
      <c r="BB53" s="139"/>
      <c r="BC53" s="139"/>
      <c r="BQ53" s="169"/>
      <c r="BR53" s="228"/>
      <c r="BS53" s="228"/>
      <c r="BT53" s="169"/>
      <c r="BU53" s="169"/>
      <c r="BV53" s="169"/>
      <c r="BW53" s="169"/>
      <c r="BX53" s="169"/>
      <c r="BY53" s="169"/>
      <c r="CH53" s="164"/>
      <c r="CK53" s="256"/>
      <c r="CL53" s="256"/>
      <c r="CM53" s="256"/>
      <c r="CN53" s="256"/>
      <c r="CO53" s="258"/>
      <c r="CP53" s="258"/>
      <c r="CQ53" s="258"/>
      <c r="CR53" s="259"/>
      <c r="CS53" s="259"/>
      <c r="CT53" s="259"/>
    </row>
    <row r="54" spans="1:98" s="134" customFormat="1" ht="15" customHeight="1">
      <c r="A54" s="130"/>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75"/>
      <c r="AP54" s="136"/>
      <c r="AQ54" s="137"/>
      <c r="AR54" s="137"/>
      <c r="AS54" s="137"/>
      <c r="AT54" s="138"/>
      <c r="AU54" s="138"/>
      <c r="AV54" s="139"/>
      <c r="AW54" s="139"/>
      <c r="AX54" s="139"/>
      <c r="AY54" s="139"/>
      <c r="AZ54" s="139"/>
      <c r="BA54" s="139"/>
      <c r="BB54" s="139"/>
      <c r="BC54" s="139"/>
      <c r="BQ54" s="169"/>
      <c r="BR54" s="228"/>
      <c r="BS54" s="228"/>
      <c r="BT54" s="169"/>
      <c r="BU54" s="169"/>
      <c r="BV54" s="169"/>
      <c r="BW54" s="169"/>
      <c r="BX54" s="169"/>
      <c r="BY54" s="169"/>
      <c r="CH54" s="164"/>
      <c r="CK54" s="256"/>
      <c r="CL54" s="256"/>
      <c r="CM54" s="256"/>
      <c r="CN54" s="256"/>
      <c r="CO54" s="258"/>
      <c r="CP54" s="262"/>
      <c r="CQ54" s="258"/>
      <c r="CR54" s="259"/>
      <c r="CS54" s="263"/>
      <c r="CT54" s="259"/>
    </row>
    <row r="55" spans="1:98" s="134" customFormat="1" ht="15" customHeight="1">
      <c r="A55" s="130"/>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P55" s="136"/>
      <c r="AQ55" s="137"/>
      <c r="AR55" s="137"/>
      <c r="AS55" s="137"/>
      <c r="AT55" s="138"/>
      <c r="AU55" s="138"/>
      <c r="AV55" s="139"/>
      <c r="AW55" s="139"/>
      <c r="AX55" s="139"/>
      <c r="AY55" s="139"/>
      <c r="AZ55" s="139"/>
      <c r="BA55" s="139"/>
      <c r="BB55" s="139"/>
      <c r="BC55" s="139"/>
      <c r="BJ55" s="134" t="s">
        <v>378</v>
      </c>
      <c r="BQ55" s="169"/>
      <c r="BR55" s="260"/>
      <c r="BS55" s="228"/>
      <c r="BT55" s="169"/>
      <c r="BU55" s="169"/>
      <c r="BV55" s="169"/>
      <c r="BW55" s="169"/>
      <c r="BX55" s="169"/>
      <c r="BY55" s="169"/>
      <c r="CH55" s="164"/>
      <c r="CK55" s="256"/>
      <c r="CL55" s="256"/>
      <c r="CM55" s="256"/>
      <c r="CN55" s="256"/>
      <c r="CO55" s="258"/>
      <c r="CP55" s="258"/>
      <c r="CQ55" s="258"/>
      <c r="CR55" s="259"/>
      <c r="CS55" s="259"/>
      <c r="CT55" s="259"/>
    </row>
    <row r="56" spans="1:98" s="134" customFormat="1" ht="15" customHeight="1">
      <c r="A56" s="130"/>
      <c r="B56" s="130"/>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M56" s="130"/>
      <c r="AN56" s="130"/>
      <c r="AP56" s="136"/>
      <c r="AQ56" s="137"/>
      <c r="AR56" s="137"/>
      <c r="AS56" s="137"/>
      <c r="AT56" s="138"/>
      <c r="AU56" s="138"/>
      <c r="AV56" s="139"/>
      <c r="AW56" s="139"/>
      <c r="AX56" s="139"/>
      <c r="AY56" s="139"/>
      <c r="AZ56" s="139"/>
      <c r="BA56" s="139"/>
      <c r="BB56" s="139"/>
      <c r="BC56" s="139"/>
      <c r="BJ56" s="134" t="s">
        <v>380</v>
      </c>
      <c r="BQ56" s="169"/>
      <c r="BR56" s="228"/>
      <c r="BS56" s="228"/>
      <c r="BT56" s="169"/>
      <c r="BU56" s="169"/>
      <c r="BV56" s="169"/>
      <c r="BW56" s="169"/>
      <c r="BX56" s="169"/>
      <c r="BY56" s="169"/>
      <c r="CH56" s="164"/>
      <c r="CK56" s="256"/>
      <c r="CL56" s="256"/>
      <c r="CM56" s="256"/>
      <c r="CN56" s="256"/>
      <c r="CO56" s="258"/>
      <c r="CP56" s="258"/>
      <c r="CQ56" s="258"/>
      <c r="CR56" s="259"/>
      <c r="CS56" s="259"/>
      <c r="CT56" s="259"/>
    </row>
    <row r="57" spans="1:98" s="134" customFormat="1" ht="15" customHeight="1">
      <c r="A57" s="130"/>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P57" s="136"/>
      <c r="AQ57" s="137"/>
      <c r="AR57" s="137"/>
      <c r="AS57" s="137"/>
      <c r="AT57" s="138"/>
      <c r="AU57" s="138"/>
      <c r="AV57" s="139"/>
      <c r="AW57" s="139"/>
      <c r="AX57" s="139"/>
      <c r="AY57" s="139"/>
      <c r="AZ57" s="139"/>
      <c r="BA57" s="139"/>
      <c r="BB57" s="139"/>
      <c r="BC57" s="139"/>
      <c r="BJ57" s="134" t="s">
        <v>382</v>
      </c>
      <c r="BQ57" s="169"/>
      <c r="BR57" s="228"/>
      <c r="BS57" s="228"/>
      <c r="BT57" s="169"/>
      <c r="BU57" s="169"/>
      <c r="BV57" s="169"/>
      <c r="BW57" s="169"/>
      <c r="BX57" s="169"/>
      <c r="BY57" s="169"/>
      <c r="CH57" s="164"/>
      <c r="CK57" s="256"/>
      <c r="CL57" s="256"/>
      <c r="CM57" s="256"/>
      <c r="CN57" s="256"/>
      <c r="CO57" s="258"/>
      <c r="CP57" s="258"/>
      <c r="CQ57" s="258"/>
      <c r="CR57" s="259"/>
      <c r="CS57" s="259"/>
      <c r="CT57" s="259"/>
    </row>
    <row r="58" spans="1:98" s="134" customFormat="1" ht="15" customHeight="1">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P58" s="136"/>
      <c r="AQ58" s="137"/>
      <c r="AR58" s="137"/>
      <c r="AS58" s="137"/>
      <c r="AT58" s="138"/>
      <c r="AU58" s="138"/>
      <c r="AV58" s="139"/>
      <c r="AW58" s="139"/>
      <c r="AX58" s="139"/>
      <c r="AY58" s="139"/>
      <c r="AZ58" s="139"/>
      <c r="BA58" s="139"/>
      <c r="BB58" s="139"/>
      <c r="BC58" s="139"/>
      <c r="BJ58" s="134" t="s">
        <v>384</v>
      </c>
      <c r="BQ58" s="169"/>
      <c r="BR58" s="228"/>
      <c r="BS58" s="260"/>
      <c r="BT58" s="169"/>
      <c r="BU58" s="230"/>
      <c r="BV58" s="230"/>
      <c r="BW58" s="261"/>
      <c r="BX58" s="261"/>
      <c r="BY58" s="169"/>
      <c r="CH58" s="164"/>
      <c r="CK58" s="256"/>
      <c r="CL58" s="256"/>
      <c r="CM58" s="256"/>
      <c r="CN58" s="256"/>
      <c r="CO58" s="258"/>
      <c r="CP58" s="258"/>
      <c r="CQ58" s="256"/>
      <c r="CR58" s="259"/>
      <c r="CS58" s="259"/>
      <c r="CT58" s="259"/>
    </row>
    <row r="59" spans="1:98" s="134" customFormat="1" ht="15" customHeight="1">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c r="AL59" s="130"/>
      <c r="AM59" s="130"/>
      <c r="AN59" s="130"/>
      <c r="AP59" s="136"/>
      <c r="AQ59" s="137"/>
      <c r="AR59" s="137"/>
      <c r="AS59" s="137"/>
      <c r="AT59" s="138"/>
      <c r="AU59" s="138"/>
      <c r="AV59" s="139"/>
      <c r="AW59" s="139"/>
      <c r="AX59" s="139"/>
      <c r="AY59" s="139"/>
      <c r="AZ59" s="139"/>
      <c r="BA59" s="139"/>
      <c r="BB59" s="139"/>
      <c r="BC59" s="139"/>
      <c r="BJ59" s="134" t="s">
        <v>386</v>
      </c>
      <c r="BQ59" s="169"/>
      <c r="BR59" s="228"/>
      <c r="BS59" s="228"/>
      <c r="BT59" s="169"/>
      <c r="BU59" s="169"/>
      <c r="BV59" s="169"/>
      <c r="BW59" s="169"/>
      <c r="BX59" s="169"/>
      <c r="BY59" s="169"/>
      <c r="CH59" s="164"/>
      <c r="CK59" s="256"/>
      <c r="CL59" s="256"/>
      <c r="CM59" s="256"/>
      <c r="CN59" s="256"/>
      <c r="CO59" s="256"/>
      <c r="CP59" s="258"/>
      <c r="CQ59" s="256"/>
      <c r="CR59" s="259"/>
      <c r="CS59" s="259"/>
      <c r="CT59" s="259"/>
    </row>
    <row r="60" spans="1:98" s="134" customFormat="1" ht="15" customHeight="1">
      <c r="A60" s="130"/>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30"/>
      <c r="AM60" s="130"/>
      <c r="AN60" s="130"/>
      <c r="AO60" s="130"/>
      <c r="AP60" s="136"/>
      <c r="AQ60" s="137"/>
      <c r="AR60" s="137"/>
      <c r="AS60" s="137"/>
      <c r="AT60" s="138"/>
      <c r="AU60" s="138"/>
      <c r="AV60" s="139"/>
      <c r="AW60" s="139"/>
      <c r="AX60" s="139"/>
      <c r="AY60" s="139"/>
      <c r="AZ60" s="139"/>
      <c r="BA60" s="139"/>
      <c r="BB60" s="139"/>
      <c r="BC60" s="139"/>
      <c r="BJ60" s="134" t="s">
        <v>388</v>
      </c>
      <c r="BQ60" s="169"/>
      <c r="BR60" s="260"/>
      <c r="BS60" s="228"/>
      <c r="BT60" s="169"/>
      <c r="BU60" s="169"/>
      <c r="BV60" s="169"/>
      <c r="BW60" s="169"/>
      <c r="BX60" s="169"/>
      <c r="BY60" s="169"/>
      <c r="CH60" s="164"/>
      <c r="CK60" s="256"/>
      <c r="CL60" s="256"/>
      <c r="CM60" s="256"/>
      <c r="CN60" s="256"/>
      <c r="CO60" s="256"/>
      <c r="CP60" s="258"/>
      <c r="CQ60" s="256"/>
      <c r="CR60" s="259"/>
      <c r="CS60" s="259"/>
      <c r="CT60" s="259"/>
    </row>
    <row r="61" spans="1:98" s="134" customFormat="1" ht="15" customHeight="1">
      <c r="A61" s="130"/>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6"/>
      <c r="AQ61" s="137"/>
      <c r="AR61" s="137"/>
      <c r="AS61" s="137"/>
      <c r="AT61" s="138"/>
      <c r="AU61" s="138"/>
      <c r="AV61" s="139"/>
      <c r="AW61" s="139"/>
      <c r="AX61" s="139"/>
      <c r="AY61" s="139"/>
      <c r="AZ61" s="139"/>
      <c r="BA61" s="139"/>
      <c r="BB61" s="139"/>
      <c r="BC61" s="139"/>
      <c r="BJ61" s="134" t="s">
        <v>390</v>
      </c>
      <c r="BQ61" s="169"/>
      <c r="BR61" s="228"/>
      <c r="BS61" s="228"/>
      <c r="BT61" s="169"/>
      <c r="BU61" s="169"/>
      <c r="BV61" s="169"/>
      <c r="BW61" s="169"/>
      <c r="BX61" s="169"/>
      <c r="BY61" s="169"/>
      <c r="CH61" s="164"/>
      <c r="CK61" s="256"/>
      <c r="CL61" s="256"/>
      <c r="CM61" s="256"/>
      <c r="CN61" s="256"/>
      <c r="CO61" s="256"/>
      <c r="CP61" s="258"/>
      <c r="CQ61" s="256"/>
      <c r="CR61" s="259"/>
      <c r="CS61" s="259"/>
      <c r="CT61" s="259"/>
    </row>
    <row r="62" spans="1:98" s="134" customFormat="1" ht="15" customHeight="1">
      <c r="A62" s="130"/>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0"/>
      <c r="AK62" s="130"/>
      <c r="AL62" s="130"/>
      <c r="AM62" s="130"/>
      <c r="AN62" s="130"/>
      <c r="AO62" s="130"/>
      <c r="AP62" s="136"/>
      <c r="AQ62" s="137"/>
      <c r="AR62" s="137"/>
      <c r="AS62" s="137"/>
      <c r="AT62" s="138"/>
      <c r="AU62" s="138"/>
      <c r="AV62" s="139"/>
      <c r="AW62" s="139"/>
      <c r="AX62" s="139"/>
      <c r="AY62" s="139"/>
      <c r="AZ62" s="139"/>
      <c r="BA62" s="139"/>
      <c r="BB62" s="139"/>
      <c r="BC62" s="139"/>
      <c r="BJ62" s="134" t="s">
        <v>391</v>
      </c>
      <c r="BQ62" s="169"/>
      <c r="BR62" s="228"/>
      <c r="BS62" s="228"/>
      <c r="BT62" s="169"/>
      <c r="BU62" s="169"/>
      <c r="BV62" s="169"/>
      <c r="BW62" s="169"/>
      <c r="BX62" s="169"/>
      <c r="BY62" s="169"/>
      <c r="CH62" s="164"/>
      <c r="CK62" s="256"/>
      <c r="CL62" s="256"/>
      <c r="CM62" s="256"/>
      <c r="CN62" s="256"/>
      <c r="CO62" s="256"/>
      <c r="CP62" s="258"/>
      <c r="CQ62" s="256"/>
      <c r="CR62" s="259"/>
      <c r="CS62" s="259"/>
      <c r="CT62" s="259"/>
    </row>
    <row r="63" spans="1:98" s="134" customFormat="1" ht="1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6"/>
      <c r="AQ63" s="137"/>
      <c r="AR63" s="137"/>
      <c r="AS63" s="137"/>
      <c r="AT63" s="138"/>
      <c r="AU63" s="138"/>
      <c r="AV63" s="139"/>
      <c r="AW63" s="139"/>
      <c r="AX63" s="139"/>
      <c r="AY63" s="139"/>
      <c r="AZ63" s="139"/>
      <c r="BA63" s="139"/>
      <c r="BB63" s="139"/>
      <c r="BC63" s="139"/>
      <c r="BJ63" s="134" t="s">
        <v>392</v>
      </c>
      <c r="BQ63" s="169"/>
      <c r="BR63" s="228"/>
      <c r="BS63" s="260"/>
      <c r="BT63" s="169"/>
      <c r="BU63" s="264"/>
      <c r="BV63" s="264"/>
      <c r="BW63" s="261"/>
      <c r="BX63" s="261"/>
      <c r="BY63" s="169"/>
      <c r="CH63" s="164"/>
      <c r="CK63" s="256"/>
      <c r="CL63" s="256"/>
      <c r="CM63" s="256"/>
      <c r="CN63" s="256"/>
      <c r="CO63" s="256"/>
      <c r="CP63" s="258"/>
      <c r="CQ63" s="256"/>
      <c r="CR63" s="259"/>
      <c r="CS63" s="259"/>
      <c r="CT63" s="259"/>
    </row>
    <row r="64" spans="1:98" s="134" customFormat="1" ht="15" customHeight="1">
      <c r="A64" s="130"/>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6"/>
      <c r="AQ64" s="137"/>
      <c r="AR64" s="137"/>
      <c r="AS64" s="137"/>
      <c r="AT64" s="138"/>
      <c r="AU64" s="138"/>
      <c r="AV64" s="139"/>
      <c r="AW64" s="139"/>
      <c r="AX64" s="139"/>
      <c r="AY64" s="139"/>
      <c r="AZ64" s="139"/>
      <c r="BA64" s="139"/>
      <c r="BB64" s="139"/>
      <c r="BC64" s="139"/>
      <c r="BJ64" s="134" t="s">
        <v>393</v>
      </c>
      <c r="BQ64" s="169"/>
      <c r="BR64" s="228"/>
      <c r="BS64" s="228"/>
      <c r="BT64" s="169"/>
      <c r="BU64" s="169"/>
      <c r="BV64" s="169"/>
      <c r="BW64" s="169"/>
      <c r="BX64" s="169"/>
      <c r="BY64" s="169"/>
      <c r="CH64" s="164"/>
      <c r="CK64" s="256"/>
      <c r="CL64" s="256"/>
      <c r="CM64" s="256"/>
      <c r="CN64" s="256"/>
      <c r="CO64" s="256"/>
      <c r="CP64" s="258"/>
      <c r="CQ64" s="256"/>
      <c r="CR64" s="259"/>
      <c r="CS64" s="259"/>
      <c r="CT64" s="259"/>
    </row>
    <row r="65" spans="1:108" s="134" customFormat="1" ht="15" customHeight="1">
      <c r="A65" s="130"/>
      <c r="B65" s="130"/>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6"/>
      <c r="AQ65" s="137"/>
      <c r="AR65" s="137"/>
      <c r="AS65" s="137"/>
      <c r="AT65" s="138"/>
      <c r="AU65" s="138"/>
      <c r="AV65" s="139"/>
      <c r="AW65" s="139"/>
      <c r="AX65" s="139"/>
      <c r="AY65" s="139"/>
      <c r="AZ65" s="139"/>
      <c r="BA65" s="139"/>
      <c r="BB65" s="139"/>
      <c r="BC65" s="139"/>
      <c r="BJ65" s="134" t="s">
        <v>394</v>
      </c>
      <c r="BQ65" s="169"/>
      <c r="BR65" s="260"/>
      <c r="BS65" s="228"/>
      <c r="BT65" s="169"/>
      <c r="BU65" s="169"/>
      <c r="BV65" s="169"/>
      <c r="BW65" s="169"/>
      <c r="BX65" s="169"/>
      <c r="BY65" s="169"/>
      <c r="CH65" s="164"/>
      <c r="CK65" s="256"/>
      <c r="CL65" s="256"/>
      <c r="CM65" s="256"/>
      <c r="CN65" s="256"/>
      <c r="CO65" s="256"/>
      <c r="CP65" s="258"/>
      <c r="CQ65" s="256"/>
      <c r="CR65" s="259"/>
      <c r="CS65" s="259"/>
      <c r="CT65" s="259"/>
    </row>
    <row r="66" spans="1:108" s="134" customFormat="1" ht="15" customHeight="1">
      <c r="A66" s="130"/>
      <c r="B66" s="130"/>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6"/>
      <c r="AQ66" s="137"/>
      <c r="AR66" s="137"/>
      <c r="AS66" s="137"/>
      <c r="AT66" s="138"/>
      <c r="AU66" s="138"/>
      <c r="AV66" s="139"/>
      <c r="AW66" s="139"/>
      <c r="AX66" s="139"/>
      <c r="AY66" s="139"/>
      <c r="AZ66" s="139"/>
      <c r="BA66" s="139"/>
      <c r="BB66" s="139"/>
      <c r="BC66" s="139"/>
      <c r="BJ66" s="134" t="s">
        <v>395</v>
      </c>
      <c r="BQ66" s="169"/>
      <c r="BR66" s="265"/>
      <c r="BS66" s="228"/>
      <c r="BT66" s="169"/>
      <c r="BU66" s="169"/>
      <c r="BV66" s="169"/>
      <c r="BW66" s="169"/>
      <c r="BX66" s="169"/>
      <c r="BY66" s="169"/>
      <c r="CH66" s="164"/>
      <c r="CK66" s="256"/>
      <c r="CL66" s="256"/>
      <c r="CM66" s="256"/>
      <c r="CN66" s="256"/>
      <c r="CO66" s="256"/>
      <c r="CP66" s="258"/>
      <c r="CQ66" s="256"/>
      <c r="CR66" s="259"/>
      <c r="CS66" s="259"/>
      <c r="CT66" s="259"/>
    </row>
    <row r="67" spans="1:108" s="134" customFormat="1" ht="15" customHeight="1">
      <c r="A67" s="130"/>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6"/>
      <c r="AQ67" s="137"/>
      <c r="AR67" s="137"/>
      <c r="AS67" s="137"/>
      <c r="AT67" s="138"/>
      <c r="AU67" s="138"/>
      <c r="AV67" s="139"/>
      <c r="AW67" s="139"/>
      <c r="AX67" s="139"/>
      <c r="AY67" s="139"/>
      <c r="AZ67" s="139"/>
      <c r="BA67" s="139"/>
      <c r="BB67" s="139"/>
      <c r="BC67" s="139"/>
      <c r="BJ67" s="134" t="s">
        <v>396</v>
      </c>
      <c r="BQ67" s="169"/>
      <c r="BR67" s="228"/>
      <c r="BS67" s="228"/>
      <c r="BT67" s="169"/>
      <c r="BU67" s="169"/>
      <c r="BV67" s="169"/>
      <c r="BW67" s="169"/>
      <c r="BX67" s="169"/>
      <c r="BY67" s="169"/>
      <c r="CH67" s="164"/>
      <c r="CK67" s="256"/>
      <c r="CL67" s="256"/>
      <c r="CM67" s="256"/>
      <c r="CN67" s="256"/>
      <c r="CO67" s="256"/>
      <c r="CP67" s="258"/>
      <c r="CQ67" s="256"/>
      <c r="CR67" s="259"/>
      <c r="CS67" s="259"/>
      <c r="CT67" s="259"/>
    </row>
    <row r="68" spans="1:108" s="134" customFormat="1" ht="15" customHeight="1">
      <c r="A68" s="130"/>
      <c r="B68" s="130"/>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6"/>
      <c r="AQ68" s="137"/>
      <c r="AR68" s="137"/>
      <c r="AS68" s="137"/>
      <c r="AT68" s="138"/>
      <c r="AU68" s="138"/>
      <c r="AV68" s="139"/>
      <c r="AW68" s="139"/>
      <c r="AX68" s="139"/>
      <c r="AY68" s="139"/>
      <c r="AZ68" s="139"/>
      <c r="BA68" s="139"/>
      <c r="BB68" s="139"/>
      <c r="BC68" s="139"/>
      <c r="BJ68" s="134" t="s">
        <v>397</v>
      </c>
      <c r="BO68" s="195"/>
      <c r="BQ68" s="169"/>
      <c r="BR68" s="228"/>
      <c r="BS68" s="260"/>
      <c r="BT68" s="169"/>
      <c r="BU68" s="264"/>
      <c r="BV68" s="264"/>
      <c r="BW68" s="261"/>
      <c r="BX68" s="261"/>
      <c r="BY68" s="169"/>
      <c r="CH68" s="164"/>
      <c r="CK68" s="256"/>
      <c r="CL68" s="256"/>
      <c r="CM68" s="256"/>
      <c r="CN68" s="256"/>
      <c r="CO68" s="256"/>
      <c r="CP68" s="258"/>
      <c r="CQ68" s="256"/>
      <c r="CR68" s="259"/>
      <c r="CS68" s="259"/>
      <c r="CT68" s="259"/>
    </row>
    <row r="69" spans="1:108" s="134" customFormat="1" ht="15" customHeight="1">
      <c r="A69" s="130"/>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6"/>
      <c r="AQ69" s="137"/>
      <c r="AR69" s="137"/>
      <c r="AS69" s="137"/>
      <c r="AT69" s="138"/>
      <c r="AU69" s="138"/>
      <c r="AV69" s="139"/>
      <c r="AW69" s="139"/>
      <c r="AX69" s="139"/>
      <c r="AY69" s="139"/>
      <c r="AZ69" s="139"/>
      <c r="BA69" s="139"/>
      <c r="BB69" s="139"/>
      <c r="BC69" s="139"/>
      <c r="BJ69" s="134" t="s">
        <v>398</v>
      </c>
      <c r="BQ69" s="169"/>
      <c r="BR69" s="228"/>
      <c r="BS69" s="265"/>
      <c r="BT69" s="169"/>
      <c r="BU69" s="195"/>
      <c r="BV69" s="195"/>
      <c r="BW69" s="195"/>
      <c r="BX69" s="195"/>
      <c r="BY69" s="169"/>
      <c r="CH69" s="164"/>
      <c r="CK69" s="256"/>
      <c r="CL69" s="256"/>
      <c r="CM69" s="256"/>
      <c r="CN69" s="256"/>
      <c r="CO69" s="256"/>
      <c r="CP69" s="258"/>
      <c r="CQ69" s="256"/>
      <c r="CR69" s="259"/>
      <c r="CS69" s="259"/>
      <c r="CT69" s="259"/>
    </row>
    <row r="70" spans="1:108" s="134" customFormat="1" ht="15" customHeight="1">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0"/>
      <c r="AO70" s="130"/>
      <c r="AP70" s="136"/>
      <c r="AQ70" s="137"/>
      <c r="AR70" s="137"/>
      <c r="AS70" s="137"/>
      <c r="AT70" s="138"/>
      <c r="AU70" s="138"/>
      <c r="AV70" s="139"/>
      <c r="AW70" s="139"/>
      <c r="AX70" s="139"/>
      <c r="AY70" s="139"/>
      <c r="AZ70" s="139"/>
      <c r="BA70" s="139"/>
      <c r="BB70" s="139"/>
      <c r="BC70" s="139"/>
      <c r="BJ70" s="134" t="s">
        <v>399</v>
      </c>
      <c r="BN70" s="195"/>
      <c r="BS70" s="228"/>
      <c r="BT70" s="169"/>
      <c r="BU70" s="169"/>
      <c r="BV70" s="169"/>
      <c r="BW70" s="169"/>
      <c r="BX70" s="169"/>
      <c r="BY70" s="169"/>
      <c r="CH70" s="164"/>
      <c r="CK70" s="256"/>
      <c r="CL70" s="256"/>
      <c r="CM70" s="256"/>
      <c r="CN70" s="256"/>
      <c r="CO70" s="256"/>
      <c r="CP70" s="258"/>
      <c r="CQ70" s="256"/>
      <c r="CR70" s="259"/>
      <c r="CS70" s="259"/>
      <c r="CT70" s="259"/>
    </row>
    <row r="71" spans="1:108" s="134" customFormat="1" ht="15" customHeight="1">
      <c r="A71" s="130"/>
      <c r="B71" s="130"/>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6"/>
      <c r="AQ71" s="137"/>
      <c r="AR71" s="137"/>
      <c r="AS71" s="137"/>
      <c r="AT71" s="138"/>
      <c r="AU71" s="138"/>
      <c r="AV71" s="139"/>
      <c r="AW71" s="139"/>
      <c r="AX71" s="139"/>
      <c r="AY71" s="139"/>
      <c r="AZ71" s="139"/>
      <c r="BA71" s="139"/>
      <c r="BB71" s="139"/>
      <c r="BC71" s="139"/>
      <c r="BJ71" s="134" t="s">
        <v>400</v>
      </c>
      <c r="BS71" s="228"/>
      <c r="BT71" s="169"/>
      <c r="BU71" s="169"/>
      <c r="BV71" s="169"/>
      <c r="BW71" s="169"/>
      <c r="BX71" s="169"/>
      <c r="BY71" s="169"/>
      <c r="CH71" s="164"/>
      <c r="CK71" s="256"/>
      <c r="CL71" s="256"/>
      <c r="CM71" s="256"/>
      <c r="CN71" s="256"/>
      <c r="CO71" s="256"/>
      <c r="CP71" s="258"/>
      <c r="CQ71" s="256"/>
      <c r="CR71" s="259"/>
      <c r="CS71" s="259"/>
      <c r="CT71" s="259"/>
    </row>
    <row r="72" spans="1:108" s="134" customFormat="1" ht="15" customHeight="1">
      <c r="A72" s="130"/>
      <c r="B72" s="130"/>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30"/>
      <c r="AN72" s="130"/>
      <c r="AO72" s="130"/>
      <c r="AP72" s="136"/>
      <c r="AQ72" s="137"/>
      <c r="AR72" s="137"/>
      <c r="AS72" s="137"/>
      <c r="AT72" s="138"/>
      <c r="AU72" s="138"/>
      <c r="AV72" s="139"/>
      <c r="AW72" s="139"/>
      <c r="AX72" s="139"/>
      <c r="AY72" s="139"/>
      <c r="AZ72" s="139"/>
      <c r="BA72" s="139"/>
      <c r="BB72" s="139"/>
      <c r="BC72" s="139"/>
      <c r="BJ72" s="134" t="s">
        <v>401</v>
      </c>
      <c r="BS72" s="228"/>
      <c r="BT72" s="169"/>
      <c r="BU72" s="169"/>
      <c r="BV72" s="169"/>
      <c r="BW72" s="169"/>
      <c r="BX72" s="169"/>
      <c r="BY72" s="169"/>
      <c r="CK72" s="256"/>
      <c r="CL72" s="256"/>
      <c r="CM72" s="256"/>
      <c r="CN72" s="256"/>
      <c r="CO72" s="256"/>
      <c r="CP72" s="258"/>
      <c r="CQ72" s="256"/>
      <c r="CR72" s="259"/>
      <c r="CS72" s="259"/>
      <c r="CT72" s="259"/>
    </row>
    <row r="73" spans="1:108" s="134" customFormat="1" ht="15" customHeight="1">
      <c r="A73" s="130"/>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6"/>
      <c r="AQ73" s="137"/>
      <c r="AR73" s="137"/>
      <c r="AS73" s="137"/>
      <c r="AT73" s="138"/>
      <c r="AU73" s="138"/>
      <c r="AV73" s="139"/>
      <c r="AW73" s="139"/>
      <c r="AX73" s="139"/>
      <c r="AY73" s="139"/>
      <c r="AZ73" s="139"/>
      <c r="BA73" s="139"/>
      <c r="BB73" s="139"/>
      <c r="BC73" s="139"/>
      <c r="BJ73" s="134" t="s">
        <v>402</v>
      </c>
      <c r="BT73" s="169"/>
      <c r="CK73" s="256"/>
      <c r="CL73" s="256"/>
      <c r="CM73" s="256"/>
      <c r="CN73" s="256"/>
      <c r="CO73" s="256"/>
      <c r="CP73" s="258"/>
      <c r="CQ73" s="256"/>
      <c r="CR73" s="259"/>
      <c r="CS73" s="259"/>
      <c r="CT73" s="259"/>
    </row>
    <row r="74" spans="1:108" s="134" customFormat="1" ht="15" customHeight="1">
      <c r="A74" s="130"/>
      <c r="B74" s="130"/>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6"/>
      <c r="AQ74" s="137"/>
      <c r="AR74" s="137"/>
      <c r="AS74" s="137"/>
      <c r="AT74" s="138"/>
      <c r="AU74" s="138"/>
      <c r="AV74" s="139"/>
      <c r="AW74" s="139"/>
      <c r="AX74" s="139"/>
      <c r="AY74" s="139"/>
      <c r="AZ74" s="139"/>
      <c r="BA74" s="139"/>
      <c r="BB74" s="139"/>
      <c r="BC74" s="139"/>
      <c r="BJ74" s="134" t="s">
        <v>403</v>
      </c>
    </row>
    <row r="75" spans="1:108" s="134" customFormat="1" ht="15" customHeight="1">
      <c r="A75" s="130"/>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200"/>
      <c r="AQ75" s="130"/>
      <c r="AR75" s="130"/>
      <c r="AS75" s="137"/>
      <c r="AT75" s="138"/>
      <c r="AU75" s="138"/>
      <c r="AV75" s="139"/>
      <c r="AW75" s="139"/>
      <c r="AX75" s="139"/>
      <c r="AY75" s="139"/>
      <c r="AZ75" s="139"/>
      <c r="BA75" s="139"/>
      <c r="BB75" s="139"/>
      <c r="BC75" s="139"/>
      <c r="BD75" s="130"/>
      <c r="BE75" s="130"/>
      <c r="BF75" s="130"/>
      <c r="BJ75" s="130" t="s">
        <v>404</v>
      </c>
      <c r="CY75" s="130"/>
      <c r="CZ75" s="130"/>
      <c r="DA75" s="130"/>
      <c r="DB75" s="130"/>
      <c r="DC75" s="130"/>
      <c r="DD75" s="130"/>
    </row>
    <row r="76" spans="1:108" s="134" customFormat="1">
      <c r="A76" s="130"/>
      <c r="B76" s="130"/>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0"/>
      <c r="AN76" s="130"/>
      <c r="AO76" s="130"/>
      <c r="AP76" s="203"/>
      <c r="AQ76" s="130"/>
      <c r="AR76" s="130"/>
      <c r="AS76" s="137"/>
      <c r="AT76" s="138"/>
      <c r="AU76" s="138"/>
      <c r="AV76" s="139"/>
      <c r="AW76" s="139"/>
      <c r="AX76" s="139"/>
      <c r="AY76" s="139"/>
      <c r="AZ76" s="139"/>
      <c r="BA76" s="139"/>
      <c r="BB76" s="139"/>
      <c r="BC76" s="139"/>
      <c r="BD76" s="130"/>
      <c r="BE76" s="130"/>
      <c r="BF76" s="130"/>
      <c r="BI76" s="130"/>
      <c r="BJ76" s="130"/>
      <c r="BK76" s="130"/>
      <c r="BL76" s="130"/>
      <c r="CY76" s="130"/>
      <c r="CZ76" s="130"/>
      <c r="DA76" s="130"/>
      <c r="DB76" s="130"/>
      <c r="DC76" s="130"/>
      <c r="DD76" s="130"/>
    </row>
    <row r="77" spans="1:108" s="134" customFormat="1" ht="16.5" customHeight="1">
      <c r="A77" s="130"/>
      <c r="B77" s="130"/>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c r="AG77" s="130"/>
      <c r="AH77" s="130"/>
      <c r="AI77" s="130"/>
      <c r="AJ77" s="130"/>
      <c r="AK77" s="130"/>
      <c r="AL77" s="130"/>
      <c r="AM77" s="130"/>
      <c r="AN77" s="130"/>
      <c r="AO77" s="130"/>
      <c r="AP77" s="203"/>
      <c r="AQ77" s="130"/>
      <c r="AR77" s="130"/>
      <c r="AS77" s="130"/>
      <c r="AT77" s="201"/>
      <c r="AU77" s="201"/>
      <c r="AV77" s="130"/>
      <c r="AW77" s="130"/>
      <c r="AX77" s="130"/>
      <c r="AY77" s="130"/>
      <c r="AZ77" s="130"/>
      <c r="BA77" s="130"/>
      <c r="BB77" s="130"/>
      <c r="BC77" s="130"/>
      <c r="BD77" s="130"/>
      <c r="BE77" s="130"/>
      <c r="BF77" s="130"/>
      <c r="BG77" s="202"/>
      <c r="BH77" s="130"/>
      <c r="BI77" s="130"/>
      <c r="BJ77" s="130"/>
      <c r="BK77" s="130"/>
      <c r="BL77" s="130"/>
      <c r="CY77" s="130"/>
      <c r="CZ77" s="130"/>
      <c r="DA77" s="130"/>
      <c r="DB77" s="130"/>
      <c r="DC77" s="130"/>
      <c r="DD77" s="130"/>
    </row>
    <row r="78" spans="1:108" s="134" customFormat="1" ht="13.5" customHeight="1">
      <c r="A78" s="130"/>
      <c r="B78" s="130"/>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c r="AJ78" s="130"/>
      <c r="AK78" s="130"/>
      <c r="AL78" s="130"/>
      <c r="AM78" s="130"/>
      <c r="AN78" s="130"/>
      <c r="AO78" s="130"/>
      <c r="AP78" s="203"/>
      <c r="AQ78" s="130"/>
      <c r="AR78" s="130"/>
      <c r="AS78" s="130"/>
      <c r="AT78" s="130"/>
      <c r="AU78" s="130"/>
      <c r="AV78" s="130"/>
      <c r="AW78" s="130"/>
      <c r="AX78" s="130"/>
      <c r="AY78" s="130"/>
      <c r="AZ78" s="130"/>
      <c r="BA78" s="130"/>
      <c r="BB78" s="130"/>
      <c r="BC78" s="130"/>
      <c r="BD78" s="130"/>
      <c r="BE78" s="130"/>
      <c r="BF78" s="130"/>
      <c r="BG78" s="130"/>
      <c r="BH78" s="130"/>
      <c r="BI78" s="130"/>
      <c r="BJ78" s="130"/>
      <c r="BK78" s="130"/>
      <c r="BL78" s="130"/>
      <c r="CY78" s="130"/>
      <c r="CZ78" s="130"/>
      <c r="DA78" s="130"/>
      <c r="DB78" s="130"/>
      <c r="DC78" s="130"/>
      <c r="DD78" s="130"/>
    </row>
    <row r="79" spans="1:108" s="134" customFormat="1" ht="13.5" customHeight="1">
      <c r="A79" s="130"/>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I79" s="130"/>
      <c r="AJ79" s="130"/>
      <c r="AK79" s="130"/>
      <c r="AL79" s="130"/>
      <c r="AM79" s="130"/>
      <c r="AN79" s="130"/>
      <c r="AO79" s="130"/>
      <c r="AP79" s="133"/>
      <c r="AQ79" s="130"/>
      <c r="AR79" s="130"/>
      <c r="AS79" s="130"/>
      <c r="AT79" s="130"/>
      <c r="AU79" s="130"/>
      <c r="AV79" s="130"/>
      <c r="AW79" s="130"/>
      <c r="AX79" s="130"/>
      <c r="AY79" s="130"/>
      <c r="AZ79" s="130"/>
      <c r="BA79" s="130"/>
      <c r="BB79" s="130"/>
      <c r="BC79" s="130"/>
      <c r="BD79" s="130"/>
      <c r="BE79" s="130"/>
      <c r="BF79" s="130"/>
      <c r="BG79" s="130"/>
      <c r="BH79" s="130"/>
      <c r="BI79" s="130"/>
      <c r="BJ79" s="130"/>
      <c r="BK79" s="130"/>
      <c r="BL79" s="130"/>
      <c r="CY79" s="130"/>
      <c r="CZ79" s="130"/>
      <c r="DA79" s="130"/>
      <c r="DB79" s="130"/>
      <c r="DC79" s="130"/>
      <c r="DD79" s="130"/>
    </row>
    <row r="80" spans="1:108" s="134" customFormat="1" ht="13.5" customHeight="1">
      <c r="A80" s="130"/>
      <c r="B80" s="130"/>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c r="AA80" s="130"/>
      <c r="AB80" s="130"/>
      <c r="AC80" s="130"/>
      <c r="AD80" s="130"/>
      <c r="AE80" s="130"/>
      <c r="AF80" s="130"/>
      <c r="AG80" s="130"/>
      <c r="AH80" s="130"/>
      <c r="AI80" s="130"/>
      <c r="AJ80" s="130"/>
      <c r="AK80" s="130"/>
      <c r="AL80" s="130"/>
      <c r="AM80" s="130"/>
      <c r="AN80" s="130"/>
      <c r="AO80" s="130"/>
      <c r="AP80" s="203"/>
      <c r="AQ80" s="130"/>
      <c r="AR80" s="130"/>
      <c r="AS80" s="130"/>
      <c r="AT80" s="130"/>
      <c r="AU80" s="130"/>
      <c r="AV80" s="130"/>
      <c r="AW80" s="130"/>
      <c r="AX80" s="130"/>
      <c r="AY80" s="130"/>
      <c r="AZ80" s="130"/>
      <c r="BA80" s="130"/>
      <c r="BB80" s="130"/>
      <c r="BC80" s="130"/>
      <c r="BD80" s="130"/>
      <c r="BE80" s="130"/>
      <c r="BF80" s="130"/>
      <c r="BG80" s="130"/>
      <c r="BH80" s="130"/>
      <c r="BI80" s="130"/>
      <c r="BJ80" s="130"/>
      <c r="BK80" s="130"/>
      <c r="BL80" s="130"/>
      <c r="CY80" s="130"/>
      <c r="CZ80" s="130"/>
      <c r="DA80" s="130"/>
      <c r="DB80" s="130"/>
      <c r="DC80" s="130"/>
      <c r="DD80" s="130"/>
    </row>
    <row r="81" spans="1:108" s="134" customFormat="1" ht="13.5" customHeight="1">
      <c r="A81" s="130"/>
      <c r="B81" s="130"/>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c r="AC81" s="130"/>
      <c r="AD81" s="130"/>
      <c r="AE81" s="130"/>
      <c r="AF81" s="130"/>
      <c r="AG81" s="130"/>
      <c r="AH81" s="130"/>
      <c r="AI81" s="130"/>
      <c r="AJ81" s="130"/>
      <c r="AK81" s="130"/>
      <c r="AL81" s="130"/>
      <c r="AM81" s="130"/>
      <c r="AN81" s="130"/>
      <c r="AO81" s="130"/>
      <c r="AP81" s="204"/>
      <c r="AQ81" s="130"/>
      <c r="AR81" s="130"/>
      <c r="AS81" s="130"/>
      <c r="AT81" s="130"/>
      <c r="AU81" s="130"/>
      <c r="AV81" s="130"/>
      <c r="AW81" s="130"/>
      <c r="AX81" s="130"/>
      <c r="AY81" s="130"/>
      <c r="AZ81" s="130"/>
      <c r="BA81" s="130"/>
      <c r="BB81" s="130"/>
      <c r="BC81" s="130"/>
      <c r="BD81" s="130"/>
      <c r="BE81" s="130"/>
      <c r="BF81" s="130"/>
      <c r="BG81" s="130"/>
      <c r="BH81" s="130"/>
      <c r="BI81" s="130"/>
      <c r="BJ81" s="130"/>
      <c r="BK81" s="130"/>
      <c r="BL81" s="130"/>
      <c r="CY81" s="130"/>
      <c r="CZ81" s="130"/>
      <c r="DA81" s="130"/>
      <c r="DB81" s="130"/>
      <c r="DC81" s="130"/>
      <c r="DD81" s="130"/>
    </row>
    <row r="82" spans="1:108" s="134" customFormat="1" ht="13.5" customHeight="1">
      <c r="A82" s="130"/>
      <c r="B82" s="130"/>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130"/>
      <c r="AN82" s="130"/>
      <c r="AO82" s="130"/>
      <c r="AP82" s="204"/>
      <c r="AQ82" s="130"/>
      <c r="AR82" s="130"/>
      <c r="AS82" s="130"/>
      <c r="AT82" s="130"/>
      <c r="AU82" s="130"/>
      <c r="AV82" s="130"/>
      <c r="AW82" s="130"/>
      <c r="AX82" s="130"/>
      <c r="AY82" s="130"/>
      <c r="AZ82" s="130"/>
      <c r="BA82" s="130"/>
      <c r="BB82" s="130"/>
      <c r="BC82" s="130"/>
      <c r="BD82" s="130"/>
      <c r="BE82" s="130"/>
      <c r="BF82" s="130"/>
      <c r="BG82" s="130"/>
      <c r="BH82" s="130"/>
      <c r="BI82" s="130"/>
      <c r="BJ82" s="130"/>
      <c r="BK82" s="130"/>
      <c r="BL82" s="130"/>
      <c r="CY82" s="130"/>
      <c r="CZ82" s="130"/>
      <c r="DA82" s="130"/>
      <c r="DB82" s="130"/>
      <c r="DC82" s="130"/>
      <c r="DD82" s="130"/>
    </row>
    <row r="83" spans="1:108" s="134" customFormat="1" ht="13.5" customHeight="1">
      <c r="A83" s="130"/>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c r="AG83" s="130"/>
      <c r="AH83" s="130"/>
      <c r="AI83" s="130"/>
      <c r="AJ83" s="130"/>
      <c r="AK83" s="130"/>
      <c r="AL83" s="130"/>
      <c r="AM83" s="130"/>
      <c r="AN83" s="130"/>
      <c r="AO83" s="130"/>
      <c r="AP83" s="130"/>
      <c r="AQ83" s="130"/>
      <c r="AR83" s="130"/>
      <c r="AS83" s="130"/>
      <c r="AT83" s="130"/>
      <c r="AU83" s="130"/>
      <c r="AV83" s="130"/>
      <c r="AW83" s="130"/>
      <c r="AX83" s="130"/>
      <c r="AY83" s="130"/>
      <c r="AZ83" s="130"/>
      <c r="BA83" s="130"/>
      <c r="BB83" s="130"/>
      <c r="BC83" s="130"/>
      <c r="BD83" s="130"/>
      <c r="BE83" s="130"/>
      <c r="BF83" s="130"/>
      <c r="BG83" s="130"/>
      <c r="BH83" s="130"/>
      <c r="BI83" s="130"/>
      <c r="BJ83" s="130"/>
      <c r="BK83" s="130"/>
      <c r="BL83" s="130"/>
      <c r="CY83" s="130"/>
      <c r="CZ83" s="130"/>
      <c r="DA83" s="130"/>
      <c r="DB83" s="130"/>
      <c r="DC83" s="130"/>
      <c r="DD83" s="130"/>
    </row>
    <row r="84" spans="1:108" ht="13.5" customHeight="1">
      <c r="AP84" s="203"/>
    </row>
    <row r="85" spans="1:108" ht="13.5" customHeight="1">
      <c r="AP85" s="205"/>
    </row>
    <row r="86" spans="1:108" ht="13.5" customHeight="1">
      <c r="AP86" s="205"/>
    </row>
    <row r="87" spans="1:108" ht="13.5" customHeight="1"/>
    <row r="88" spans="1:108" ht="13.5" customHeight="1"/>
    <row r="90" spans="1:108" ht="13.5" customHeight="1"/>
    <row r="91" spans="1:108" ht="14.25" customHeight="1"/>
  </sheetData>
  <sheetProtection algorithmName="SHA-512" hashValue="pmbqex11nh1rzq8ZZ3EIjcBC4iVXefO6m5LbuF46lvFHF7nr1sE5VVxQgxpl1hFXpvSg/FctEUi1D/9WpP8G3A==" saltValue="nWs35XZkAfnlmEhmMOQRsA==" spinCount="100000" sheet="1" formatCells="0"/>
  <mergeCells count="43">
    <mergeCell ref="W17:X17"/>
    <mergeCell ref="W18:X18"/>
    <mergeCell ref="W19:X19"/>
    <mergeCell ref="W20:X20"/>
    <mergeCell ref="V16:X16"/>
    <mergeCell ref="AF3:AM3"/>
    <mergeCell ref="A23:A25"/>
    <mergeCell ref="AK23:AM24"/>
    <mergeCell ref="U7:AM12"/>
    <mergeCell ref="X5:AM5"/>
    <mergeCell ref="B5:C5"/>
    <mergeCell ref="U5:V5"/>
    <mergeCell ref="B6:C6"/>
    <mergeCell ref="B7:C7"/>
    <mergeCell ref="B8:C8"/>
    <mergeCell ref="B9:C9"/>
    <mergeCell ref="E9:F9"/>
    <mergeCell ref="E8:F8"/>
    <mergeCell ref="E7:F7"/>
    <mergeCell ref="E6:F6"/>
    <mergeCell ref="E5:F5"/>
    <mergeCell ref="AN25:AN26"/>
    <mergeCell ref="Q25:Q26"/>
    <mergeCell ref="AG25:AG26"/>
    <mergeCell ref="F25:F26"/>
    <mergeCell ref="AA25:AA26"/>
    <mergeCell ref="W25:W26"/>
    <mergeCell ref="G9:H9"/>
    <mergeCell ref="G8:H8"/>
    <mergeCell ref="G7:H7"/>
    <mergeCell ref="G6:H6"/>
    <mergeCell ref="G5:H5"/>
    <mergeCell ref="K5:L5"/>
    <mergeCell ref="I9:J9"/>
    <mergeCell ref="I8:J8"/>
    <mergeCell ref="I7:J7"/>
    <mergeCell ref="I6:J6"/>
    <mergeCell ref="I5:J5"/>
    <mergeCell ref="M6:S7"/>
    <mergeCell ref="K9:L9"/>
    <mergeCell ref="K8:L8"/>
    <mergeCell ref="K7:L7"/>
    <mergeCell ref="K6:L6"/>
  </mergeCells>
  <phoneticPr fontId="3"/>
  <conditionalFormatting sqref="G9 K10:L10 K6:K9 I10 E9 T9:T10">
    <cfRule type="expression" dxfId="16" priority="18">
      <formula>#REF!="なし"</formula>
    </cfRule>
  </conditionalFormatting>
  <conditionalFormatting sqref="AA29:AA38">
    <cfRule type="expression" dxfId="15" priority="15">
      <formula>$H$3="なし"</formula>
    </cfRule>
  </conditionalFormatting>
  <conditionalFormatting sqref="A22">
    <cfRule type="expression" dxfId="14" priority="19">
      <formula>#REF!&lt;&gt;2</formula>
    </cfRule>
  </conditionalFormatting>
  <conditionalFormatting sqref="A22">
    <cfRule type="expression" dxfId="13" priority="20">
      <formula>#REF!=2</formula>
    </cfRule>
  </conditionalFormatting>
  <conditionalFormatting sqref="L29:N38">
    <cfRule type="expression" dxfId="12" priority="9">
      <formula>OR($AQ29=1,$AQ29=2,$AQ29=3,$AQ29=8,AQ29=9)</formula>
    </cfRule>
  </conditionalFormatting>
  <conditionalFormatting sqref="AE29:AE38">
    <cfRule type="expression" dxfId="11" priority="8">
      <formula>OR($AR29=1,$AR29=2,$AR29=3,$AR29=8,AR29=9)</formula>
    </cfRule>
  </conditionalFormatting>
  <conditionalFormatting sqref="W17:W20">
    <cfRule type="expression" dxfId="10" priority="6">
      <formula>$V$16&lt;&gt;""</formula>
    </cfRule>
  </conditionalFormatting>
  <conditionalFormatting sqref="V18:W19">
    <cfRule type="expression" dxfId="9" priority="5">
      <formula>$V$16&lt;&gt;""</formula>
    </cfRule>
  </conditionalFormatting>
  <conditionalFormatting sqref="X28">
    <cfRule type="expression" dxfId="8" priority="4">
      <formula>COUNTIF(AP29:AP38,"○")&gt;0</formula>
    </cfRule>
  </conditionalFormatting>
  <conditionalFormatting sqref="G29:G38">
    <cfRule type="cellIs" dxfId="7" priority="1" operator="greaterThan">
      <formula>2009</formula>
    </cfRule>
  </conditionalFormatting>
  <conditionalFormatting sqref="U7:W12">
    <cfRule type="expression" dxfId="6" priority="156">
      <formula>COUNTIF($BF$29:$BF$38,"○")&gt;0</formula>
    </cfRule>
    <cfRule type="expression" dxfId="5" priority="157">
      <formula>AP28&lt;0</formula>
    </cfRule>
  </conditionalFormatting>
  <conditionalFormatting sqref="X7:AM12">
    <cfRule type="expression" dxfId="4" priority="158">
      <formula>COUNTIF($BF$29:$BF$38,"○")&gt;0</formula>
    </cfRule>
    <cfRule type="expression" dxfId="3" priority="159">
      <formula>AR28&lt;0</formula>
    </cfRule>
  </conditionalFormatting>
  <dataValidations count="11">
    <dataValidation type="list" allowBlank="1" showInputMessage="1" showErrorMessage="1" sqref="AB27:AB38" xr:uid="{0579CECB-811E-4D7F-81A5-3CE906A373FC}">
      <formula1>INDIRECT(AA27)</formula1>
    </dataValidation>
    <dataValidation type="whole" allowBlank="1" showInputMessage="1" showErrorMessage="1" sqref="Z27" xr:uid="{506C41B2-C3D1-4003-91B6-BC8EFEE07048}">
      <formula1>0</formula1>
      <formula2>H27</formula2>
    </dataValidation>
    <dataValidation type="list" allowBlank="1" showInputMessage="1" showErrorMessage="1" sqref="I27 I29:I38" xr:uid="{9E0D0D04-8B94-4AFB-AC2D-989C16ACB999}">
      <formula1>INDIRECT(F27)</formula1>
    </dataValidation>
    <dataValidation type="list" allowBlank="1" showInputMessage="1" showErrorMessage="1" error="プルダウンから選択してください。" sqref="AN27:AO27 AN29:AN38" xr:uid="{99665838-0530-4225-86F5-54BD1D282986}">
      <formula1>"有,　"</formula1>
    </dataValidation>
    <dataValidation type="whole" allowBlank="1" showInputMessage="1" showErrorMessage="1" sqref="G27" xr:uid="{0D08229F-7C84-455A-BF39-DD888C4D8607}">
      <formula1>1900</formula1>
      <formula2>2040</formula2>
    </dataValidation>
    <dataValidation type="list" allowBlank="1" showInputMessage="1" showErrorMessage="1" sqref="C29:C38 C27 V27 V29:V38" xr:uid="{C089D16D-4EB4-4C38-9975-DA5299F7FF87}">
      <formula1>$BS$11:$BS$19</formula1>
    </dataValidation>
    <dataValidation type="list" allowBlank="1" showInputMessage="1" showErrorMessage="1" sqref="F17:H21" xr:uid="{D727299B-5153-4616-BA27-0FCFC3BB04A3}">
      <formula1>$AU$6:$AU$11</formula1>
    </dataValidation>
    <dataValidation type="list" allowBlank="1" showInputMessage="1" showErrorMessage="1" sqref="F27 AA29:AA38 F29:F38 AA27 V16" xr:uid="{6A80F559-2FB6-45B3-9A7A-7238BF0D1893}">
      <formula1>$BB$4:$BB$7</formula1>
    </dataValidation>
    <dataValidation type="list" allowBlank="1" showInputMessage="1" showErrorMessage="1" sqref="E27 Y29:Y38 Y27 E29:E38" xr:uid="{6F6E12C2-B0AB-4AEB-B756-A5959E3385D7}">
      <formula1>$BC$14:$BC$19</formula1>
    </dataValidation>
    <dataValidation type="list" allowBlank="1" showInputMessage="1" showErrorMessage="1" sqref="V18:V19" xr:uid="{CFCC2336-1A5E-4E5B-8EA9-590469A70CE6}">
      <formula1>$BC$10:$BC$12</formula1>
    </dataValidation>
    <dataValidation type="whole" allowBlank="1" showInputMessage="1" showErrorMessage="1" error="西暦で記入（年度不要）。2009年以降は対象外となります。" sqref="G29:G38" xr:uid="{C5DC3B4F-CE02-428C-81C0-AC17A8ECFCBA}">
      <formula1>1900</formula1>
      <formula2>2040</formula2>
    </dataValidation>
  </dataValidations>
  <printOptions horizontalCentered="1"/>
  <pageMargins left="0.59055118110236227" right="0.59055118110236227" top="0.35433070866141736" bottom="0" header="0.31496062992125984" footer="0.31496062992125984"/>
  <pageSetup paperSize="9" scale="34" orientation="portrait" r:id="rId1"/>
  <headerFooter>
    <oddHeader>&amp;L&amp;10様式第1-1号（別紙）&amp;C&amp;10R5年度_《緊急予算枠》_CO₂削減量算定シート</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4846F37-563B-466B-A075-87D4C58FAB6B}">
          <x14:formula1>
            <xm:f>記入方法!$X$18:$X$20</xm:f>
          </x14:formula1>
          <xm:sqref>W29:W38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A3EE2-91FD-40EF-B798-F5C2FC6695EC}">
  <sheetPr codeName="Sheet16"/>
  <dimension ref="A1:B23"/>
  <sheetViews>
    <sheetView workbookViewId="0">
      <selection activeCell="B15" sqref="B15"/>
    </sheetView>
  </sheetViews>
  <sheetFormatPr defaultRowHeight="13.5"/>
  <cols>
    <col min="1" max="1" width="12.375" customWidth="1"/>
  </cols>
  <sheetData>
    <row r="1" spans="1:2">
      <c r="A1" t="s">
        <v>955</v>
      </c>
      <c r="B1" t="s">
        <v>961</v>
      </c>
    </row>
    <row r="3" spans="1:2">
      <c r="A3" t="s">
        <v>952</v>
      </c>
      <c r="B3" t="s">
        <v>963</v>
      </c>
    </row>
    <row r="5" spans="1:2">
      <c r="A5" t="s">
        <v>953</v>
      </c>
      <c r="B5" t="s">
        <v>963</v>
      </c>
    </row>
    <row r="7" spans="1:2">
      <c r="A7" t="s">
        <v>954</v>
      </c>
      <c r="B7" t="s">
        <v>964</v>
      </c>
    </row>
    <row r="8" spans="1:2">
      <c r="B8" t="s">
        <v>962</v>
      </c>
    </row>
    <row r="9" spans="1:2">
      <c r="B9" t="s">
        <v>965</v>
      </c>
    </row>
    <row r="11" spans="1:2">
      <c r="A11" t="s">
        <v>951</v>
      </c>
      <c r="B11" t="s">
        <v>963</v>
      </c>
    </row>
    <row r="12" spans="1:2">
      <c r="B12" t="s">
        <v>959</v>
      </c>
    </row>
    <row r="13" spans="1:2">
      <c r="B13" t="s">
        <v>960</v>
      </c>
    </row>
    <row r="14" spans="1:2">
      <c r="B14" t="s">
        <v>971</v>
      </c>
    </row>
    <row r="17" spans="1:2">
      <c r="A17" t="s">
        <v>956</v>
      </c>
      <c r="B17" t="s">
        <v>963</v>
      </c>
    </row>
    <row r="19" spans="1:2">
      <c r="A19" t="s">
        <v>706</v>
      </c>
      <c r="B19" t="s">
        <v>964</v>
      </c>
    </row>
    <row r="21" spans="1:2">
      <c r="A21" t="s">
        <v>957</v>
      </c>
      <c r="B21" t="s">
        <v>964</v>
      </c>
    </row>
    <row r="23" spans="1:2">
      <c r="A23" t="s">
        <v>958</v>
      </c>
      <c r="B23" t="s">
        <v>963</v>
      </c>
    </row>
  </sheetData>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90480-B710-4681-ADCD-64889F3D6178}">
  <sheetPr codeName="Sheet12">
    <pageSetUpPr fitToPage="1"/>
  </sheetPr>
  <dimension ref="A1:K35"/>
  <sheetViews>
    <sheetView view="pageBreakPreview" topLeftCell="A7" zoomScaleNormal="100" zoomScaleSheetLayoutView="100" workbookViewId="0">
      <selection activeCell="D12" sqref="D12"/>
    </sheetView>
  </sheetViews>
  <sheetFormatPr defaultColWidth="8.875" defaultRowHeight="18.75"/>
  <cols>
    <col min="1" max="1" width="8.5" style="644" customWidth="1"/>
    <col min="2" max="2" width="25.125" style="644" customWidth="1"/>
    <col min="3" max="4" width="8.875" style="644"/>
    <col min="5" max="5" width="12.875" style="644" customWidth="1"/>
    <col min="6" max="6" width="12.125" style="644" customWidth="1"/>
    <col min="7" max="8" width="8.875" style="644"/>
    <col min="9" max="9" width="14.875" style="645" customWidth="1"/>
    <col min="10" max="10" width="11.875" style="644" customWidth="1"/>
    <col min="11" max="16384" width="8.875" style="644"/>
  </cols>
  <sheetData>
    <row r="1" spans="1:11">
      <c r="A1" s="22" t="s">
        <v>810</v>
      </c>
      <c r="B1" s="629"/>
      <c r="C1" s="630" t="s">
        <v>848</v>
      </c>
      <c r="D1" s="630"/>
      <c r="E1" s="629"/>
      <c r="F1" s="629"/>
      <c r="G1" s="629"/>
      <c r="H1" s="629"/>
      <c r="I1" s="631"/>
      <c r="J1" s="629"/>
      <c r="K1" s="629"/>
    </row>
    <row r="2" spans="1:11" hidden="1">
      <c r="A2" s="629"/>
      <c r="B2" s="23">
        <v>1</v>
      </c>
      <c r="C2" s="23">
        <v>2</v>
      </c>
      <c r="D2" s="23"/>
      <c r="E2" s="23">
        <v>3</v>
      </c>
      <c r="F2" s="24">
        <v>4</v>
      </c>
      <c r="G2" s="24">
        <v>5</v>
      </c>
      <c r="H2" s="24">
        <v>6</v>
      </c>
      <c r="I2" s="24">
        <v>7</v>
      </c>
      <c r="J2" s="23">
        <v>8</v>
      </c>
      <c r="K2" s="629"/>
    </row>
    <row r="3" spans="1:11">
      <c r="A3" s="629"/>
      <c r="B3" s="23"/>
      <c r="C3" s="630" t="s">
        <v>847</v>
      </c>
      <c r="D3" s="23"/>
      <c r="E3" s="23"/>
      <c r="F3" s="24"/>
      <c r="G3" s="24"/>
      <c r="H3" s="24"/>
      <c r="I3" s="24"/>
      <c r="J3" s="23"/>
      <c r="K3" s="629"/>
    </row>
    <row r="4" spans="1:11">
      <c r="A4" s="629"/>
      <c r="B4" s="23"/>
      <c r="C4" s="630" t="s">
        <v>862</v>
      </c>
      <c r="D4" s="23"/>
      <c r="E4" s="23"/>
      <c r="F4" s="24"/>
      <c r="G4" s="24"/>
      <c r="H4" s="24"/>
      <c r="I4" s="24"/>
      <c r="J4" s="23"/>
      <c r="K4" s="629"/>
    </row>
    <row r="5" spans="1:11">
      <c r="A5" s="629"/>
      <c r="B5" s="25" t="s">
        <v>60</v>
      </c>
      <c r="C5" s="26" t="s">
        <v>811</v>
      </c>
      <c r="D5" s="26" t="s">
        <v>812</v>
      </c>
      <c r="E5" s="27" t="s">
        <v>61</v>
      </c>
      <c r="F5" s="28" t="s">
        <v>62</v>
      </c>
      <c r="G5" s="29" t="s">
        <v>63</v>
      </c>
      <c r="H5" s="27" t="s">
        <v>64</v>
      </c>
      <c r="I5" s="30" t="s">
        <v>65</v>
      </c>
      <c r="J5" s="27" t="s">
        <v>64</v>
      </c>
      <c r="K5" s="629"/>
    </row>
    <row r="6" spans="1:11" ht="18" customHeight="1">
      <c r="A6" s="629"/>
      <c r="B6" s="31" t="s">
        <v>66</v>
      </c>
      <c r="C6" s="632">
        <v>38.200000000000003</v>
      </c>
      <c r="D6" s="632"/>
      <c r="E6" s="32" t="str">
        <f>"MJ/"&amp;F6</f>
        <v>MJ/L</v>
      </c>
      <c r="F6" s="32" t="s">
        <v>67</v>
      </c>
      <c r="G6" s="633">
        <v>1.8700000000000001E-2</v>
      </c>
      <c r="H6" s="33" t="s">
        <v>68</v>
      </c>
      <c r="I6" s="34">
        <f>$C6*G6*44/12/1000</f>
        <v>2.6192466666666667E-3</v>
      </c>
      <c r="J6" s="634" t="str">
        <f>"tCO2/"&amp;F6</f>
        <v>tCO2/L</v>
      </c>
      <c r="K6" s="629"/>
    </row>
    <row r="7" spans="1:11">
      <c r="A7" s="629"/>
      <c r="B7" s="31" t="s">
        <v>69</v>
      </c>
      <c r="C7" s="632">
        <v>35.299999999999997</v>
      </c>
      <c r="D7" s="632"/>
      <c r="E7" s="32" t="str">
        <f t="shared" ref="E7:E13" si="0">"MJ/"&amp;F7</f>
        <v>MJ/L</v>
      </c>
      <c r="F7" s="32" t="s">
        <v>67</v>
      </c>
      <c r="G7" s="633">
        <v>1.84E-2</v>
      </c>
      <c r="H7" s="33" t="s">
        <v>68</v>
      </c>
      <c r="I7" s="34">
        <f t="shared" ref="I7:I28" si="1">$C7*G7*44/12/1000</f>
        <v>2.3815733333333333E-3</v>
      </c>
      <c r="J7" s="634" t="str">
        <f t="shared" ref="J7:J33" si="2">"tCO2/"&amp;F7</f>
        <v>tCO2/L</v>
      </c>
      <c r="K7" s="629"/>
    </row>
    <row r="8" spans="1:11">
      <c r="A8" s="629"/>
      <c r="B8" s="31" t="s">
        <v>70</v>
      </c>
      <c r="C8" s="632">
        <v>34.6</v>
      </c>
      <c r="D8" s="632"/>
      <c r="E8" s="32" t="str">
        <f t="shared" si="0"/>
        <v>MJ/L</v>
      </c>
      <c r="F8" s="32" t="s">
        <v>67</v>
      </c>
      <c r="G8" s="633">
        <v>1.83E-2</v>
      </c>
      <c r="H8" s="33" t="s">
        <v>68</v>
      </c>
      <c r="I8" s="34">
        <f t="shared" si="1"/>
        <v>2.3216600000000001E-3</v>
      </c>
      <c r="J8" s="634" t="str">
        <f t="shared" si="2"/>
        <v>tCO2/L</v>
      </c>
      <c r="K8" s="629"/>
    </row>
    <row r="9" spans="1:11">
      <c r="A9" s="629"/>
      <c r="B9" s="31" t="s">
        <v>71</v>
      </c>
      <c r="C9" s="632">
        <v>33.6</v>
      </c>
      <c r="D9" s="632"/>
      <c r="E9" s="32" t="str">
        <f t="shared" si="0"/>
        <v>MJ/L</v>
      </c>
      <c r="F9" s="32" t="s">
        <v>67</v>
      </c>
      <c r="G9" s="633">
        <v>1.8200000000000001E-2</v>
      </c>
      <c r="H9" s="33" t="s">
        <v>68</v>
      </c>
      <c r="I9" s="34">
        <f t="shared" si="1"/>
        <v>2.2422400000000004E-3</v>
      </c>
      <c r="J9" s="634" t="str">
        <f t="shared" si="2"/>
        <v>tCO2/L</v>
      </c>
      <c r="K9" s="629"/>
    </row>
    <row r="10" spans="1:11">
      <c r="A10" s="629"/>
      <c r="B10" s="542" t="s">
        <v>72</v>
      </c>
      <c r="C10" s="635">
        <v>36.700000000000003</v>
      </c>
      <c r="D10" s="635">
        <v>34.200000000000003</v>
      </c>
      <c r="E10" s="543" t="str">
        <f t="shared" si="0"/>
        <v>MJ/L</v>
      </c>
      <c r="F10" s="543" t="s">
        <v>67</v>
      </c>
      <c r="G10" s="636">
        <v>1.8499999999999999E-2</v>
      </c>
      <c r="H10" s="544" t="s">
        <v>68</v>
      </c>
      <c r="I10" s="545">
        <f t="shared" si="1"/>
        <v>2.4894833333333338E-3</v>
      </c>
      <c r="J10" s="637" t="str">
        <f t="shared" si="2"/>
        <v>tCO2/L</v>
      </c>
      <c r="K10" s="629" t="s">
        <v>822</v>
      </c>
    </row>
    <row r="11" spans="1:11">
      <c r="A11" s="629"/>
      <c r="B11" s="542" t="s">
        <v>73</v>
      </c>
      <c r="C11" s="635">
        <v>37.700000000000003</v>
      </c>
      <c r="D11" s="635">
        <v>35.1</v>
      </c>
      <c r="E11" s="543" t="str">
        <f t="shared" si="0"/>
        <v>MJ/L</v>
      </c>
      <c r="F11" s="543" t="s">
        <v>67</v>
      </c>
      <c r="G11" s="636">
        <v>1.8700000000000001E-2</v>
      </c>
      <c r="H11" s="544" t="s">
        <v>68</v>
      </c>
      <c r="I11" s="545">
        <f t="shared" si="1"/>
        <v>2.584963333333334E-3</v>
      </c>
      <c r="J11" s="637" t="str">
        <f t="shared" si="2"/>
        <v>tCO2/L</v>
      </c>
      <c r="K11" s="629" t="s">
        <v>822</v>
      </c>
    </row>
    <row r="12" spans="1:11">
      <c r="A12" s="629"/>
      <c r="B12" s="542" t="s">
        <v>74</v>
      </c>
      <c r="C12" s="635">
        <v>39.1</v>
      </c>
      <c r="D12" s="635">
        <v>36.6</v>
      </c>
      <c r="E12" s="543" t="str">
        <f t="shared" si="0"/>
        <v>MJ/L</v>
      </c>
      <c r="F12" s="543" t="s">
        <v>67</v>
      </c>
      <c r="G12" s="636">
        <v>1.89E-2</v>
      </c>
      <c r="H12" s="544" t="s">
        <v>68</v>
      </c>
      <c r="I12" s="545">
        <f t="shared" si="1"/>
        <v>2.7096300000000002E-3</v>
      </c>
      <c r="J12" s="637" t="str">
        <f t="shared" si="2"/>
        <v>tCO2/L</v>
      </c>
      <c r="K12" s="629" t="s">
        <v>822</v>
      </c>
    </row>
    <row r="13" spans="1:11">
      <c r="A13" s="629"/>
      <c r="B13" s="542" t="s">
        <v>75</v>
      </c>
      <c r="C13" s="635">
        <v>41.9</v>
      </c>
      <c r="D13" s="635">
        <v>39.4</v>
      </c>
      <c r="E13" s="543" t="str">
        <f t="shared" si="0"/>
        <v>MJ/L</v>
      </c>
      <c r="F13" s="543" t="s">
        <v>67</v>
      </c>
      <c r="G13" s="636">
        <v>1.95E-2</v>
      </c>
      <c r="H13" s="544" t="s">
        <v>68</v>
      </c>
      <c r="I13" s="545">
        <f t="shared" si="1"/>
        <v>2.9958499999999996E-3</v>
      </c>
      <c r="J13" s="637" t="str">
        <f t="shared" si="2"/>
        <v>tCO2/L</v>
      </c>
      <c r="K13" s="629" t="s">
        <v>822</v>
      </c>
    </row>
    <row r="14" spans="1:11">
      <c r="A14" s="629"/>
      <c r="B14" s="31" t="s">
        <v>76</v>
      </c>
      <c r="C14" s="632">
        <v>40.9</v>
      </c>
      <c r="D14" s="632"/>
      <c r="E14" s="32" t="str">
        <f>"MJ/"&amp;F14</f>
        <v>MJ/kg</v>
      </c>
      <c r="F14" s="32" t="s">
        <v>77</v>
      </c>
      <c r="G14" s="633">
        <v>2.0799999999999999E-2</v>
      </c>
      <c r="H14" s="33" t="s">
        <v>68</v>
      </c>
      <c r="I14" s="34">
        <f t="shared" si="1"/>
        <v>3.1193066666666668E-3</v>
      </c>
      <c r="J14" s="634" t="str">
        <f t="shared" si="2"/>
        <v>tCO2/kg</v>
      </c>
      <c r="K14" s="629"/>
    </row>
    <row r="15" spans="1:11">
      <c r="A15" s="629"/>
      <c r="B15" s="31" t="s">
        <v>78</v>
      </c>
      <c r="C15" s="632">
        <v>29.9</v>
      </c>
      <c r="D15" s="632"/>
      <c r="E15" s="32" t="str">
        <f t="shared" ref="E15:E33" si="3">"MJ/"&amp;F15</f>
        <v>MJ/kg</v>
      </c>
      <c r="F15" s="32" t="s">
        <v>77</v>
      </c>
      <c r="G15" s="633">
        <v>2.5399999999999999E-2</v>
      </c>
      <c r="H15" s="33" t="s">
        <v>68</v>
      </c>
      <c r="I15" s="34">
        <f t="shared" si="1"/>
        <v>2.7846866666666661E-3</v>
      </c>
      <c r="J15" s="634" t="str">
        <f t="shared" si="2"/>
        <v>tCO2/kg</v>
      </c>
      <c r="K15" s="629"/>
    </row>
    <row r="16" spans="1:11">
      <c r="A16" s="629"/>
      <c r="B16" s="542" t="s">
        <v>79</v>
      </c>
      <c r="C16" s="635">
        <v>50.8</v>
      </c>
      <c r="D16" s="635">
        <v>45.8</v>
      </c>
      <c r="E16" s="543" t="str">
        <f t="shared" si="3"/>
        <v>MJ/kg</v>
      </c>
      <c r="F16" s="543" t="s">
        <v>77</v>
      </c>
      <c r="G16" s="636">
        <v>1.61E-2</v>
      </c>
      <c r="H16" s="544" t="s">
        <v>68</v>
      </c>
      <c r="I16" s="545">
        <f t="shared" si="1"/>
        <v>2.998893333333333E-3</v>
      </c>
      <c r="J16" s="637" t="str">
        <f t="shared" si="2"/>
        <v>tCO2/kg</v>
      </c>
      <c r="K16" s="629" t="s">
        <v>822</v>
      </c>
    </row>
    <row r="17" spans="1:11">
      <c r="A17" s="629"/>
      <c r="B17" s="31" t="s">
        <v>80</v>
      </c>
      <c r="C17" s="632">
        <v>44.9</v>
      </c>
      <c r="D17" s="632"/>
      <c r="E17" s="32" t="str">
        <f t="shared" si="3"/>
        <v>MJ/N㎥</v>
      </c>
      <c r="F17" s="32" t="s">
        <v>814</v>
      </c>
      <c r="G17" s="633">
        <v>1.4200000000000001E-2</v>
      </c>
      <c r="H17" s="33" t="s">
        <v>68</v>
      </c>
      <c r="I17" s="34">
        <f t="shared" si="1"/>
        <v>2.3377933333333335E-3</v>
      </c>
      <c r="J17" s="634" t="str">
        <f t="shared" si="2"/>
        <v>tCO2/N㎥</v>
      </c>
      <c r="K17" s="629"/>
    </row>
    <row r="18" spans="1:11" ht="18" customHeight="1">
      <c r="A18" s="629"/>
      <c r="B18" s="542" t="s">
        <v>81</v>
      </c>
      <c r="C18" s="635">
        <v>54.6</v>
      </c>
      <c r="D18" s="635">
        <v>49.2</v>
      </c>
      <c r="E18" s="543" t="str">
        <f t="shared" si="3"/>
        <v>MJ/kg</v>
      </c>
      <c r="F18" s="543" t="s">
        <v>77</v>
      </c>
      <c r="G18" s="636">
        <v>1.35E-2</v>
      </c>
      <c r="H18" s="544" t="s">
        <v>68</v>
      </c>
      <c r="I18" s="545">
        <f t="shared" si="1"/>
        <v>2.7027000000000002E-3</v>
      </c>
      <c r="J18" s="637" t="str">
        <f t="shared" si="2"/>
        <v>tCO2/kg</v>
      </c>
      <c r="K18" s="629" t="s">
        <v>822</v>
      </c>
    </row>
    <row r="19" spans="1:11">
      <c r="A19" s="629"/>
      <c r="B19" s="31" t="s">
        <v>82</v>
      </c>
      <c r="C19" s="632">
        <v>43.5</v>
      </c>
      <c r="D19" s="632"/>
      <c r="E19" s="32" t="str">
        <f t="shared" si="3"/>
        <v>MJ/N㎥</v>
      </c>
      <c r="F19" s="32" t="s">
        <v>813</v>
      </c>
      <c r="G19" s="633">
        <v>1.3899999999999999E-2</v>
      </c>
      <c r="H19" s="33" t="s">
        <v>68</v>
      </c>
      <c r="I19" s="34">
        <f t="shared" si="1"/>
        <v>2.2170499999999999E-3</v>
      </c>
      <c r="J19" s="634" t="str">
        <f t="shared" si="2"/>
        <v>tCO2/N㎥</v>
      </c>
      <c r="K19" s="629"/>
    </row>
    <row r="20" spans="1:11">
      <c r="A20" s="629"/>
      <c r="B20" s="31" t="s">
        <v>83</v>
      </c>
      <c r="C20" s="632">
        <v>29</v>
      </c>
      <c r="D20" s="632"/>
      <c r="E20" s="32" t="str">
        <f t="shared" si="3"/>
        <v>MJ/kg</v>
      </c>
      <c r="F20" s="32" t="s">
        <v>77</v>
      </c>
      <c r="G20" s="633">
        <v>2.4500000000000001E-2</v>
      </c>
      <c r="H20" s="33" t="s">
        <v>68</v>
      </c>
      <c r="I20" s="34">
        <f t="shared" si="1"/>
        <v>2.6051666666666667E-3</v>
      </c>
      <c r="J20" s="634" t="str">
        <f t="shared" si="2"/>
        <v>tCO2/kg</v>
      </c>
      <c r="K20" s="629"/>
    </row>
    <row r="21" spans="1:11">
      <c r="A21" s="629"/>
      <c r="B21" s="31" t="s">
        <v>84</v>
      </c>
      <c r="C21" s="632">
        <v>25.7</v>
      </c>
      <c r="D21" s="632"/>
      <c r="E21" s="32" t="str">
        <f t="shared" si="3"/>
        <v>MJ/kg</v>
      </c>
      <c r="F21" s="32" t="s">
        <v>77</v>
      </c>
      <c r="G21" s="633">
        <v>2.47E-2</v>
      </c>
      <c r="H21" s="33" t="s">
        <v>68</v>
      </c>
      <c r="I21" s="34">
        <f t="shared" si="1"/>
        <v>2.3275633333333335E-3</v>
      </c>
      <c r="J21" s="634" t="str">
        <f t="shared" si="2"/>
        <v>tCO2/kg</v>
      </c>
      <c r="K21" s="629"/>
    </row>
    <row r="22" spans="1:11">
      <c r="A22" s="629"/>
      <c r="B22" s="31" t="s">
        <v>85</v>
      </c>
      <c r="C22" s="632">
        <v>26.9</v>
      </c>
      <c r="D22" s="632"/>
      <c r="E22" s="32" t="str">
        <f t="shared" si="3"/>
        <v>MJ/kg</v>
      </c>
      <c r="F22" s="32" t="s">
        <v>77</v>
      </c>
      <c r="G22" s="633">
        <v>2.5499999999999998E-2</v>
      </c>
      <c r="H22" s="33" t="s">
        <v>68</v>
      </c>
      <c r="I22" s="34">
        <f t="shared" si="1"/>
        <v>2.5151499999999999E-3</v>
      </c>
      <c r="J22" s="634" t="str">
        <f t="shared" si="2"/>
        <v>tCO2/kg</v>
      </c>
      <c r="K22" s="629"/>
    </row>
    <row r="23" spans="1:11">
      <c r="A23" s="629"/>
      <c r="B23" s="31" t="s">
        <v>86</v>
      </c>
      <c r="C23" s="632">
        <v>29.4</v>
      </c>
      <c r="D23" s="632"/>
      <c r="E23" s="32" t="str">
        <f t="shared" si="3"/>
        <v>MJ/kg</v>
      </c>
      <c r="F23" s="32" t="s">
        <v>77</v>
      </c>
      <c r="G23" s="633">
        <v>2.9399999999999999E-2</v>
      </c>
      <c r="H23" s="33" t="s">
        <v>68</v>
      </c>
      <c r="I23" s="34">
        <f t="shared" si="1"/>
        <v>3.1693199999999993E-3</v>
      </c>
      <c r="J23" s="634" t="str">
        <f t="shared" si="2"/>
        <v>tCO2/kg</v>
      </c>
      <c r="K23" s="629"/>
    </row>
    <row r="24" spans="1:11">
      <c r="A24" s="629"/>
      <c r="B24" s="31" t="s">
        <v>87</v>
      </c>
      <c r="C24" s="632">
        <v>37.299999999999997</v>
      </c>
      <c r="D24" s="632"/>
      <c r="E24" s="32" t="str">
        <f t="shared" si="3"/>
        <v>MJ/kg</v>
      </c>
      <c r="F24" s="32" t="s">
        <v>77</v>
      </c>
      <c r="G24" s="633">
        <v>2.0899999999999998E-2</v>
      </c>
      <c r="H24" s="33" t="s">
        <v>68</v>
      </c>
      <c r="I24" s="34">
        <f t="shared" si="1"/>
        <v>2.8584233333333329E-3</v>
      </c>
      <c r="J24" s="634" t="str">
        <f t="shared" si="2"/>
        <v>tCO2/kg</v>
      </c>
      <c r="K24" s="629"/>
    </row>
    <row r="25" spans="1:11">
      <c r="A25" s="629"/>
      <c r="B25" s="31" t="s">
        <v>88</v>
      </c>
      <c r="C25" s="632">
        <v>21.1</v>
      </c>
      <c r="D25" s="632"/>
      <c r="E25" s="32" t="str">
        <f t="shared" si="3"/>
        <v>MJ/N㎥</v>
      </c>
      <c r="F25" s="32" t="s">
        <v>813</v>
      </c>
      <c r="G25" s="633">
        <v>1.0999999999999999E-2</v>
      </c>
      <c r="H25" s="33" t="s">
        <v>68</v>
      </c>
      <c r="I25" s="34">
        <f t="shared" si="1"/>
        <v>8.5103333333333344E-4</v>
      </c>
      <c r="J25" s="634" t="str">
        <f t="shared" si="2"/>
        <v>tCO2/N㎥</v>
      </c>
      <c r="K25" s="629"/>
    </row>
    <row r="26" spans="1:11">
      <c r="A26" s="629"/>
      <c r="B26" s="31" t="s">
        <v>89</v>
      </c>
      <c r="C26" s="638">
        <v>3.41</v>
      </c>
      <c r="D26" s="638"/>
      <c r="E26" s="32" t="str">
        <f t="shared" si="3"/>
        <v>MJ/N㎥</v>
      </c>
      <c r="F26" s="32" t="s">
        <v>813</v>
      </c>
      <c r="G26" s="633">
        <v>2.63E-2</v>
      </c>
      <c r="H26" s="33" t="s">
        <v>68</v>
      </c>
      <c r="I26" s="34">
        <f t="shared" si="1"/>
        <v>3.2883766666666665E-4</v>
      </c>
      <c r="J26" s="634" t="str">
        <f t="shared" si="2"/>
        <v>tCO2/N㎥</v>
      </c>
      <c r="K26" s="629"/>
    </row>
    <row r="27" spans="1:11">
      <c r="A27" s="629"/>
      <c r="B27" s="31" t="s">
        <v>90</v>
      </c>
      <c r="C27" s="638">
        <v>8.41</v>
      </c>
      <c r="D27" s="638"/>
      <c r="E27" s="32" t="str">
        <f t="shared" si="3"/>
        <v>MJ/N㎥</v>
      </c>
      <c r="F27" s="32" t="s">
        <v>813</v>
      </c>
      <c r="G27" s="633">
        <v>3.8399999999999997E-2</v>
      </c>
      <c r="H27" s="35" t="s">
        <v>68</v>
      </c>
      <c r="I27" s="36">
        <f t="shared" si="1"/>
        <v>1.1841279999999998E-3</v>
      </c>
      <c r="J27" s="639" t="str">
        <f t="shared" si="2"/>
        <v>tCO2/N㎥</v>
      </c>
      <c r="K27" s="629"/>
    </row>
    <row r="28" spans="1:11">
      <c r="A28" s="629"/>
      <c r="B28" s="542" t="s">
        <v>815</v>
      </c>
      <c r="C28" s="552">
        <v>45</v>
      </c>
      <c r="D28" s="552">
        <v>40.799999999999997</v>
      </c>
      <c r="E28" s="543" t="str">
        <f t="shared" si="3"/>
        <v>MJ/N㎥</v>
      </c>
      <c r="F28" s="543" t="s">
        <v>813</v>
      </c>
      <c r="G28" s="636">
        <v>1.3599999999999999E-2</v>
      </c>
      <c r="H28" s="544" t="s">
        <v>68</v>
      </c>
      <c r="I28" s="545">
        <f t="shared" si="1"/>
        <v>2.2440000000000003E-3</v>
      </c>
      <c r="J28" s="637" t="str">
        <f>"tCO2/"&amp;F28</f>
        <v>tCO2/N㎥</v>
      </c>
      <c r="K28" s="629" t="s">
        <v>822</v>
      </c>
    </row>
    <row r="29" spans="1:11">
      <c r="A29" s="629"/>
      <c r="B29" s="37" t="s">
        <v>91</v>
      </c>
      <c r="C29" s="638">
        <v>1.02</v>
      </c>
      <c r="D29" s="638"/>
      <c r="E29" s="32" t="str">
        <f>"MJ/"&amp;F29</f>
        <v>MJ/MJ</v>
      </c>
      <c r="F29" s="32" t="s">
        <v>92</v>
      </c>
      <c r="G29" s="640">
        <v>0.06</v>
      </c>
      <c r="H29" s="38" t="s">
        <v>93</v>
      </c>
      <c r="I29" s="36">
        <f>$C29*G29/1000</f>
        <v>6.1199999999999997E-5</v>
      </c>
      <c r="J29" s="639" t="str">
        <f>"tCO2/"&amp;F29</f>
        <v>tCO2/MJ</v>
      </c>
      <c r="K29" s="629"/>
    </row>
    <row r="30" spans="1:11">
      <c r="A30" s="629"/>
      <c r="B30" s="37" t="s">
        <v>94</v>
      </c>
      <c r="C30" s="638">
        <v>1.36</v>
      </c>
      <c r="D30" s="638"/>
      <c r="E30" s="32" t="str">
        <f>"MJ/"&amp;F30</f>
        <v>MJ/MJ</v>
      </c>
      <c r="F30" s="32" t="s">
        <v>92</v>
      </c>
      <c r="G30" s="640">
        <v>5.7000000000000002E-2</v>
      </c>
      <c r="H30" s="38" t="s">
        <v>93</v>
      </c>
      <c r="I30" s="36">
        <f t="shared" ref="I30:I32" si="4">$C30*G30/1000</f>
        <v>7.7520000000000003E-5</v>
      </c>
      <c r="J30" s="639" t="str">
        <f t="shared" si="2"/>
        <v>tCO2/MJ</v>
      </c>
      <c r="K30" s="629"/>
    </row>
    <row r="31" spans="1:11">
      <c r="A31" s="629"/>
      <c r="B31" s="37" t="s">
        <v>95</v>
      </c>
      <c r="C31" s="638">
        <v>1.36</v>
      </c>
      <c r="D31" s="638"/>
      <c r="E31" s="32" t="str">
        <f>"MJ/"&amp;F31</f>
        <v>MJ/MJ</v>
      </c>
      <c r="F31" s="32" t="s">
        <v>92</v>
      </c>
      <c r="G31" s="640">
        <v>5.7000000000000002E-2</v>
      </c>
      <c r="H31" s="38" t="s">
        <v>93</v>
      </c>
      <c r="I31" s="36">
        <f t="shared" si="4"/>
        <v>7.7520000000000003E-5</v>
      </c>
      <c r="J31" s="639" t="str">
        <f t="shared" si="2"/>
        <v>tCO2/MJ</v>
      </c>
      <c r="K31" s="629"/>
    </row>
    <row r="32" spans="1:11">
      <c r="A32" s="629"/>
      <c r="B32" s="37" t="s">
        <v>96</v>
      </c>
      <c r="C32" s="638">
        <v>1.36</v>
      </c>
      <c r="D32" s="638"/>
      <c r="E32" s="32" t="str">
        <f>"MJ/"&amp;F32</f>
        <v>MJ/MJ</v>
      </c>
      <c r="F32" s="32" t="s">
        <v>92</v>
      </c>
      <c r="G32" s="640">
        <v>5.7000000000000002E-2</v>
      </c>
      <c r="H32" s="38" t="s">
        <v>93</v>
      </c>
      <c r="I32" s="36">
        <f t="shared" si="4"/>
        <v>7.7520000000000003E-5</v>
      </c>
      <c r="J32" s="639" t="str">
        <f t="shared" si="2"/>
        <v>tCO2/MJ</v>
      </c>
      <c r="K32" s="629"/>
    </row>
    <row r="33" spans="1:11" ht="18" customHeight="1">
      <c r="A33" s="629"/>
      <c r="B33" s="641" t="s">
        <v>56</v>
      </c>
      <c r="C33" s="642">
        <v>9.76</v>
      </c>
      <c r="D33" s="643"/>
      <c r="E33" s="543" t="str">
        <f t="shared" si="3"/>
        <v>MJ/kWh</v>
      </c>
      <c r="F33" s="543" t="s">
        <v>97</v>
      </c>
      <c r="G33" s="553">
        <v>4.95E-4</v>
      </c>
      <c r="H33" s="546" t="s">
        <v>98</v>
      </c>
      <c r="I33" s="545">
        <f>G33</f>
        <v>4.95E-4</v>
      </c>
      <c r="J33" s="637" t="str">
        <f t="shared" si="2"/>
        <v>tCO2/kWh</v>
      </c>
      <c r="K33" s="629"/>
    </row>
    <row r="34" spans="1:11">
      <c r="A34" s="629"/>
      <c r="B34" s="629"/>
      <c r="C34" s="630" t="s">
        <v>845</v>
      </c>
      <c r="D34" s="629"/>
      <c r="E34" s="629"/>
      <c r="F34" s="629"/>
      <c r="G34" s="629"/>
      <c r="H34" s="629"/>
      <c r="I34" s="631"/>
      <c r="J34" s="629"/>
      <c r="K34" s="629"/>
    </row>
    <row r="35" spans="1:11">
      <c r="A35" s="629"/>
      <c r="B35" s="629"/>
      <c r="C35" s="630" t="s">
        <v>846</v>
      </c>
      <c r="D35" s="629"/>
      <c r="E35" s="629"/>
      <c r="F35" s="629"/>
      <c r="G35" s="629"/>
      <c r="H35" s="629"/>
      <c r="I35" s="631"/>
      <c r="J35" s="629"/>
      <c r="K35" s="629"/>
    </row>
  </sheetData>
  <sheetProtection algorithmName="SHA-512" hashValue="ShNOh2JzmkFB5EPKFRYrXZuanlkzpOEZGmqkrSOBSNKkuE4oNfx6lqoiw+l4sIFYgKaB0xo5t0LHDVpehyDMAQ==" saltValue="pg2V8HZ9Hk+WqYFNq59/6Q==" spinCount="100000" sheet="1" formatCells="0" formatColumns="0" formatRows="0"/>
  <phoneticPr fontId="3"/>
  <conditionalFormatting sqref="H33 C33:D33">
    <cfRule type="containsErrors" dxfId="2" priority="3">
      <formula>ISERROR(C33)</formula>
    </cfRule>
  </conditionalFormatting>
  <conditionalFormatting sqref="G33">
    <cfRule type="containsErrors" dxfId="1" priority="2">
      <formula>ISERROR(G33)</formula>
    </cfRule>
  </conditionalFormatting>
  <conditionalFormatting sqref="B33">
    <cfRule type="cellIs" dxfId="0" priority="1" operator="equal">
      <formula>"電気事業者名を選択"</formula>
    </cfRule>
  </conditionalFormatting>
  <dataValidations count="1">
    <dataValidation type="list" allowBlank="1" showInputMessage="1" showErrorMessage="1" sqref="B28" xr:uid="{C7332817-4744-4E43-A001-DDD424C1B842}">
      <formula1>$B$6:$B$33</formula1>
    </dataValidation>
  </dataValidations>
  <pageMargins left="0.27559055118110237" right="0.19685039370078741" top="0.74803149606299213" bottom="0.55118110236220474" header="0.31496062992125984" footer="0.31496062992125984"/>
  <pageSetup paperSize="9" scale="87" orientation="landscape" r:id="rId1"/>
  <headerFooter>
    <oddHeader>&amp;L様式第1号（別紙）</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92988-CD31-4A43-9199-0430FECC24C1}">
  <sheetPr codeName="Sheet13"/>
  <dimension ref="A1:F122"/>
  <sheetViews>
    <sheetView workbookViewId="0"/>
  </sheetViews>
  <sheetFormatPr defaultRowHeight="18.75"/>
  <cols>
    <col min="1" max="1" width="9" style="39"/>
    <col min="2" max="2" width="11.625" style="39" customWidth="1"/>
    <col min="3" max="16384" width="9" style="39"/>
  </cols>
  <sheetData>
    <row r="1" spans="1:6">
      <c r="B1" s="39" t="s">
        <v>100</v>
      </c>
      <c r="C1" s="39" t="s">
        <v>101</v>
      </c>
      <c r="D1" s="39" t="s">
        <v>102</v>
      </c>
      <c r="E1" s="39" t="s">
        <v>103</v>
      </c>
      <c r="F1" s="39" t="s">
        <v>104</v>
      </c>
    </row>
    <row r="2" spans="1:6">
      <c r="A2" s="39" t="s">
        <v>105</v>
      </c>
      <c r="B2" s="40">
        <v>0.75</v>
      </c>
      <c r="C2" s="41">
        <v>0.72099999999999997</v>
      </c>
      <c r="D2" s="41">
        <v>0.72099999999999997</v>
      </c>
      <c r="E2" s="41">
        <v>0.7</v>
      </c>
      <c r="F2" s="41"/>
    </row>
    <row r="3" spans="1:6">
      <c r="A3" s="39" t="s">
        <v>105</v>
      </c>
      <c r="B3" s="42">
        <v>1.1000000000000001</v>
      </c>
      <c r="C3" s="41">
        <v>0.75</v>
      </c>
      <c r="D3" s="41">
        <v>0.75</v>
      </c>
      <c r="E3" s="41">
        <v>0.72900000000000009</v>
      </c>
      <c r="F3" s="41"/>
    </row>
    <row r="4" spans="1:6">
      <c r="A4" s="39" t="s">
        <v>105</v>
      </c>
      <c r="B4" s="42">
        <v>1.5</v>
      </c>
      <c r="C4" s="41">
        <v>0.77200000000000002</v>
      </c>
      <c r="D4" s="41">
        <v>0.77200000000000002</v>
      </c>
      <c r="E4" s="41">
        <v>0.752</v>
      </c>
      <c r="F4" s="41"/>
    </row>
    <row r="5" spans="1:6">
      <c r="A5" s="39" t="s">
        <v>105</v>
      </c>
      <c r="B5" s="42">
        <v>2.2000000000000002</v>
      </c>
      <c r="C5" s="41">
        <v>0.79700000000000004</v>
      </c>
      <c r="D5" s="41">
        <v>0.79700000000000004</v>
      </c>
      <c r="E5" s="41">
        <v>0.77700000000000002</v>
      </c>
      <c r="F5" s="41"/>
    </row>
    <row r="6" spans="1:6">
      <c r="A6" s="39" t="s">
        <v>105</v>
      </c>
      <c r="B6" s="42">
        <v>3</v>
      </c>
      <c r="C6" s="41">
        <v>0.81499999999999995</v>
      </c>
      <c r="D6" s="41">
        <v>0.81499999999999995</v>
      </c>
      <c r="E6" s="41">
        <v>0.79700000000000004</v>
      </c>
      <c r="F6" s="41"/>
    </row>
    <row r="7" spans="1:6">
      <c r="A7" s="39" t="s">
        <v>105</v>
      </c>
      <c r="B7" s="42">
        <v>3.7</v>
      </c>
      <c r="C7" s="41">
        <v>0.82700000000000007</v>
      </c>
      <c r="D7" s="41">
        <v>0.82700000000000007</v>
      </c>
      <c r="E7" s="41">
        <v>0.80900000000000005</v>
      </c>
      <c r="F7" s="41"/>
    </row>
    <row r="8" spans="1:6">
      <c r="A8" s="39" t="s">
        <v>105</v>
      </c>
      <c r="B8" s="42">
        <v>4</v>
      </c>
      <c r="C8" s="41">
        <v>0.83099999999999996</v>
      </c>
      <c r="D8" s="41">
        <v>0.83099999999999996</v>
      </c>
      <c r="E8" s="41">
        <v>0.81400000000000006</v>
      </c>
      <c r="F8" s="41"/>
    </row>
    <row r="9" spans="1:6">
      <c r="A9" s="39" t="s">
        <v>105</v>
      </c>
      <c r="B9" s="42">
        <v>5.5</v>
      </c>
      <c r="C9" s="41">
        <v>0.84699999999999998</v>
      </c>
      <c r="D9" s="41">
        <v>0.84699999999999998</v>
      </c>
      <c r="E9" s="41">
        <v>0.83099999999999996</v>
      </c>
      <c r="F9" s="41"/>
    </row>
    <row r="10" spans="1:6">
      <c r="A10" s="39" t="s">
        <v>105</v>
      </c>
      <c r="B10" s="42">
        <v>7.5</v>
      </c>
      <c r="C10" s="41">
        <v>0.86</v>
      </c>
      <c r="D10" s="41">
        <v>0.86</v>
      </c>
      <c r="E10" s="41">
        <v>0.84699999999999998</v>
      </c>
      <c r="F10" s="41"/>
    </row>
    <row r="11" spans="1:6">
      <c r="A11" s="39" t="s">
        <v>105</v>
      </c>
      <c r="B11" s="43">
        <v>11</v>
      </c>
      <c r="C11" s="41">
        <v>0.87599999999999989</v>
      </c>
      <c r="D11" s="41">
        <v>0.87599999999999989</v>
      </c>
      <c r="E11" s="41">
        <v>0.8640000000000001</v>
      </c>
      <c r="F11" s="41"/>
    </row>
    <row r="12" spans="1:6">
      <c r="A12" s="39" t="s">
        <v>105</v>
      </c>
      <c r="B12" s="43">
        <v>15</v>
      </c>
      <c r="C12" s="41">
        <v>0.88700000000000001</v>
      </c>
      <c r="D12" s="41">
        <v>0.88700000000000001</v>
      </c>
      <c r="E12" s="41">
        <v>0.877</v>
      </c>
      <c r="F12" s="41"/>
    </row>
    <row r="13" spans="1:6">
      <c r="A13" s="39" t="s">
        <v>105</v>
      </c>
      <c r="B13" s="43">
        <v>18.5</v>
      </c>
      <c r="C13" s="41">
        <v>0.89300000000000002</v>
      </c>
      <c r="D13" s="41">
        <v>0.89300000000000002</v>
      </c>
      <c r="E13" s="41">
        <v>0.8859999999999999</v>
      </c>
      <c r="F13" s="41"/>
    </row>
    <row r="14" spans="1:6">
      <c r="A14" s="39" t="s">
        <v>105</v>
      </c>
      <c r="B14" s="43">
        <v>22</v>
      </c>
      <c r="C14" s="41">
        <v>0.89900000000000002</v>
      </c>
      <c r="D14" s="41">
        <v>0.89900000000000002</v>
      </c>
      <c r="E14" s="41">
        <v>0.89200000000000002</v>
      </c>
      <c r="F14" s="41"/>
    </row>
    <row r="15" spans="1:6">
      <c r="A15" s="39" t="s">
        <v>105</v>
      </c>
      <c r="B15" s="43">
        <v>30</v>
      </c>
      <c r="C15" s="41">
        <v>0.90700000000000003</v>
      </c>
      <c r="D15" s="41">
        <v>0.90700000000000003</v>
      </c>
      <c r="E15" s="41">
        <v>0.90200000000000002</v>
      </c>
      <c r="F15" s="41"/>
    </row>
    <row r="16" spans="1:6">
      <c r="A16" s="39" t="s">
        <v>105</v>
      </c>
      <c r="B16" s="43">
        <v>37</v>
      </c>
      <c r="C16" s="41">
        <v>0.91200000000000003</v>
      </c>
      <c r="D16" s="41">
        <v>0.91200000000000003</v>
      </c>
      <c r="E16" s="41">
        <v>0.90799999999999992</v>
      </c>
      <c r="F16" s="41"/>
    </row>
    <row r="17" spans="1:6">
      <c r="A17" s="39" t="s">
        <v>105</v>
      </c>
      <c r="B17" s="43">
        <v>45</v>
      </c>
      <c r="C17" s="41">
        <v>0.91700000000000004</v>
      </c>
      <c r="D17" s="41">
        <v>0.91700000000000004</v>
      </c>
      <c r="E17" s="41">
        <v>0.91400000000000003</v>
      </c>
      <c r="F17" s="41"/>
    </row>
    <row r="18" spans="1:6">
      <c r="A18" s="39" t="s">
        <v>105</v>
      </c>
      <c r="B18" s="43">
        <v>55</v>
      </c>
      <c r="C18" s="41">
        <v>0.92099999999999993</v>
      </c>
      <c r="D18" s="41">
        <v>0.92099999999999993</v>
      </c>
      <c r="E18" s="41">
        <v>0.91900000000000004</v>
      </c>
      <c r="F18" s="41"/>
    </row>
    <row r="19" spans="1:6">
      <c r="A19" s="39" t="s">
        <v>105</v>
      </c>
      <c r="B19" s="43">
        <v>75</v>
      </c>
      <c r="C19" s="41">
        <v>0.92700000000000005</v>
      </c>
      <c r="D19" s="41">
        <v>0.92700000000000005</v>
      </c>
      <c r="E19" s="41">
        <v>0.92599999999999993</v>
      </c>
      <c r="F19" s="41"/>
    </row>
    <row r="20" spans="1:6">
      <c r="A20" s="39" t="s">
        <v>105</v>
      </c>
      <c r="B20" s="43">
        <v>90</v>
      </c>
      <c r="C20" s="41">
        <v>0.93</v>
      </c>
      <c r="D20" s="41">
        <v>0.93</v>
      </c>
      <c r="E20" s="41">
        <v>0.92900000000000005</v>
      </c>
      <c r="F20" s="41"/>
    </row>
    <row r="21" spans="1:6">
      <c r="A21" s="39" t="s">
        <v>105</v>
      </c>
      <c r="B21" s="43">
        <v>110</v>
      </c>
      <c r="C21" s="41">
        <v>0.93299999999999994</v>
      </c>
      <c r="D21" s="41">
        <v>0.93299999999999994</v>
      </c>
      <c r="E21" s="41">
        <v>0.93299999999999994</v>
      </c>
      <c r="F21" s="41"/>
    </row>
    <row r="22" spans="1:6">
      <c r="A22" s="39" t="s">
        <v>105</v>
      </c>
      <c r="B22" s="43">
        <v>132</v>
      </c>
      <c r="C22" s="41">
        <v>0.93500000000000005</v>
      </c>
      <c r="D22" s="41">
        <v>0.93500000000000005</v>
      </c>
      <c r="E22" s="41">
        <v>0.93500000000000005</v>
      </c>
      <c r="F22" s="41"/>
    </row>
    <row r="23" spans="1:6">
      <c r="A23" s="39" t="s">
        <v>105</v>
      </c>
      <c r="B23" s="43">
        <v>160</v>
      </c>
      <c r="C23" s="41">
        <v>0.93799999999999994</v>
      </c>
      <c r="D23" s="41">
        <v>0.93799999999999994</v>
      </c>
      <c r="E23" s="41">
        <v>0.93799999999999994</v>
      </c>
      <c r="F23" s="41"/>
    </row>
    <row r="24" spans="1:6">
      <c r="A24" s="39" t="s">
        <v>99</v>
      </c>
      <c r="B24" s="43">
        <v>185</v>
      </c>
      <c r="C24" s="41">
        <v>0.94</v>
      </c>
      <c r="D24" s="41">
        <v>0.94</v>
      </c>
      <c r="E24" s="41">
        <v>0.94</v>
      </c>
      <c r="F24" s="41"/>
    </row>
    <row r="25" spans="1:6">
      <c r="A25" s="39" t="s">
        <v>99</v>
      </c>
      <c r="B25" s="43">
        <v>200</v>
      </c>
      <c r="C25" s="41">
        <v>0.94</v>
      </c>
      <c r="D25" s="41">
        <v>0.94</v>
      </c>
      <c r="E25" s="41">
        <v>0.94</v>
      </c>
      <c r="F25" s="41"/>
    </row>
    <row r="26" spans="1:6">
      <c r="A26" s="39" t="s">
        <v>99</v>
      </c>
      <c r="B26" s="43">
        <v>220</v>
      </c>
      <c r="C26" s="41">
        <v>0.94</v>
      </c>
      <c r="D26" s="41">
        <v>0.94</v>
      </c>
      <c r="E26" s="41">
        <v>0.94</v>
      </c>
      <c r="F26" s="41"/>
    </row>
    <row r="27" spans="1:6">
      <c r="A27" s="39" t="s">
        <v>99</v>
      </c>
      <c r="B27" s="43">
        <v>250</v>
      </c>
      <c r="C27" s="41">
        <v>0.94</v>
      </c>
      <c r="D27" s="41">
        <v>0.94</v>
      </c>
      <c r="E27" s="41">
        <v>0.94</v>
      </c>
      <c r="F27" s="41"/>
    </row>
    <row r="28" spans="1:6">
      <c r="A28" s="39" t="s">
        <v>99</v>
      </c>
      <c r="B28" s="43">
        <v>280</v>
      </c>
      <c r="C28" s="41">
        <v>0.94</v>
      </c>
      <c r="D28" s="41">
        <v>0.94</v>
      </c>
      <c r="E28" s="41">
        <v>0.94</v>
      </c>
      <c r="F28" s="41"/>
    </row>
    <row r="29" spans="1:6">
      <c r="A29" s="39" t="s">
        <v>99</v>
      </c>
      <c r="B29" s="43">
        <v>300</v>
      </c>
      <c r="C29" s="41">
        <v>0.94</v>
      </c>
      <c r="D29" s="41">
        <v>0.94</v>
      </c>
      <c r="E29" s="41">
        <v>0.94</v>
      </c>
      <c r="F29" s="41"/>
    </row>
    <row r="30" spans="1:6">
      <c r="A30" s="39" t="s">
        <v>99</v>
      </c>
      <c r="B30" s="43">
        <v>315</v>
      </c>
      <c r="C30" s="41">
        <v>0.94</v>
      </c>
      <c r="D30" s="41">
        <v>0.94</v>
      </c>
      <c r="E30" s="41">
        <v>0.94</v>
      </c>
      <c r="F30" s="41"/>
    </row>
    <row r="31" spans="1:6">
      <c r="A31" s="39" t="s">
        <v>105</v>
      </c>
      <c r="B31" s="43">
        <v>355</v>
      </c>
      <c r="C31" s="41">
        <v>0.94</v>
      </c>
      <c r="D31" s="41">
        <v>0.94</v>
      </c>
      <c r="E31" s="41">
        <v>0.94</v>
      </c>
      <c r="F31" s="41"/>
    </row>
    <row r="32" spans="1:6">
      <c r="A32" s="39" t="s">
        <v>105</v>
      </c>
      <c r="B32" s="43">
        <v>375</v>
      </c>
      <c r="C32" s="41">
        <v>0.94</v>
      </c>
      <c r="D32" s="41">
        <v>0.94</v>
      </c>
      <c r="E32" s="41">
        <v>0.94</v>
      </c>
      <c r="F32" s="41"/>
    </row>
    <row r="33" spans="1:6">
      <c r="A33" s="39" t="s">
        <v>106</v>
      </c>
      <c r="B33" s="40">
        <v>0.75</v>
      </c>
      <c r="C33" s="41">
        <v>0.77400000000000002</v>
      </c>
      <c r="D33" s="41">
        <v>0.79599999999999993</v>
      </c>
      <c r="E33" s="41">
        <v>0.75900000000000001</v>
      </c>
      <c r="F33" s="41"/>
    </row>
    <row r="34" spans="1:6">
      <c r="A34" s="39" t="s">
        <v>106</v>
      </c>
      <c r="B34" s="42">
        <v>1.1000000000000001</v>
      </c>
      <c r="C34" s="41">
        <v>0.79599999999999993</v>
      </c>
      <c r="D34" s="41">
        <v>0.81400000000000006</v>
      </c>
      <c r="E34" s="41">
        <v>0.78099999999999992</v>
      </c>
      <c r="F34" s="41"/>
    </row>
    <row r="35" spans="1:6">
      <c r="A35" s="39" t="s">
        <v>106</v>
      </c>
      <c r="B35" s="42">
        <v>1.5</v>
      </c>
      <c r="C35" s="41">
        <v>0.81299999999999994</v>
      </c>
      <c r="D35" s="41">
        <v>0.82799999999999996</v>
      </c>
      <c r="E35" s="41">
        <v>0.79799999999999993</v>
      </c>
      <c r="F35" s="41"/>
    </row>
    <row r="36" spans="1:6">
      <c r="A36" s="39" t="s">
        <v>106</v>
      </c>
      <c r="B36" s="42">
        <v>2.2000000000000002</v>
      </c>
      <c r="C36" s="41">
        <v>0.83200000000000007</v>
      </c>
      <c r="D36" s="41">
        <v>0.84299999999999997</v>
      </c>
      <c r="E36" s="41">
        <v>0.81799999999999995</v>
      </c>
      <c r="F36" s="41"/>
    </row>
    <row r="37" spans="1:6">
      <c r="A37" s="39" t="s">
        <v>106</v>
      </c>
      <c r="B37" s="42">
        <v>3</v>
      </c>
      <c r="C37" s="41">
        <v>0.84599999999999997</v>
      </c>
      <c r="D37" s="41">
        <v>0.85499999999999998</v>
      </c>
      <c r="E37" s="41">
        <v>0.83299999999999996</v>
      </c>
      <c r="F37" s="41"/>
    </row>
    <row r="38" spans="1:6">
      <c r="A38" s="39" t="s">
        <v>106</v>
      </c>
      <c r="B38" s="42">
        <v>3.7</v>
      </c>
      <c r="C38" s="41">
        <v>0.85499999999999998</v>
      </c>
      <c r="D38" s="41">
        <v>0.86299999999999999</v>
      </c>
      <c r="E38" s="41">
        <v>0.84299999999999997</v>
      </c>
      <c r="F38" s="41"/>
    </row>
    <row r="39" spans="1:6">
      <c r="A39" s="39" t="s">
        <v>106</v>
      </c>
      <c r="B39" s="42">
        <v>4</v>
      </c>
      <c r="C39" s="41">
        <v>0.85799999999999998</v>
      </c>
      <c r="D39" s="41">
        <v>0.86599999999999999</v>
      </c>
      <c r="E39" s="41">
        <v>0.84599999999999997</v>
      </c>
      <c r="F39" s="41"/>
    </row>
    <row r="40" spans="1:6">
      <c r="A40" s="39" t="s">
        <v>106</v>
      </c>
      <c r="B40" s="42">
        <v>5.5</v>
      </c>
      <c r="C40" s="41">
        <v>0.87</v>
      </c>
      <c r="D40" s="41">
        <v>0.877</v>
      </c>
      <c r="E40" s="41">
        <v>0.86</v>
      </c>
      <c r="F40" s="41"/>
    </row>
    <row r="41" spans="1:6">
      <c r="A41" s="39" t="s">
        <v>106</v>
      </c>
      <c r="B41" s="42">
        <v>7.5</v>
      </c>
      <c r="C41" s="41">
        <v>0.88099999999999989</v>
      </c>
      <c r="D41" s="41">
        <v>0.88700000000000001</v>
      </c>
      <c r="E41" s="41">
        <v>0.872</v>
      </c>
      <c r="F41" s="41"/>
    </row>
    <row r="42" spans="1:6">
      <c r="A42" s="39" t="s">
        <v>106</v>
      </c>
      <c r="B42" s="43">
        <v>11</v>
      </c>
      <c r="C42" s="41">
        <v>0.89400000000000002</v>
      </c>
      <c r="D42" s="41">
        <v>0.89800000000000002</v>
      </c>
      <c r="E42" s="41">
        <v>0.88700000000000001</v>
      </c>
      <c r="F42" s="41"/>
    </row>
    <row r="43" spans="1:6">
      <c r="A43" s="39" t="s">
        <v>106</v>
      </c>
      <c r="B43" s="43">
        <v>15</v>
      </c>
      <c r="C43" s="41">
        <v>0.90300000000000002</v>
      </c>
      <c r="D43" s="41">
        <v>0.90599999999999992</v>
      </c>
      <c r="E43" s="41">
        <v>0.89700000000000002</v>
      </c>
      <c r="F43" s="41"/>
    </row>
    <row r="44" spans="1:6">
      <c r="A44" s="39" t="s">
        <v>106</v>
      </c>
      <c r="B44" s="43">
        <v>18.5</v>
      </c>
      <c r="C44" s="41">
        <v>0.90900000000000003</v>
      </c>
      <c r="D44" s="41">
        <v>0.91200000000000003</v>
      </c>
      <c r="E44" s="41">
        <v>0.90400000000000003</v>
      </c>
      <c r="F44" s="41"/>
    </row>
    <row r="45" spans="1:6">
      <c r="A45" s="39" t="s">
        <v>106</v>
      </c>
      <c r="B45" s="43">
        <v>22</v>
      </c>
      <c r="C45" s="41">
        <v>0.91299999999999992</v>
      </c>
      <c r="D45" s="41">
        <v>0.91599999999999993</v>
      </c>
      <c r="E45" s="41">
        <v>0.90900000000000003</v>
      </c>
      <c r="F45" s="41"/>
    </row>
    <row r="46" spans="1:6">
      <c r="A46" s="39" t="s">
        <v>106</v>
      </c>
      <c r="B46" s="43">
        <v>30</v>
      </c>
      <c r="C46" s="41">
        <v>0.92</v>
      </c>
      <c r="D46" s="41">
        <v>0.92299999999999993</v>
      </c>
      <c r="E46" s="41">
        <v>0.91700000000000004</v>
      </c>
      <c r="F46" s="41"/>
    </row>
    <row r="47" spans="1:6">
      <c r="A47" s="39" t="s">
        <v>106</v>
      </c>
      <c r="B47" s="43">
        <v>37</v>
      </c>
      <c r="C47" s="41">
        <v>0.92500000000000004</v>
      </c>
      <c r="D47" s="41">
        <v>0.92700000000000005</v>
      </c>
      <c r="E47" s="41">
        <v>0.92200000000000004</v>
      </c>
      <c r="F47" s="41"/>
    </row>
    <row r="48" spans="1:6">
      <c r="A48" s="39" t="s">
        <v>106</v>
      </c>
      <c r="B48" s="43">
        <v>45</v>
      </c>
      <c r="C48" s="41">
        <v>0.92900000000000005</v>
      </c>
      <c r="D48" s="41">
        <v>0.93099999999999994</v>
      </c>
      <c r="E48" s="41">
        <v>0.92700000000000005</v>
      </c>
      <c r="F48" s="41"/>
    </row>
    <row r="49" spans="1:6">
      <c r="A49" s="39" t="s">
        <v>106</v>
      </c>
      <c r="B49" s="43">
        <v>55</v>
      </c>
      <c r="C49" s="41">
        <v>0.93200000000000005</v>
      </c>
      <c r="D49" s="41">
        <v>0.93500000000000005</v>
      </c>
      <c r="E49" s="41">
        <v>0.93099999999999994</v>
      </c>
      <c r="F49" s="41"/>
    </row>
    <row r="50" spans="1:6">
      <c r="A50" s="39" t="s">
        <v>106</v>
      </c>
      <c r="B50" s="43">
        <v>75</v>
      </c>
      <c r="C50" s="41">
        <v>0.93799999999999994</v>
      </c>
      <c r="D50" s="41">
        <v>0.94</v>
      </c>
      <c r="E50" s="41">
        <v>0.93700000000000006</v>
      </c>
      <c r="F50" s="41"/>
    </row>
    <row r="51" spans="1:6">
      <c r="A51" s="39" t="s">
        <v>106</v>
      </c>
      <c r="B51" s="43">
        <v>90</v>
      </c>
      <c r="C51" s="41">
        <v>0.94099999999999995</v>
      </c>
      <c r="D51" s="41">
        <v>0.94200000000000006</v>
      </c>
      <c r="E51" s="41">
        <v>0.94</v>
      </c>
      <c r="F51" s="41"/>
    </row>
    <row r="52" spans="1:6">
      <c r="A52" s="39" t="s">
        <v>106</v>
      </c>
      <c r="B52" s="43">
        <v>110</v>
      </c>
      <c r="C52" s="41">
        <v>0.94299999999999995</v>
      </c>
      <c r="D52" s="41">
        <v>0.94499999999999995</v>
      </c>
      <c r="E52" s="41">
        <v>0.94299999999999995</v>
      </c>
      <c r="F52" s="41"/>
    </row>
    <row r="53" spans="1:6">
      <c r="A53" s="39" t="s">
        <v>106</v>
      </c>
      <c r="B53" s="43">
        <v>132</v>
      </c>
      <c r="C53" s="41">
        <v>0.94599999999999995</v>
      </c>
      <c r="D53" s="41">
        <v>0.94700000000000006</v>
      </c>
      <c r="E53" s="41">
        <v>0.94599999999999995</v>
      </c>
      <c r="F53" s="41"/>
    </row>
    <row r="54" spans="1:6">
      <c r="A54" s="39" t="s">
        <v>106</v>
      </c>
      <c r="B54" s="43">
        <v>160</v>
      </c>
      <c r="C54" s="41">
        <v>0.94799999999999995</v>
      </c>
      <c r="D54" s="41">
        <v>0.94900000000000007</v>
      </c>
      <c r="E54" s="41">
        <v>0.94799999999999995</v>
      </c>
      <c r="F54" s="41"/>
    </row>
    <row r="55" spans="1:6">
      <c r="A55" s="39" t="s">
        <v>106</v>
      </c>
      <c r="B55" s="43">
        <v>185</v>
      </c>
      <c r="C55" s="41">
        <v>0.95</v>
      </c>
      <c r="D55" s="41">
        <v>0.95099999999999996</v>
      </c>
      <c r="E55" s="41">
        <v>0.95</v>
      </c>
      <c r="F55" s="41"/>
    </row>
    <row r="56" spans="1:6">
      <c r="A56" s="39" t="s">
        <v>106</v>
      </c>
      <c r="B56" s="43">
        <v>200</v>
      </c>
      <c r="C56" s="41">
        <v>0.95</v>
      </c>
      <c r="D56" s="41">
        <v>0.95099999999999996</v>
      </c>
      <c r="E56" s="41">
        <v>0.95</v>
      </c>
      <c r="F56" s="41"/>
    </row>
    <row r="57" spans="1:6">
      <c r="A57" s="39" t="s">
        <v>106</v>
      </c>
      <c r="B57" s="43">
        <v>220</v>
      </c>
      <c r="C57" s="41">
        <v>0.95</v>
      </c>
      <c r="D57" s="41">
        <v>0.95099999999999996</v>
      </c>
      <c r="E57" s="41">
        <v>0.95</v>
      </c>
      <c r="F57" s="41"/>
    </row>
    <row r="58" spans="1:6">
      <c r="A58" s="39" t="s">
        <v>106</v>
      </c>
      <c r="B58" s="43">
        <v>250</v>
      </c>
      <c r="C58" s="41">
        <v>0.95</v>
      </c>
      <c r="D58" s="41">
        <v>0.95099999999999996</v>
      </c>
      <c r="E58" s="41">
        <v>0.95</v>
      </c>
      <c r="F58" s="41"/>
    </row>
    <row r="59" spans="1:6">
      <c r="A59" s="39" t="s">
        <v>106</v>
      </c>
      <c r="B59" s="43">
        <v>280</v>
      </c>
      <c r="C59" s="41">
        <v>0.95</v>
      </c>
      <c r="D59" s="41">
        <v>0.95099999999999996</v>
      </c>
      <c r="E59" s="41">
        <v>0.95</v>
      </c>
      <c r="F59" s="41"/>
    </row>
    <row r="60" spans="1:6">
      <c r="A60" s="39" t="s">
        <v>106</v>
      </c>
      <c r="B60" s="43">
        <v>300</v>
      </c>
      <c r="C60" s="41">
        <v>0.95</v>
      </c>
      <c r="D60" s="41">
        <v>0.95099999999999996</v>
      </c>
      <c r="E60" s="41">
        <v>0.95</v>
      </c>
      <c r="F60" s="41"/>
    </row>
    <row r="61" spans="1:6">
      <c r="A61" s="39" t="s">
        <v>106</v>
      </c>
      <c r="B61" s="43">
        <v>315</v>
      </c>
      <c r="C61" s="41">
        <v>0.95</v>
      </c>
      <c r="D61" s="41">
        <v>0.95099999999999996</v>
      </c>
      <c r="E61" s="41">
        <v>0.95</v>
      </c>
      <c r="F61" s="41"/>
    </row>
    <row r="62" spans="1:6">
      <c r="A62" s="39" t="s">
        <v>106</v>
      </c>
      <c r="B62" s="43">
        <v>355</v>
      </c>
      <c r="C62" s="41">
        <v>0.95</v>
      </c>
      <c r="D62" s="41">
        <v>0.95099999999999996</v>
      </c>
      <c r="E62" s="41">
        <v>0.95</v>
      </c>
      <c r="F62" s="41"/>
    </row>
    <row r="63" spans="1:6">
      <c r="A63" s="39" t="s">
        <v>106</v>
      </c>
      <c r="B63" s="43">
        <v>375</v>
      </c>
      <c r="C63" s="41">
        <v>0.95</v>
      </c>
      <c r="D63" s="41">
        <v>0.95099999999999996</v>
      </c>
      <c r="E63" s="41">
        <v>0.95</v>
      </c>
      <c r="F63" s="41"/>
    </row>
    <row r="64" spans="1:6">
      <c r="A64" s="39" t="s">
        <v>107</v>
      </c>
      <c r="B64" s="40">
        <v>0.75</v>
      </c>
      <c r="C64" s="41">
        <v>0.80700000000000005</v>
      </c>
      <c r="D64" s="41">
        <v>0.82499999999999996</v>
      </c>
      <c r="E64" s="41">
        <v>0.78900000000000003</v>
      </c>
      <c r="F64" s="41"/>
    </row>
    <row r="65" spans="1:6">
      <c r="A65" s="39" t="s">
        <v>107</v>
      </c>
      <c r="B65" s="42">
        <v>1.1000000000000001</v>
      </c>
      <c r="C65" s="41">
        <v>0.82700000000000007</v>
      </c>
      <c r="D65" s="41">
        <v>0.84099999999999997</v>
      </c>
      <c r="E65" s="41">
        <v>0.81</v>
      </c>
      <c r="F65" s="41"/>
    </row>
    <row r="66" spans="1:6">
      <c r="A66" s="39" t="s">
        <v>107</v>
      </c>
      <c r="B66" s="42">
        <v>1.5</v>
      </c>
      <c r="C66" s="41">
        <v>0.84200000000000008</v>
      </c>
      <c r="D66" s="41">
        <v>0.85299999999999998</v>
      </c>
      <c r="E66" s="41">
        <v>0.82499999999999996</v>
      </c>
      <c r="F66" s="41"/>
    </row>
    <row r="67" spans="1:6">
      <c r="A67" s="39" t="s">
        <v>107</v>
      </c>
      <c r="B67" s="42">
        <v>2.2000000000000002</v>
      </c>
      <c r="C67" s="41">
        <v>0.8590000000000001</v>
      </c>
      <c r="D67" s="41">
        <v>0.86699999999999999</v>
      </c>
      <c r="E67" s="41">
        <v>0.84299999999999997</v>
      </c>
      <c r="F67" s="41"/>
    </row>
    <row r="68" spans="1:6">
      <c r="A68" s="39" t="s">
        <v>107</v>
      </c>
      <c r="B68" s="42">
        <v>3</v>
      </c>
      <c r="C68" s="41">
        <v>0.871</v>
      </c>
      <c r="D68" s="41">
        <v>0.877</v>
      </c>
      <c r="E68" s="41">
        <v>0.85599999999999998</v>
      </c>
      <c r="F68" s="41"/>
    </row>
    <row r="69" spans="1:6">
      <c r="A69" s="39" t="s">
        <v>107</v>
      </c>
      <c r="B69" s="42">
        <v>3.7</v>
      </c>
      <c r="C69" s="41">
        <v>0.878</v>
      </c>
      <c r="D69" s="41">
        <v>0.88400000000000001</v>
      </c>
      <c r="E69" s="41">
        <v>0.86499999999999999</v>
      </c>
      <c r="F69" s="41"/>
    </row>
    <row r="70" spans="1:6">
      <c r="A70" s="39" t="s">
        <v>107</v>
      </c>
      <c r="B70" s="42">
        <v>4</v>
      </c>
      <c r="C70" s="41">
        <v>0.88099999999999989</v>
      </c>
      <c r="D70" s="41">
        <v>0.8859999999999999</v>
      </c>
      <c r="E70" s="41">
        <v>0.86799999999999999</v>
      </c>
      <c r="F70" s="41"/>
    </row>
    <row r="71" spans="1:6">
      <c r="A71" s="39" t="s">
        <v>107</v>
      </c>
      <c r="B71" s="42">
        <v>5.5</v>
      </c>
      <c r="C71" s="41">
        <v>0.89200000000000002</v>
      </c>
      <c r="D71" s="41">
        <v>0.89599999999999991</v>
      </c>
      <c r="E71" s="41">
        <v>0.88</v>
      </c>
      <c r="F71" s="41"/>
    </row>
    <row r="72" spans="1:6">
      <c r="A72" s="39" t="s">
        <v>107</v>
      </c>
      <c r="B72" s="42">
        <v>7.5</v>
      </c>
      <c r="C72" s="41">
        <v>0.90099999999999991</v>
      </c>
      <c r="D72" s="41">
        <v>0.90400000000000003</v>
      </c>
      <c r="E72" s="41">
        <v>0.8909999999999999</v>
      </c>
      <c r="F72" s="41"/>
    </row>
    <row r="73" spans="1:6">
      <c r="A73" s="39" t="s">
        <v>107</v>
      </c>
      <c r="B73" s="43">
        <v>11</v>
      </c>
      <c r="C73" s="41">
        <v>0.91200000000000003</v>
      </c>
      <c r="D73" s="41">
        <v>0.91400000000000003</v>
      </c>
      <c r="E73" s="41">
        <v>0.90300000000000002</v>
      </c>
      <c r="F73" s="41"/>
    </row>
    <row r="74" spans="1:6">
      <c r="A74" s="39" t="s">
        <v>107</v>
      </c>
      <c r="B74" s="43">
        <v>15</v>
      </c>
      <c r="C74" s="41">
        <v>0.91900000000000004</v>
      </c>
      <c r="D74" s="41">
        <v>0.92099999999999993</v>
      </c>
      <c r="E74" s="41">
        <v>0.91200000000000003</v>
      </c>
      <c r="F74" s="41"/>
    </row>
    <row r="75" spans="1:6">
      <c r="A75" s="39" t="s">
        <v>107</v>
      </c>
      <c r="B75" s="43">
        <v>18.5</v>
      </c>
      <c r="C75" s="41">
        <v>0.92400000000000004</v>
      </c>
      <c r="D75" s="41">
        <v>0.92599999999999993</v>
      </c>
      <c r="E75" s="41">
        <v>0.91700000000000004</v>
      </c>
      <c r="F75" s="41"/>
    </row>
    <row r="76" spans="1:6">
      <c r="A76" s="39" t="s">
        <v>107</v>
      </c>
      <c r="B76" s="43">
        <v>22</v>
      </c>
      <c r="C76" s="41">
        <v>0.92700000000000005</v>
      </c>
      <c r="D76" s="41">
        <v>0.93</v>
      </c>
      <c r="E76" s="41">
        <v>0.92200000000000004</v>
      </c>
      <c r="F76" s="41"/>
    </row>
    <row r="77" spans="1:6">
      <c r="A77" s="39" t="s">
        <v>107</v>
      </c>
      <c r="B77" s="43">
        <v>30</v>
      </c>
      <c r="C77" s="41">
        <v>0.93299999999999994</v>
      </c>
      <c r="D77" s="41">
        <v>0.93599999999999994</v>
      </c>
      <c r="E77" s="41">
        <v>0.92900000000000005</v>
      </c>
      <c r="F77" s="41"/>
    </row>
    <row r="78" spans="1:6">
      <c r="A78" s="39" t="s">
        <v>107</v>
      </c>
      <c r="B78" s="43">
        <v>37</v>
      </c>
      <c r="C78" s="41">
        <v>0.93700000000000006</v>
      </c>
      <c r="D78" s="41">
        <v>0.93900000000000006</v>
      </c>
      <c r="E78" s="41">
        <v>0.93299999999999994</v>
      </c>
      <c r="F78" s="41"/>
    </row>
    <row r="79" spans="1:6">
      <c r="A79" s="39" t="s">
        <v>107</v>
      </c>
      <c r="B79" s="43">
        <v>45</v>
      </c>
      <c r="C79" s="41">
        <v>0.94</v>
      </c>
      <c r="D79" s="41">
        <v>0.94200000000000006</v>
      </c>
      <c r="E79" s="41">
        <v>0.93700000000000006</v>
      </c>
      <c r="F79" s="41"/>
    </row>
    <row r="80" spans="1:6">
      <c r="A80" s="39" t="s">
        <v>107</v>
      </c>
      <c r="B80" s="43">
        <v>55</v>
      </c>
      <c r="C80" s="41">
        <v>0.94299999999999995</v>
      </c>
      <c r="D80" s="41">
        <v>0.94599999999999995</v>
      </c>
      <c r="E80" s="41">
        <v>0.94099999999999995</v>
      </c>
      <c r="F80" s="41"/>
    </row>
    <row r="81" spans="1:6">
      <c r="A81" s="39" t="s">
        <v>107</v>
      </c>
      <c r="B81" s="43">
        <v>75</v>
      </c>
      <c r="C81" s="41">
        <v>0.94700000000000006</v>
      </c>
      <c r="D81" s="41">
        <v>0.95</v>
      </c>
      <c r="E81" s="41">
        <v>0.94599999999999995</v>
      </c>
      <c r="F81" s="41"/>
    </row>
    <row r="82" spans="1:6">
      <c r="A82" s="39" t="s">
        <v>107</v>
      </c>
      <c r="B82" s="43">
        <v>90</v>
      </c>
      <c r="C82" s="41">
        <v>0.95</v>
      </c>
      <c r="D82" s="41">
        <v>0.95200000000000007</v>
      </c>
      <c r="E82" s="41">
        <v>0.94900000000000007</v>
      </c>
      <c r="F82" s="41"/>
    </row>
    <row r="83" spans="1:6">
      <c r="A83" s="39" t="s">
        <v>107</v>
      </c>
      <c r="B83" s="43">
        <v>110</v>
      </c>
      <c r="C83" s="41">
        <v>0.95200000000000007</v>
      </c>
      <c r="D83" s="41">
        <v>0.95400000000000007</v>
      </c>
      <c r="E83" s="41">
        <v>0.95099999999999996</v>
      </c>
      <c r="F83" s="41"/>
    </row>
    <row r="84" spans="1:6">
      <c r="A84" s="39" t="s">
        <v>107</v>
      </c>
      <c r="B84" s="43">
        <v>132</v>
      </c>
      <c r="C84" s="41">
        <v>0.95400000000000007</v>
      </c>
      <c r="D84" s="41">
        <v>0.95599999999999996</v>
      </c>
      <c r="E84" s="41">
        <v>0.95400000000000007</v>
      </c>
      <c r="F84" s="41"/>
    </row>
    <row r="85" spans="1:6">
      <c r="A85" s="39" t="s">
        <v>107</v>
      </c>
      <c r="B85" s="43">
        <v>160</v>
      </c>
      <c r="C85" s="41">
        <v>0.95599999999999996</v>
      </c>
      <c r="D85" s="41">
        <v>0.95799999999999996</v>
      </c>
      <c r="E85" s="41">
        <v>0.95599999999999996</v>
      </c>
      <c r="F85" s="41"/>
    </row>
    <row r="86" spans="1:6">
      <c r="A86" s="39" t="s">
        <v>107</v>
      </c>
      <c r="B86" s="43">
        <v>185</v>
      </c>
      <c r="C86" s="41">
        <v>0.95799999999999996</v>
      </c>
      <c r="D86" s="41">
        <v>0.96</v>
      </c>
      <c r="E86" s="41">
        <v>0.95799999999999996</v>
      </c>
      <c r="F86" s="41"/>
    </row>
    <row r="87" spans="1:6">
      <c r="A87" s="39" t="s">
        <v>107</v>
      </c>
      <c r="B87" s="43">
        <v>200</v>
      </c>
      <c r="C87" s="41">
        <v>0.95799999999999996</v>
      </c>
      <c r="D87" s="41">
        <v>0.96</v>
      </c>
      <c r="E87" s="41">
        <v>0.95799999999999996</v>
      </c>
      <c r="F87" s="41"/>
    </row>
    <row r="88" spans="1:6">
      <c r="A88" s="39" t="s">
        <v>107</v>
      </c>
      <c r="B88" s="43">
        <v>220</v>
      </c>
      <c r="C88" s="41">
        <v>0.95799999999999996</v>
      </c>
      <c r="D88" s="41">
        <v>0.96</v>
      </c>
      <c r="E88" s="41">
        <v>0.95799999999999996</v>
      </c>
      <c r="F88" s="41"/>
    </row>
    <row r="89" spans="1:6">
      <c r="A89" s="39" t="s">
        <v>107</v>
      </c>
      <c r="B89" s="43">
        <v>250</v>
      </c>
      <c r="C89" s="41">
        <v>0.95799999999999996</v>
      </c>
      <c r="D89" s="41">
        <v>0.96</v>
      </c>
      <c r="E89" s="41">
        <v>0.95799999999999996</v>
      </c>
      <c r="F89" s="41"/>
    </row>
    <row r="90" spans="1:6">
      <c r="A90" s="39" t="s">
        <v>107</v>
      </c>
      <c r="B90" s="43">
        <v>280</v>
      </c>
      <c r="C90" s="41">
        <v>0.95799999999999996</v>
      </c>
      <c r="D90" s="41">
        <v>0.96</v>
      </c>
      <c r="E90" s="41">
        <v>0.95799999999999996</v>
      </c>
      <c r="F90" s="41"/>
    </row>
    <row r="91" spans="1:6">
      <c r="A91" s="39" t="s">
        <v>107</v>
      </c>
      <c r="B91" s="43">
        <v>300</v>
      </c>
      <c r="C91" s="41">
        <v>0.95799999999999996</v>
      </c>
      <c r="D91" s="41">
        <v>0.96</v>
      </c>
      <c r="E91" s="41">
        <v>0.95799999999999996</v>
      </c>
      <c r="F91" s="41"/>
    </row>
    <row r="92" spans="1:6">
      <c r="A92" s="39" t="s">
        <v>107</v>
      </c>
      <c r="B92" s="43">
        <v>315</v>
      </c>
      <c r="C92" s="41">
        <v>0.95799999999999996</v>
      </c>
      <c r="D92" s="41">
        <v>0.96</v>
      </c>
      <c r="E92" s="41">
        <v>0.95799999999999996</v>
      </c>
      <c r="F92" s="41"/>
    </row>
    <row r="93" spans="1:6">
      <c r="A93" s="39" t="s">
        <v>107</v>
      </c>
      <c r="B93" s="43">
        <v>355</v>
      </c>
      <c r="C93" s="41">
        <v>0.95799999999999996</v>
      </c>
      <c r="D93" s="41">
        <v>0.96</v>
      </c>
      <c r="E93" s="41">
        <v>0.95799999999999996</v>
      </c>
      <c r="F93" s="41"/>
    </row>
    <row r="94" spans="1:6">
      <c r="A94" s="39" t="s">
        <v>107</v>
      </c>
      <c r="B94" s="43">
        <v>375</v>
      </c>
      <c r="C94" s="41">
        <v>0.95799999999999996</v>
      </c>
      <c r="D94" s="41">
        <v>0.96</v>
      </c>
      <c r="E94" s="41">
        <v>0.95799999999999996</v>
      </c>
      <c r="F94" s="41"/>
    </row>
    <row r="95" spans="1:6">
      <c r="A95" s="39" t="s">
        <v>108</v>
      </c>
      <c r="B95" s="40">
        <v>0.75</v>
      </c>
      <c r="C95" s="41">
        <v>0.83499999999999996</v>
      </c>
      <c r="D95" s="41">
        <v>0.85699999999999998</v>
      </c>
      <c r="E95" s="41">
        <v>0.82700000000000007</v>
      </c>
      <c r="F95" s="41">
        <v>0.78400000000000003</v>
      </c>
    </row>
    <row r="96" spans="1:6">
      <c r="A96" s="39" t="s">
        <v>108</v>
      </c>
      <c r="B96" s="42">
        <v>1.1000000000000001</v>
      </c>
      <c r="C96" s="41">
        <v>0.85199999999999998</v>
      </c>
      <c r="D96" s="41">
        <v>0.872</v>
      </c>
      <c r="E96" s="41">
        <v>0.84499999999999997</v>
      </c>
      <c r="F96" s="41">
        <v>0.80799999999999994</v>
      </c>
    </row>
    <row r="97" spans="1:6">
      <c r="A97" s="39" t="s">
        <v>108</v>
      </c>
      <c r="B97" s="42">
        <v>1.5</v>
      </c>
      <c r="C97" s="41">
        <v>0.86499999999999999</v>
      </c>
      <c r="D97" s="41">
        <v>0.88200000000000001</v>
      </c>
      <c r="E97" s="41">
        <v>0.8590000000000001</v>
      </c>
      <c r="F97" s="41">
        <v>0.82599999999999996</v>
      </c>
    </row>
    <row r="98" spans="1:6">
      <c r="A98" s="39" t="s">
        <v>108</v>
      </c>
      <c r="B98" s="42">
        <v>2.2000000000000002</v>
      </c>
      <c r="C98" s="41">
        <v>0.88</v>
      </c>
      <c r="D98" s="41">
        <v>0.89500000000000002</v>
      </c>
      <c r="E98" s="41">
        <v>0.87400000000000011</v>
      </c>
      <c r="F98" s="41">
        <v>0.84499999999999997</v>
      </c>
    </row>
    <row r="99" spans="1:6">
      <c r="A99" s="39" t="s">
        <v>108</v>
      </c>
      <c r="B99" s="42">
        <v>3</v>
      </c>
      <c r="C99" s="41">
        <v>0.8909999999999999</v>
      </c>
      <c r="D99" s="41">
        <v>0.90400000000000003</v>
      </c>
      <c r="E99" s="41">
        <v>0.8859999999999999</v>
      </c>
      <c r="F99" s="41">
        <v>0.8590000000000001</v>
      </c>
    </row>
    <row r="100" spans="1:6">
      <c r="A100" s="39" t="s">
        <v>108</v>
      </c>
      <c r="B100" s="42">
        <v>3.7</v>
      </c>
      <c r="C100" s="41">
        <v>0.89700000000000002</v>
      </c>
      <c r="D100" s="41">
        <v>0.90900000000000003</v>
      </c>
      <c r="E100" s="41">
        <v>0.89300000000000002</v>
      </c>
      <c r="F100" s="41">
        <v>0.86799999999999999</v>
      </c>
    </row>
    <row r="101" spans="1:6">
      <c r="A101" s="39" t="s">
        <v>108</v>
      </c>
      <c r="B101" s="42">
        <v>4</v>
      </c>
      <c r="C101" s="41">
        <v>0.9</v>
      </c>
      <c r="D101" s="41">
        <v>0.91099999999999992</v>
      </c>
      <c r="E101" s="41">
        <v>0.89500000000000002</v>
      </c>
      <c r="F101" s="41">
        <v>0.871</v>
      </c>
    </row>
    <row r="102" spans="1:6">
      <c r="A102" s="39" t="s">
        <v>108</v>
      </c>
      <c r="B102" s="42">
        <v>5.5</v>
      </c>
      <c r="C102" s="41">
        <v>0.90900000000000003</v>
      </c>
      <c r="D102" s="41">
        <v>0.91900000000000004</v>
      </c>
      <c r="E102" s="41">
        <v>0.90500000000000003</v>
      </c>
      <c r="F102" s="41">
        <v>0.88300000000000001</v>
      </c>
    </row>
    <row r="103" spans="1:6">
      <c r="A103" s="39" t="s">
        <v>108</v>
      </c>
      <c r="B103" s="42">
        <v>7.5</v>
      </c>
      <c r="C103" s="41">
        <v>0.91700000000000004</v>
      </c>
      <c r="D103" s="41">
        <v>0.92599999999999993</v>
      </c>
      <c r="E103" s="41">
        <v>0.91299999999999992</v>
      </c>
      <c r="F103" s="41">
        <v>0.89300000000000002</v>
      </c>
    </row>
    <row r="104" spans="1:6">
      <c r="A104" s="39" t="s">
        <v>108</v>
      </c>
      <c r="B104" s="43">
        <v>11</v>
      </c>
      <c r="C104" s="41">
        <v>0.92599999999999993</v>
      </c>
      <c r="D104" s="41">
        <v>0.93299999999999994</v>
      </c>
      <c r="E104" s="41">
        <v>0.92299999999999993</v>
      </c>
      <c r="F104" s="41">
        <v>0.90400000000000003</v>
      </c>
    </row>
    <row r="105" spans="1:6">
      <c r="A105" s="39" t="s">
        <v>108</v>
      </c>
      <c r="B105" s="43">
        <v>15</v>
      </c>
      <c r="C105" s="41">
        <v>0.93299999999999994</v>
      </c>
      <c r="D105" s="41">
        <v>0.93900000000000006</v>
      </c>
      <c r="E105" s="41">
        <v>0.92900000000000005</v>
      </c>
      <c r="F105" s="41">
        <v>0.91200000000000003</v>
      </c>
    </row>
    <row r="106" spans="1:6">
      <c r="A106" s="39" t="s">
        <v>108</v>
      </c>
      <c r="B106" s="43">
        <v>18.5</v>
      </c>
      <c r="C106" s="41">
        <v>0.93700000000000006</v>
      </c>
      <c r="D106" s="41">
        <v>0.94200000000000006</v>
      </c>
      <c r="E106" s="41">
        <v>0.93400000000000005</v>
      </c>
      <c r="F106" s="41">
        <v>0.91700000000000004</v>
      </c>
    </row>
    <row r="107" spans="1:6">
      <c r="A107" s="39" t="s">
        <v>108</v>
      </c>
      <c r="B107" s="43">
        <v>22</v>
      </c>
      <c r="C107" s="41">
        <v>0.94</v>
      </c>
      <c r="D107" s="41">
        <v>0.94499999999999995</v>
      </c>
      <c r="E107" s="41">
        <v>0.93700000000000006</v>
      </c>
      <c r="F107" s="41">
        <v>0.92099999999999993</v>
      </c>
    </row>
    <row r="108" spans="1:6">
      <c r="A108" s="39" t="s">
        <v>108</v>
      </c>
      <c r="B108" s="43">
        <v>30</v>
      </c>
      <c r="C108" s="41">
        <v>0.94499999999999995</v>
      </c>
      <c r="D108" s="41">
        <v>0.94900000000000007</v>
      </c>
      <c r="E108" s="41">
        <v>0.94200000000000006</v>
      </c>
      <c r="F108" s="41">
        <v>0.92700000000000005</v>
      </c>
    </row>
    <row r="109" spans="1:6">
      <c r="A109" s="39" t="s">
        <v>108</v>
      </c>
      <c r="B109" s="43">
        <v>37</v>
      </c>
      <c r="C109" s="41">
        <v>0.94799999999999995</v>
      </c>
      <c r="D109" s="41">
        <v>0.95200000000000007</v>
      </c>
      <c r="E109" s="41">
        <v>0.94499999999999995</v>
      </c>
      <c r="F109" s="41">
        <v>0.93099999999999994</v>
      </c>
    </row>
    <row r="110" spans="1:6">
      <c r="A110" s="39" t="s">
        <v>108</v>
      </c>
      <c r="B110" s="43">
        <v>45</v>
      </c>
      <c r="C110" s="41">
        <v>0.95</v>
      </c>
      <c r="D110" s="41">
        <v>0.95400000000000007</v>
      </c>
      <c r="E110" s="41">
        <v>0.94799999999999995</v>
      </c>
      <c r="F110" s="41">
        <v>0.93400000000000005</v>
      </c>
    </row>
    <row r="111" spans="1:6">
      <c r="A111" s="39" t="s">
        <v>108</v>
      </c>
      <c r="B111" s="43">
        <v>55</v>
      </c>
      <c r="C111" s="41">
        <v>0.95299999999999996</v>
      </c>
      <c r="D111" s="41">
        <v>0.95700000000000007</v>
      </c>
      <c r="E111" s="41">
        <v>0.95099999999999996</v>
      </c>
      <c r="F111" s="41">
        <v>0.93700000000000006</v>
      </c>
    </row>
    <row r="112" spans="1:6">
      <c r="A112" s="39" t="s">
        <v>108</v>
      </c>
      <c r="B112" s="43">
        <v>75</v>
      </c>
      <c r="C112" s="41">
        <v>0.95599999999999996</v>
      </c>
      <c r="D112" s="41">
        <v>0.96</v>
      </c>
      <c r="E112" s="41">
        <v>0.95400000000000007</v>
      </c>
      <c r="F112" s="41">
        <v>0.94200000000000006</v>
      </c>
    </row>
    <row r="113" spans="1:6">
      <c r="A113" s="39" t="s">
        <v>108</v>
      </c>
      <c r="B113" s="43">
        <v>90</v>
      </c>
      <c r="C113" s="41">
        <v>0.95799999999999996</v>
      </c>
      <c r="D113" s="41">
        <v>0.96099999999999997</v>
      </c>
      <c r="E113" s="41">
        <v>0.95599999999999996</v>
      </c>
      <c r="F113" s="41">
        <v>0.94400000000000006</v>
      </c>
    </row>
    <row r="114" spans="1:6">
      <c r="A114" s="39" t="s">
        <v>108</v>
      </c>
      <c r="B114" s="43">
        <v>110</v>
      </c>
      <c r="C114" s="41">
        <v>0.96</v>
      </c>
      <c r="D114" s="41">
        <v>0.96299999999999997</v>
      </c>
      <c r="E114" s="41">
        <v>0.95799999999999996</v>
      </c>
      <c r="F114" s="41">
        <v>0.94700000000000006</v>
      </c>
    </row>
    <row r="115" spans="1:6">
      <c r="A115" s="39" t="s">
        <v>108</v>
      </c>
      <c r="B115" s="43">
        <v>132</v>
      </c>
      <c r="C115" s="41">
        <v>0.96200000000000008</v>
      </c>
      <c r="D115" s="41">
        <v>0.96400000000000008</v>
      </c>
      <c r="E115" s="41">
        <v>0.96</v>
      </c>
      <c r="F115" s="41">
        <v>0.94900000000000007</v>
      </c>
    </row>
    <row r="116" spans="1:6">
      <c r="A116" s="39" t="s">
        <v>108</v>
      </c>
      <c r="B116" s="43">
        <v>160</v>
      </c>
      <c r="C116" s="41">
        <v>0.96299999999999997</v>
      </c>
      <c r="D116" s="41">
        <v>0.96599999999999997</v>
      </c>
      <c r="E116" s="41">
        <v>0.96200000000000008</v>
      </c>
      <c r="F116" s="41">
        <v>0.95099999999999996</v>
      </c>
    </row>
    <row r="117" spans="1:6">
      <c r="A117" s="39" t="s">
        <v>108</v>
      </c>
      <c r="B117" s="43">
        <v>200</v>
      </c>
      <c r="C117" s="41">
        <v>0.96499999999999997</v>
      </c>
      <c r="D117" s="41">
        <v>0.96700000000000008</v>
      </c>
      <c r="E117" s="41">
        <v>0.96299999999999997</v>
      </c>
      <c r="F117" s="41">
        <v>0.95400000000000007</v>
      </c>
    </row>
    <row r="118" spans="1:6">
      <c r="A118" s="39" t="s">
        <v>108</v>
      </c>
      <c r="B118" s="43">
        <v>250</v>
      </c>
      <c r="C118" s="41">
        <v>0.96499999999999997</v>
      </c>
      <c r="D118" s="41">
        <v>0.96700000000000008</v>
      </c>
      <c r="E118" s="41">
        <v>0.96499999999999997</v>
      </c>
      <c r="F118" s="41">
        <v>0.95400000000000007</v>
      </c>
    </row>
    <row r="119" spans="1:6">
      <c r="A119" s="39" t="s">
        <v>108</v>
      </c>
      <c r="B119" s="43">
        <v>315</v>
      </c>
      <c r="C119" s="44">
        <v>0.96499999999999997</v>
      </c>
      <c r="D119" s="44">
        <v>0.96700000000000008</v>
      </c>
      <c r="E119" s="44">
        <v>0.96599999999999997</v>
      </c>
      <c r="F119" s="44">
        <v>0.95400000000000007</v>
      </c>
    </row>
    <row r="120" spans="1:6">
      <c r="A120" s="39" t="s">
        <v>108</v>
      </c>
      <c r="B120" s="45">
        <v>355</v>
      </c>
      <c r="C120" s="44">
        <v>0.96499999999999997</v>
      </c>
      <c r="D120" s="44">
        <v>0.96700000000000008</v>
      </c>
      <c r="E120" s="44">
        <v>0.96599999999999997</v>
      </c>
      <c r="F120" s="44">
        <v>0.95400000000000007</v>
      </c>
    </row>
    <row r="121" spans="1:6">
      <c r="A121" s="39" t="s">
        <v>108</v>
      </c>
      <c r="B121" s="45">
        <v>375</v>
      </c>
      <c r="C121" s="41">
        <v>0.96499999999999997</v>
      </c>
      <c r="D121" s="41">
        <v>0.96700000000000008</v>
      </c>
      <c r="E121" s="41">
        <v>0.96599999999999997</v>
      </c>
      <c r="F121" s="41">
        <v>0.95400000000000007</v>
      </c>
    </row>
    <row r="122" spans="1:6">
      <c r="A122" s="39" t="s">
        <v>108</v>
      </c>
      <c r="B122" s="43">
        <v>1000</v>
      </c>
      <c r="C122" s="44">
        <v>0.96499999999999997</v>
      </c>
      <c r="D122" s="44">
        <v>0.96700000000000008</v>
      </c>
      <c r="E122" s="44">
        <v>0.96599999999999997</v>
      </c>
      <c r="F122" s="44">
        <v>0.95400000000000007</v>
      </c>
    </row>
  </sheetData>
  <sheetProtection algorithmName="SHA-512" hashValue="voSU4aSAENsnDw/Q5HpoA44e0HqkHyO+9aZSxOLqsx5oFiinP8KnuqSmUXoGqfLSBpvArr8PiVf231z9IQ+bYQ==" saltValue="WHm8Q1E1PWGyMoaSRLt2WQ==" spinCount="100000" sheet="1" objects="1" scenarios="1"/>
  <phoneticPr fontId="3"/>
  <pageMargins left="0.7" right="0.7"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5410E-6E35-46D0-958B-9BBE0FB53A53}">
  <sheetPr codeName="Sheet14"/>
  <dimension ref="B2:Q35"/>
  <sheetViews>
    <sheetView topLeftCell="B1" workbookViewId="0">
      <selection activeCell="N4" sqref="N4"/>
    </sheetView>
  </sheetViews>
  <sheetFormatPr defaultRowHeight="18.75"/>
  <cols>
    <col min="1" max="1" width="3" style="39" customWidth="1"/>
    <col min="2" max="4" width="17.5" style="39" customWidth="1"/>
    <col min="5" max="5" width="3" style="39" customWidth="1"/>
    <col min="6" max="8" width="17.5" style="39" customWidth="1"/>
    <col min="9" max="9" width="3" style="39" customWidth="1"/>
    <col min="10" max="10" width="8.125" style="42" customWidth="1"/>
    <col min="11" max="11" width="8.125" style="53" customWidth="1"/>
    <col min="12" max="12" width="1.5" style="53" customWidth="1"/>
    <col min="13" max="14" width="8.125" style="53" customWidth="1"/>
    <col min="15" max="15" width="1.5" style="53" customWidth="1"/>
    <col min="16" max="17" width="8.125" style="53" customWidth="1"/>
    <col min="18" max="16384" width="9" style="39"/>
  </cols>
  <sheetData>
    <row r="2" spans="2:17">
      <c r="B2" s="1204" t="s">
        <v>109</v>
      </c>
      <c r="C2" s="1204"/>
      <c r="D2" s="1204"/>
      <c r="E2" s="46"/>
      <c r="F2" s="1204" t="s">
        <v>110</v>
      </c>
      <c r="G2" s="1204"/>
      <c r="H2" s="1204"/>
      <c r="J2" s="1205" t="s">
        <v>111</v>
      </c>
      <c r="K2" s="1205"/>
      <c r="L2" s="1205"/>
      <c r="M2" s="1205"/>
      <c r="N2" s="1205"/>
      <c r="O2" s="1205"/>
      <c r="P2" s="1205"/>
      <c r="Q2" s="1205"/>
    </row>
    <row r="3" spans="2:17">
      <c r="B3" s="47" t="s">
        <v>112</v>
      </c>
      <c r="C3" s="47" t="s">
        <v>113</v>
      </c>
      <c r="D3" s="47" t="s">
        <v>114</v>
      </c>
      <c r="E3" s="46"/>
      <c r="F3" s="47" t="s">
        <v>115</v>
      </c>
      <c r="G3" s="47" t="s">
        <v>113</v>
      </c>
      <c r="H3" s="47" t="s">
        <v>114</v>
      </c>
      <c r="J3" s="47" t="s">
        <v>19</v>
      </c>
      <c r="K3" s="48" t="s">
        <v>116</v>
      </c>
      <c r="L3" s="49"/>
      <c r="M3" s="48" t="s">
        <v>19</v>
      </c>
      <c r="N3" s="48" t="s">
        <v>116</v>
      </c>
      <c r="O3" s="49"/>
      <c r="P3" s="48" t="s">
        <v>19</v>
      </c>
      <c r="Q3" s="48" t="s">
        <v>116</v>
      </c>
    </row>
    <row r="4" spans="2:17">
      <c r="B4" s="50" t="s">
        <v>117</v>
      </c>
      <c r="C4" s="50" t="s">
        <v>118</v>
      </c>
      <c r="D4" s="50" t="s">
        <v>119</v>
      </c>
      <c r="E4" s="46"/>
      <c r="F4" s="50" t="s">
        <v>120</v>
      </c>
      <c r="G4" s="50" t="s">
        <v>121</v>
      </c>
      <c r="H4" s="50" t="s">
        <v>122</v>
      </c>
      <c r="J4" s="51">
        <v>1</v>
      </c>
      <c r="K4" s="52">
        <v>900</v>
      </c>
      <c r="M4" s="52">
        <v>10.6</v>
      </c>
      <c r="N4" s="52">
        <v>9500</v>
      </c>
      <c r="P4" s="52">
        <v>67</v>
      </c>
      <c r="Q4" s="52">
        <v>60000</v>
      </c>
    </row>
    <row r="5" spans="2:17">
      <c r="B5" s="50" t="s">
        <v>123</v>
      </c>
      <c r="C5" s="50" t="s">
        <v>124</v>
      </c>
      <c r="D5" s="50" t="s">
        <v>125</v>
      </c>
      <c r="E5" s="46"/>
      <c r="F5" s="50" t="s">
        <v>126</v>
      </c>
      <c r="G5" s="50" t="s">
        <v>127</v>
      </c>
      <c r="H5" s="50" t="s">
        <v>128</v>
      </c>
      <c r="J5" s="51">
        <v>1.1000000000000001</v>
      </c>
      <c r="K5" s="52">
        <v>1000</v>
      </c>
      <c r="M5" s="52">
        <v>11.2</v>
      </c>
      <c r="N5" s="52">
        <v>10000</v>
      </c>
      <c r="P5" s="52">
        <v>71</v>
      </c>
      <c r="Q5" s="52">
        <v>63000</v>
      </c>
    </row>
    <row r="6" spans="2:17">
      <c r="B6" s="50" t="s">
        <v>126</v>
      </c>
      <c r="C6" s="50" t="s">
        <v>127</v>
      </c>
      <c r="D6" s="50" t="s">
        <v>129</v>
      </c>
      <c r="E6" s="46"/>
      <c r="F6" s="50" t="s">
        <v>130</v>
      </c>
      <c r="G6" s="50" t="s">
        <v>131</v>
      </c>
      <c r="H6" s="50" t="s">
        <v>132</v>
      </c>
      <c r="J6" s="51">
        <v>1.2</v>
      </c>
      <c r="K6" s="52">
        <v>1120</v>
      </c>
      <c r="M6" s="52">
        <v>11.8</v>
      </c>
      <c r="N6" s="52">
        <v>10600</v>
      </c>
      <c r="P6" s="52">
        <v>75</v>
      </c>
      <c r="Q6" s="52">
        <v>67000</v>
      </c>
    </row>
    <row r="7" spans="2:17">
      <c r="B7" s="50" t="s">
        <v>133</v>
      </c>
      <c r="C7" s="50" t="s">
        <v>134</v>
      </c>
      <c r="D7" s="50" t="s">
        <v>132</v>
      </c>
      <c r="E7" s="46"/>
      <c r="F7" s="50" t="s">
        <v>135</v>
      </c>
      <c r="G7" s="50" t="s">
        <v>136</v>
      </c>
      <c r="H7" s="50" t="s">
        <v>137</v>
      </c>
      <c r="J7" s="51">
        <v>1.4</v>
      </c>
      <c r="K7" s="52">
        <v>1250</v>
      </c>
      <c r="M7" s="52">
        <v>12.5</v>
      </c>
      <c r="N7" s="52">
        <v>11200</v>
      </c>
      <c r="P7" s="52">
        <v>80</v>
      </c>
      <c r="Q7" s="52">
        <v>71000</v>
      </c>
    </row>
    <row r="8" spans="2:17">
      <c r="B8" s="50" t="s">
        <v>130</v>
      </c>
      <c r="C8" s="50" t="s">
        <v>131</v>
      </c>
      <c r="D8" s="50" t="s">
        <v>137</v>
      </c>
      <c r="E8" s="46"/>
      <c r="F8" s="50" t="s">
        <v>138</v>
      </c>
      <c r="G8" s="50" t="s">
        <v>139</v>
      </c>
      <c r="H8" s="50" t="s">
        <v>140</v>
      </c>
      <c r="J8" s="51">
        <v>1.6</v>
      </c>
      <c r="K8" s="52">
        <v>1400</v>
      </c>
      <c r="M8" s="52">
        <v>13.2</v>
      </c>
      <c r="N8" s="52">
        <v>11800</v>
      </c>
      <c r="P8" s="52">
        <v>85</v>
      </c>
      <c r="Q8" s="52">
        <v>75000</v>
      </c>
    </row>
    <row r="9" spans="2:17">
      <c r="B9" s="50" t="s">
        <v>141</v>
      </c>
      <c r="C9" s="50" t="s">
        <v>142</v>
      </c>
      <c r="D9" s="50" t="s">
        <v>140</v>
      </c>
      <c r="E9" s="46"/>
      <c r="F9" s="50" t="s">
        <v>143</v>
      </c>
      <c r="G9" s="50" t="s">
        <v>144</v>
      </c>
      <c r="H9" s="50" t="s">
        <v>145</v>
      </c>
      <c r="J9" s="51">
        <v>1.8</v>
      </c>
      <c r="K9" s="52">
        <v>1600</v>
      </c>
      <c r="M9" s="52">
        <v>14</v>
      </c>
      <c r="N9" s="52">
        <v>12500</v>
      </c>
      <c r="P9" s="52">
        <v>90</v>
      </c>
      <c r="Q9" s="52">
        <v>80000</v>
      </c>
    </row>
    <row r="10" spans="2:17">
      <c r="B10" s="50" t="s">
        <v>135</v>
      </c>
      <c r="C10" s="50" t="s">
        <v>136</v>
      </c>
      <c r="D10" s="50" t="s">
        <v>146</v>
      </c>
      <c r="E10" s="46"/>
      <c r="F10" s="50" t="s">
        <v>147</v>
      </c>
      <c r="G10" s="50" t="s">
        <v>148</v>
      </c>
      <c r="H10" s="50" t="s">
        <v>149</v>
      </c>
      <c r="J10" s="51">
        <v>2</v>
      </c>
      <c r="K10" s="52">
        <v>1800</v>
      </c>
      <c r="M10" s="52">
        <v>15</v>
      </c>
      <c r="N10" s="52">
        <v>13200</v>
      </c>
      <c r="P10" s="52">
        <v>95</v>
      </c>
      <c r="Q10" s="52">
        <v>85000</v>
      </c>
    </row>
    <row r="11" spans="2:17">
      <c r="B11" s="50" t="s">
        <v>138</v>
      </c>
      <c r="C11" s="50" t="s">
        <v>139</v>
      </c>
      <c r="D11" s="50" t="s">
        <v>145</v>
      </c>
      <c r="E11" s="46"/>
      <c r="F11" s="50" t="s">
        <v>150</v>
      </c>
      <c r="G11" s="50" t="s">
        <v>151</v>
      </c>
      <c r="H11" s="50" t="s">
        <v>152</v>
      </c>
      <c r="J11" s="51">
        <v>2.2000000000000002</v>
      </c>
      <c r="K11" s="52">
        <v>2000</v>
      </c>
      <c r="M11" s="52">
        <v>16</v>
      </c>
      <c r="N11" s="52">
        <v>14000</v>
      </c>
      <c r="P11" s="52">
        <v>100</v>
      </c>
      <c r="Q11" s="52">
        <v>90000</v>
      </c>
    </row>
    <row r="12" spans="2:17">
      <c r="B12" s="50" t="s">
        <v>153</v>
      </c>
      <c r="C12" s="50" t="s">
        <v>154</v>
      </c>
      <c r="D12" s="50" t="s">
        <v>155</v>
      </c>
      <c r="E12" s="46"/>
      <c r="F12" s="50" t="s">
        <v>156</v>
      </c>
      <c r="G12" s="50" t="s">
        <v>157</v>
      </c>
      <c r="H12" s="50" t="s">
        <v>158</v>
      </c>
      <c r="J12" s="51">
        <v>2.5</v>
      </c>
      <c r="K12" s="52">
        <v>2240</v>
      </c>
      <c r="M12" s="52">
        <v>17</v>
      </c>
      <c r="N12" s="52">
        <v>15000</v>
      </c>
      <c r="P12" s="52">
        <v>106</v>
      </c>
      <c r="Q12" s="52">
        <v>95000</v>
      </c>
    </row>
    <row r="13" spans="2:17">
      <c r="B13" s="50" t="s">
        <v>143</v>
      </c>
      <c r="C13" s="50" t="s">
        <v>144</v>
      </c>
      <c r="D13" s="50" t="s">
        <v>149</v>
      </c>
      <c r="E13" s="46"/>
      <c r="F13" s="50" t="s">
        <v>159</v>
      </c>
      <c r="G13" s="50" t="s">
        <v>160</v>
      </c>
      <c r="H13" s="50" t="s">
        <v>161</v>
      </c>
      <c r="J13" s="51">
        <v>2.8</v>
      </c>
      <c r="K13" s="52">
        <v>2500</v>
      </c>
      <c r="M13" s="52">
        <v>18</v>
      </c>
      <c r="N13" s="52">
        <v>16000</v>
      </c>
      <c r="P13" s="52">
        <v>112</v>
      </c>
      <c r="Q13" s="52">
        <v>100000</v>
      </c>
    </row>
    <row r="14" spans="2:17">
      <c r="B14" s="50" t="s">
        <v>162</v>
      </c>
      <c r="C14" s="50" t="s">
        <v>163</v>
      </c>
      <c r="D14" s="50" t="s">
        <v>164</v>
      </c>
      <c r="E14" s="46"/>
      <c r="F14" s="50" t="s">
        <v>165</v>
      </c>
      <c r="G14" s="50" t="s">
        <v>166</v>
      </c>
      <c r="H14" s="50" t="s">
        <v>167</v>
      </c>
      <c r="J14" s="51">
        <v>3</v>
      </c>
      <c r="K14" s="52">
        <v>2650</v>
      </c>
      <c r="M14" s="52">
        <v>19</v>
      </c>
      <c r="N14" s="52">
        <v>17000</v>
      </c>
      <c r="P14" s="52">
        <v>118</v>
      </c>
      <c r="Q14" s="52">
        <v>106000</v>
      </c>
    </row>
    <row r="15" spans="2:17">
      <c r="B15" s="50" t="s">
        <v>168</v>
      </c>
      <c r="C15" s="50" t="s">
        <v>169</v>
      </c>
      <c r="D15" s="50" t="s">
        <v>152</v>
      </c>
      <c r="E15" s="46"/>
      <c r="F15" s="50" t="s">
        <v>170</v>
      </c>
      <c r="G15" s="50" t="s">
        <v>171</v>
      </c>
      <c r="H15" s="50" t="s">
        <v>172</v>
      </c>
      <c r="J15" s="51">
        <v>3.2</v>
      </c>
      <c r="K15" s="52">
        <v>2800</v>
      </c>
      <c r="M15" s="52">
        <v>20</v>
      </c>
      <c r="N15" s="52">
        <v>18000</v>
      </c>
      <c r="P15" s="52">
        <v>125</v>
      </c>
      <c r="Q15" s="52">
        <v>112000</v>
      </c>
    </row>
    <row r="16" spans="2:17">
      <c r="B16" s="50" t="s">
        <v>173</v>
      </c>
      <c r="C16" s="50" t="s">
        <v>174</v>
      </c>
      <c r="D16" s="50" t="s">
        <v>158</v>
      </c>
      <c r="E16" s="46"/>
      <c r="F16" s="50" t="s">
        <v>175</v>
      </c>
      <c r="G16" s="50" t="s">
        <v>176</v>
      </c>
      <c r="H16" s="50" t="s">
        <v>177</v>
      </c>
      <c r="J16" s="51">
        <v>3.4</v>
      </c>
      <c r="K16" s="52">
        <v>3000</v>
      </c>
      <c r="M16" s="52">
        <v>21.2</v>
      </c>
      <c r="N16" s="52">
        <v>19000</v>
      </c>
      <c r="P16" s="52">
        <v>132</v>
      </c>
      <c r="Q16" s="52">
        <v>118000</v>
      </c>
    </row>
    <row r="17" spans="2:17">
      <c r="B17" s="50" t="s">
        <v>156</v>
      </c>
      <c r="C17" s="50" t="s">
        <v>157</v>
      </c>
      <c r="D17" s="50" t="s">
        <v>178</v>
      </c>
      <c r="E17" s="46"/>
      <c r="F17" s="50" t="s">
        <v>179</v>
      </c>
      <c r="G17" s="50" t="s">
        <v>180</v>
      </c>
      <c r="H17" s="50" t="s">
        <v>181</v>
      </c>
      <c r="J17" s="51">
        <v>3.6</v>
      </c>
      <c r="K17" s="52">
        <v>3150</v>
      </c>
      <c r="M17" s="52">
        <v>22.4</v>
      </c>
      <c r="N17" s="52">
        <v>20000</v>
      </c>
      <c r="P17" s="52">
        <v>140</v>
      </c>
      <c r="Q17" s="52">
        <v>125000</v>
      </c>
    </row>
    <row r="18" spans="2:17">
      <c r="B18" s="50" t="s">
        <v>182</v>
      </c>
      <c r="C18" s="50" t="s">
        <v>183</v>
      </c>
      <c r="D18" s="50" t="s">
        <v>184</v>
      </c>
      <c r="E18" s="46"/>
      <c r="F18" s="50" t="s">
        <v>185</v>
      </c>
      <c r="G18" s="50" t="s">
        <v>186</v>
      </c>
      <c r="H18" s="50" t="s">
        <v>187</v>
      </c>
      <c r="J18" s="51">
        <v>3.8</v>
      </c>
      <c r="K18" s="52">
        <v>3350</v>
      </c>
      <c r="M18" s="52">
        <v>23.6</v>
      </c>
      <c r="N18" s="52">
        <v>21200</v>
      </c>
      <c r="P18" s="52">
        <v>150</v>
      </c>
      <c r="Q18" s="52">
        <v>132000</v>
      </c>
    </row>
    <row r="19" spans="2:17">
      <c r="B19" s="50" t="s">
        <v>188</v>
      </c>
      <c r="C19" s="50" t="s">
        <v>189</v>
      </c>
      <c r="D19" s="50" t="s">
        <v>161</v>
      </c>
      <c r="E19" s="46"/>
      <c r="F19" s="50" t="s">
        <v>190</v>
      </c>
      <c r="G19" s="50" t="s">
        <v>191</v>
      </c>
      <c r="H19" s="50" t="s">
        <v>192</v>
      </c>
      <c r="J19" s="51">
        <v>4</v>
      </c>
      <c r="K19" s="52">
        <v>3550</v>
      </c>
      <c r="M19" s="52">
        <v>25</v>
      </c>
      <c r="N19" s="52">
        <v>22400</v>
      </c>
      <c r="P19" s="52">
        <v>160</v>
      </c>
      <c r="Q19" s="52">
        <v>140000</v>
      </c>
    </row>
    <row r="20" spans="2:17">
      <c r="B20" s="50" t="s">
        <v>193</v>
      </c>
      <c r="C20" s="50" t="s">
        <v>194</v>
      </c>
      <c r="D20" s="50" t="s">
        <v>167</v>
      </c>
      <c r="E20" s="46"/>
      <c r="F20" s="50" t="s">
        <v>195</v>
      </c>
      <c r="G20" s="50" t="s">
        <v>196</v>
      </c>
      <c r="H20" s="50" t="s">
        <v>197</v>
      </c>
      <c r="J20" s="51">
        <v>4.2</v>
      </c>
      <c r="K20" s="52">
        <v>3750</v>
      </c>
      <c r="M20" s="52">
        <v>26.5</v>
      </c>
      <c r="N20" s="52">
        <v>23600</v>
      </c>
      <c r="P20" s="52">
        <v>170</v>
      </c>
      <c r="Q20" s="52">
        <v>150000</v>
      </c>
    </row>
    <row r="21" spans="2:17">
      <c r="B21" s="50" t="s">
        <v>198</v>
      </c>
      <c r="C21" s="50" t="s">
        <v>199</v>
      </c>
      <c r="D21" s="50" t="s">
        <v>200</v>
      </c>
      <c r="E21" s="46"/>
      <c r="F21" s="50" t="s">
        <v>201</v>
      </c>
      <c r="G21" s="50" t="s">
        <v>202</v>
      </c>
      <c r="H21" s="50" t="s">
        <v>203</v>
      </c>
      <c r="J21" s="51">
        <v>4.5</v>
      </c>
      <c r="K21" s="52">
        <v>4000</v>
      </c>
      <c r="M21" s="52">
        <v>28</v>
      </c>
      <c r="N21" s="52">
        <v>25000</v>
      </c>
      <c r="P21" s="52">
        <v>180</v>
      </c>
      <c r="Q21" s="52">
        <v>160000</v>
      </c>
    </row>
    <row r="22" spans="2:17">
      <c r="B22" s="50" t="s">
        <v>204</v>
      </c>
      <c r="C22" s="50" t="s">
        <v>205</v>
      </c>
      <c r="D22" s="50" t="s">
        <v>172</v>
      </c>
      <c r="E22" s="46"/>
      <c r="F22" s="50" t="s">
        <v>206</v>
      </c>
      <c r="G22" s="50" t="s">
        <v>207</v>
      </c>
      <c r="H22" s="50" t="s">
        <v>208</v>
      </c>
      <c r="J22" s="51">
        <v>4.8</v>
      </c>
      <c r="K22" s="52">
        <v>4250</v>
      </c>
      <c r="M22" s="52">
        <v>30</v>
      </c>
      <c r="N22" s="52">
        <v>26500</v>
      </c>
      <c r="P22" s="52">
        <v>190</v>
      </c>
      <c r="Q22" s="52">
        <v>170000</v>
      </c>
    </row>
    <row r="23" spans="2:17">
      <c r="B23" s="50" t="s">
        <v>209</v>
      </c>
      <c r="C23" s="50" t="s">
        <v>210</v>
      </c>
      <c r="D23" s="50" t="s">
        <v>211</v>
      </c>
      <c r="E23" s="46"/>
      <c r="F23" s="50" t="s">
        <v>212</v>
      </c>
      <c r="G23" s="50" t="s">
        <v>213</v>
      </c>
      <c r="H23" s="50" t="s">
        <v>214</v>
      </c>
      <c r="J23" s="51">
        <v>5</v>
      </c>
      <c r="K23" s="52">
        <v>4500</v>
      </c>
      <c r="M23" s="52">
        <v>31.5</v>
      </c>
      <c r="N23" s="52">
        <v>28000</v>
      </c>
      <c r="P23" s="52">
        <v>200</v>
      </c>
      <c r="Q23" s="52">
        <v>180000</v>
      </c>
    </row>
    <row r="24" spans="2:17">
      <c r="B24" s="50" t="s">
        <v>215</v>
      </c>
      <c r="C24" s="50" t="s">
        <v>216</v>
      </c>
      <c r="D24" s="50" t="s">
        <v>177</v>
      </c>
      <c r="E24" s="46"/>
      <c r="F24" s="50" t="s">
        <v>217</v>
      </c>
      <c r="G24" s="50" t="s">
        <v>218</v>
      </c>
      <c r="H24" s="50" t="s">
        <v>219</v>
      </c>
      <c r="J24" s="51">
        <v>5.3</v>
      </c>
      <c r="K24" s="52">
        <v>4750</v>
      </c>
      <c r="M24" s="52">
        <v>33.5</v>
      </c>
      <c r="N24" s="52">
        <v>30000</v>
      </c>
      <c r="P24" s="52">
        <v>212</v>
      </c>
      <c r="Q24" s="52">
        <v>190000</v>
      </c>
    </row>
    <row r="25" spans="2:17">
      <c r="B25" s="50" t="s">
        <v>175</v>
      </c>
      <c r="C25" s="50" t="s">
        <v>176</v>
      </c>
      <c r="D25" s="50" t="s">
        <v>181</v>
      </c>
      <c r="E25" s="46"/>
      <c r="F25" s="46"/>
      <c r="G25" s="46"/>
      <c r="H25" s="46"/>
      <c r="J25" s="51">
        <v>5.6</v>
      </c>
      <c r="K25" s="52">
        <v>5000</v>
      </c>
      <c r="M25" s="52">
        <v>35.5</v>
      </c>
      <c r="N25" s="52">
        <v>31500</v>
      </c>
      <c r="P25" s="52">
        <v>224</v>
      </c>
      <c r="Q25" s="52">
        <v>200000</v>
      </c>
    </row>
    <row r="26" spans="2:17">
      <c r="B26" s="50" t="s">
        <v>179</v>
      </c>
      <c r="C26" s="50" t="s">
        <v>180</v>
      </c>
      <c r="D26" s="50" t="s">
        <v>187</v>
      </c>
      <c r="E26" s="46"/>
      <c r="F26" s="46"/>
      <c r="G26" s="46"/>
      <c r="H26" s="46"/>
      <c r="J26" s="51">
        <v>6</v>
      </c>
      <c r="K26" s="52">
        <v>5300</v>
      </c>
      <c r="M26" s="52">
        <v>37.5</v>
      </c>
      <c r="N26" s="52">
        <v>33500</v>
      </c>
      <c r="P26" s="52">
        <v>236</v>
      </c>
      <c r="Q26" s="52">
        <v>212000</v>
      </c>
    </row>
    <row r="27" spans="2:17">
      <c r="B27" s="50" t="s">
        <v>220</v>
      </c>
      <c r="C27" s="50" t="s">
        <v>221</v>
      </c>
      <c r="D27" s="50" t="s">
        <v>192</v>
      </c>
      <c r="E27" s="46"/>
      <c r="F27" s="46"/>
      <c r="G27" s="46"/>
      <c r="H27" s="46"/>
      <c r="J27" s="51">
        <v>6.3</v>
      </c>
      <c r="K27" s="52">
        <v>5600</v>
      </c>
      <c r="M27" s="52">
        <v>40</v>
      </c>
      <c r="N27" s="52">
        <v>35500</v>
      </c>
      <c r="P27" s="52">
        <v>250</v>
      </c>
      <c r="Q27" s="52">
        <v>224000</v>
      </c>
    </row>
    <row r="28" spans="2:17">
      <c r="B28" s="50" t="s">
        <v>222</v>
      </c>
      <c r="C28" s="50" t="s">
        <v>223</v>
      </c>
      <c r="D28" s="50" t="s">
        <v>197</v>
      </c>
      <c r="E28" s="46"/>
      <c r="F28" s="46"/>
      <c r="G28" s="46"/>
      <c r="H28" s="46"/>
      <c r="J28" s="51">
        <v>6.7</v>
      </c>
      <c r="K28" s="52">
        <v>6000</v>
      </c>
      <c r="M28" s="52">
        <v>42.5</v>
      </c>
      <c r="N28" s="52">
        <v>37500</v>
      </c>
      <c r="P28" s="52">
        <v>265</v>
      </c>
      <c r="Q28" s="52">
        <v>236000</v>
      </c>
    </row>
    <row r="29" spans="2:17">
      <c r="B29" s="50" t="s">
        <v>195</v>
      </c>
      <c r="C29" s="50" t="s">
        <v>196</v>
      </c>
      <c r="D29" s="50" t="s">
        <v>203</v>
      </c>
      <c r="E29" s="46"/>
      <c r="F29" s="46"/>
      <c r="G29" s="46"/>
      <c r="H29" s="46"/>
      <c r="J29" s="51">
        <v>7.1</v>
      </c>
      <c r="K29" s="52">
        <v>6300</v>
      </c>
      <c r="M29" s="52">
        <v>45</v>
      </c>
      <c r="N29" s="52">
        <v>40000</v>
      </c>
      <c r="P29" s="52">
        <v>280</v>
      </c>
      <c r="Q29" s="52">
        <v>250000</v>
      </c>
    </row>
    <row r="30" spans="2:17">
      <c r="B30" s="50" t="s">
        <v>224</v>
      </c>
      <c r="C30" s="50" t="s">
        <v>225</v>
      </c>
      <c r="D30" s="50" t="s">
        <v>208</v>
      </c>
      <c r="E30" s="46"/>
      <c r="F30" s="46"/>
      <c r="G30" s="46"/>
      <c r="H30" s="46"/>
      <c r="J30" s="51">
        <v>7.5</v>
      </c>
      <c r="K30" s="52">
        <v>6700</v>
      </c>
      <c r="M30" s="52">
        <v>47.5</v>
      </c>
      <c r="N30" s="52">
        <v>42500</v>
      </c>
      <c r="P30" s="52">
        <v>300</v>
      </c>
      <c r="Q30" s="52">
        <v>265000</v>
      </c>
    </row>
    <row r="31" spans="2:17">
      <c r="B31" s="50" t="s">
        <v>226</v>
      </c>
      <c r="C31" s="50" t="s">
        <v>227</v>
      </c>
      <c r="D31" s="50" t="s">
        <v>214</v>
      </c>
      <c r="E31" s="46"/>
      <c r="F31" s="46"/>
      <c r="G31" s="46"/>
      <c r="H31" s="46"/>
      <c r="J31" s="51">
        <v>8</v>
      </c>
      <c r="K31" s="52">
        <v>7100</v>
      </c>
      <c r="M31" s="52">
        <v>50</v>
      </c>
      <c r="N31" s="52">
        <v>45000</v>
      </c>
      <c r="P31" s="52">
        <v>315</v>
      </c>
      <c r="Q31" s="52">
        <v>280000</v>
      </c>
    </row>
    <row r="32" spans="2:17">
      <c r="B32" s="50" t="s">
        <v>212</v>
      </c>
      <c r="C32" s="50" t="s">
        <v>213</v>
      </c>
      <c r="D32" s="50" t="s">
        <v>219</v>
      </c>
      <c r="E32" s="46"/>
      <c r="F32" s="46"/>
      <c r="G32" s="46"/>
      <c r="H32" s="46"/>
      <c r="J32" s="51">
        <v>8.5</v>
      </c>
      <c r="K32" s="52">
        <v>7500</v>
      </c>
      <c r="M32" s="52">
        <v>53</v>
      </c>
      <c r="N32" s="52">
        <v>47500</v>
      </c>
      <c r="P32" s="52">
        <v>335</v>
      </c>
      <c r="Q32" s="52">
        <v>300000</v>
      </c>
    </row>
    <row r="33" spans="10:17">
      <c r="J33" s="51">
        <v>9</v>
      </c>
      <c r="K33" s="52">
        <v>8000</v>
      </c>
      <c r="M33" s="52">
        <v>56</v>
      </c>
      <c r="N33" s="52">
        <v>50000</v>
      </c>
      <c r="P33" s="52">
        <v>355</v>
      </c>
      <c r="Q33" s="52">
        <v>315000</v>
      </c>
    </row>
    <row r="34" spans="10:17">
      <c r="J34" s="51">
        <v>9.5</v>
      </c>
      <c r="K34" s="52">
        <v>8500</v>
      </c>
      <c r="M34" s="52">
        <v>60</v>
      </c>
      <c r="N34" s="52">
        <v>53000</v>
      </c>
      <c r="P34" s="52">
        <v>375</v>
      </c>
      <c r="Q34" s="52">
        <v>335000</v>
      </c>
    </row>
    <row r="35" spans="10:17">
      <c r="J35" s="51">
        <v>10</v>
      </c>
      <c r="K35" s="52">
        <v>9000</v>
      </c>
      <c r="L35" s="54"/>
      <c r="M35" s="52">
        <v>63</v>
      </c>
      <c r="N35" s="52">
        <v>56000</v>
      </c>
      <c r="O35" s="54"/>
      <c r="P35" s="52">
        <v>400</v>
      </c>
      <c r="Q35" s="52">
        <v>355000</v>
      </c>
    </row>
  </sheetData>
  <mergeCells count="3">
    <mergeCell ref="B2:D2"/>
    <mergeCell ref="F2:H2"/>
    <mergeCell ref="J2:Q2"/>
  </mergeCells>
  <phoneticPr fontId="3"/>
  <pageMargins left="0.7" right="0.7" top="0.75" bottom="0.75" header="0.3" footer="0.3"/>
  <pageSetup paperSize="9" orientation="portrait"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8CF59-8360-488F-A86C-F7D1F5814B4A}">
  <sheetPr codeName="Sheet15"/>
  <dimension ref="A1:I54"/>
  <sheetViews>
    <sheetView topLeftCell="A16" workbookViewId="0"/>
  </sheetViews>
  <sheetFormatPr defaultRowHeight="13.5"/>
  <cols>
    <col min="4" max="5" width="7.625" customWidth="1"/>
  </cols>
  <sheetData>
    <row r="1" spans="1:9">
      <c r="A1" t="s">
        <v>246</v>
      </c>
    </row>
    <row r="16" spans="1:9">
      <c r="A16" s="56" t="s">
        <v>232</v>
      </c>
      <c r="B16" s="56"/>
      <c r="C16" s="56"/>
      <c r="D16" s="56"/>
      <c r="E16" s="56"/>
      <c r="F16" s="56"/>
      <c r="G16" s="56"/>
      <c r="H16" s="56"/>
      <c r="I16" s="55"/>
    </row>
    <row r="18" spans="1:6">
      <c r="A18" t="s">
        <v>233</v>
      </c>
    </row>
    <row r="19" spans="1:6">
      <c r="A19" t="s">
        <v>234</v>
      </c>
    </row>
    <row r="21" spans="1:6">
      <c r="A21" t="s">
        <v>261</v>
      </c>
    </row>
    <row r="22" spans="1:6">
      <c r="A22" t="s">
        <v>260</v>
      </c>
    </row>
    <row r="23" spans="1:6">
      <c r="A23" t="s">
        <v>235</v>
      </c>
    </row>
    <row r="24" spans="1:6">
      <c r="A24" s="1206" t="s">
        <v>236</v>
      </c>
      <c r="B24" s="1206"/>
      <c r="C24" s="1206" t="s">
        <v>237</v>
      </c>
      <c r="D24" s="1206"/>
      <c r="E24" s="1206" t="s">
        <v>238</v>
      </c>
      <c r="F24" s="1206"/>
    </row>
    <row r="25" spans="1:6">
      <c r="A25" s="1206" t="s">
        <v>239</v>
      </c>
      <c r="B25" s="1206"/>
      <c r="C25" s="1206">
        <v>2</v>
      </c>
      <c r="D25" s="1206"/>
      <c r="E25" s="1206">
        <v>50</v>
      </c>
      <c r="F25" s="1206"/>
    </row>
    <row r="26" spans="1:6">
      <c r="A26" s="1206" t="s">
        <v>240</v>
      </c>
      <c r="B26" s="1206"/>
      <c r="C26" s="1206">
        <v>2</v>
      </c>
      <c r="D26" s="1206"/>
      <c r="E26" s="1206">
        <v>80</v>
      </c>
      <c r="F26" s="1206"/>
    </row>
    <row r="27" spans="1:6">
      <c r="A27" s="1206" t="s">
        <v>241</v>
      </c>
      <c r="B27" s="1206"/>
      <c r="C27" s="1206">
        <v>1</v>
      </c>
      <c r="D27" s="1206"/>
      <c r="E27" s="1206">
        <v>50</v>
      </c>
      <c r="F27" s="1206"/>
    </row>
    <row r="28" spans="1:6">
      <c r="A28" s="1206" t="s">
        <v>242</v>
      </c>
      <c r="B28" s="1206"/>
      <c r="C28" s="1206">
        <v>2</v>
      </c>
      <c r="D28" s="1206"/>
      <c r="E28" s="1206">
        <v>80</v>
      </c>
      <c r="F28" s="1206"/>
    </row>
    <row r="29" spans="1:6">
      <c r="A29" s="1206" t="s">
        <v>243</v>
      </c>
      <c r="B29" s="1206"/>
      <c r="C29" s="1206">
        <v>4</v>
      </c>
      <c r="D29" s="1206"/>
      <c r="E29" s="1206">
        <v>50</v>
      </c>
      <c r="F29" s="1206"/>
    </row>
    <row r="30" spans="1:6">
      <c r="A30" s="1206" t="s">
        <v>244</v>
      </c>
      <c r="B30" s="1206"/>
      <c r="C30" s="1206">
        <v>11</v>
      </c>
      <c r="D30" s="1206"/>
      <c r="E30" s="1206" t="s">
        <v>245</v>
      </c>
      <c r="F30" s="1206"/>
    </row>
    <row r="32" spans="1:6">
      <c r="A32" t="s">
        <v>247</v>
      </c>
    </row>
    <row r="33" spans="1:7">
      <c r="A33" s="57" t="s">
        <v>248</v>
      </c>
      <c r="B33" s="57" t="s">
        <v>249</v>
      </c>
      <c r="C33" s="1206" t="s">
        <v>250</v>
      </c>
      <c r="D33" s="1206"/>
      <c r="E33" s="1206"/>
      <c r="F33" s="1206"/>
      <c r="G33" s="1206"/>
    </row>
    <row r="34" spans="1:7">
      <c r="A34" s="58" t="s">
        <v>251</v>
      </c>
      <c r="B34" s="57" t="s">
        <v>252</v>
      </c>
      <c r="C34" s="1206" t="s">
        <v>254</v>
      </c>
      <c r="D34" s="1206"/>
      <c r="E34" s="1206" t="s">
        <v>255</v>
      </c>
      <c r="F34" s="1206"/>
      <c r="G34" s="57" t="s">
        <v>256</v>
      </c>
    </row>
    <row r="35" spans="1:7">
      <c r="A35" s="58">
        <v>100</v>
      </c>
      <c r="B35" s="58">
        <v>120</v>
      </c>
      <c r="C35" s="1206"/>
      <c r="D35" s="1206"/>
      <c r="E35" s="1206"/>
      <c r="F35" s="1206"/>
      <c r="G35" s="57"/>
    </row>
    <row r="36" spans="1:7">
      <c r="A36" s="58">
        <v>80</v>
      </c>
      <c r="B36" s="58">
        <v>9.6</v>
      </c>
      <c r="C36" s="1206" t="s">
        <v>253</v>
      </c>
      <c r="D36" s="1206"/>
      <c r="E36" s="1206" t="s">
        <v>253</v>
      </c>
      <c r="F36" s="1206"/>
      <c r="G36" s="57">
        <v>303.8</v>
      </c>
    </row>
    <row r="37" spans="1:7">
      <c r="A37" s="58">
        <v>75</v>
      </c>
      <c r="B37" s="59">
        <v>9</v>
      </c>
      <c r="C37" s="1206"/>
      <c r="D37" s="1206"/>
      <c r="E37" s="1206"/>
      <c r="F37" s="1206"/>
      <c r="G37" s="57"/>
    </row>
    <row r="38" spans="1:7">
      <c r="A38" s="58">
        <v>70</v>
      </c>
      <c r="B38" s="58">
        <v>8.4</v>
      </c>
      <c r="C38" s="1206"/>
      <c r="D38" s="1206"/>
      <c r="E38" s="1206"/>
      <c r="F38" s="1206"/>
      <c r="G38" s="57"/>
    </row>
    <row r="39" spans="1:7">
      <c r="A39" s="58">
        <v>60</v>
      </c>
      <c r="B39" s="58">
        <v>7.2</v>
      </c>
      <c r="C39" s="1206"/>
      <c r="D39" s="1206"/>
      <c r="E39" s="1206"/>
      <c r="F39" s="1206"/>
      <c r="G39" s="57"/>
    </row>
    <row r="40" spans="1:7">
      <c r="A40" s="58">
        <v>55</v>
      </c>
      <c r="B40" s="58">
        <v>6.6</v>
      </c>
      <c r="C40" s="1206"/>
      <c r="D40" s="1206"/>
      <c r="E40" s="1206"/>
      <c r="F40" s="1206"/>
      <c r="G40" s="57"/>
    </row>
    <row r="41" spans="1:7">
      <c r="A41" s="58">
        <v>50</v>
      </c>
      <c r="B41" s="59">
        <v>6</v>
      </c>
      <c r="C41" s="1206"/>
      <c r="D41" s="1206"/>
      <c r="E41" s="1206"/>
      <c r="F41" s="1206"/>
      <c r="G41" s="57"/>
    </row>
    <row r="42" spans="1:7">
      <c r="A42" s="57" t="s">
        <v>244</v>
      </c>
      <c r="B42" s="57"/>
      <c r="C42" s="1206"/>
      <c r="D42" s="1206"/>
      <c r="E42" s="1206"/>
      <c r="F42" s="1206"/>
      <c r="G42" s="57"/>
    </row>
    <row r="44" spans="1:7">
      <c r="A44" t="s">
        <v>259</v>
      </c>
    </row>
    <row r="45" spans="1:7">
      <c r="A45" s="57" t="s">
        <v>248</v>
      </c>
      <c r="B45" s="57" t="s">
        <v>249</v>
      </c>
      <c r="C45" s="1206" t="s">
        <v>250</v>
      </c>
      <c r="D45" s="1206"/>
      <c r="E45" s="1206"/>
      <c r="F45" s="1206"/>
      <c r="G45" s="1206"/>
    </row>
    <row r="46" spans="1:7">
      <c r="A46" s="58" t="s">
        <v>251</v>
      </c>
      <c r="B46" s="57" t="s">
        <v>252</v>
      </c>
      <c r="C46" s="1206" t="s">
        <v>254</v>
      </c>
      <c r="D46" s="1206"/>
      <c r="E46" s="1206" t="s">
        <v>255</v>
      </c>
      <c r="F46" s="1206"/>
      <c r="G46" s="57" t="s">
        <v>256</v>
      </c>
    </row>
    <row r="47" spans="1:7">
      <c r="A47" s="58">
        <v>100</v>
      </c>
      <c r="B47" s="58">
        <v>120</v>
      </c>
      <c r="C47" s="1206"/>
      <c r="D47" s="1206"/>
      <c r="E47" s="1206"/>
      <c r="F47" s="1206"/>
      <c r="G47" s="57"/>
    </row>
    <row r="48" spans="1:7">
      <c r="A48" s="58">
        <v>80</v>
      </c>
      <c r="B48" s="58">
        <v>9.6</v>
      </c>
      <c r="C48" s="1206" t="s">
        <v>257</v>
      </c>
      <c r="D48" s="1206"/>
      <c r="E48" s="1206" t="s">
        <v>258</v>
      </c>
      <c r="F48" s="1206"/>
      <c r="G48" s="57">
        <v>260.2</v>
      </c>
    </row>
    <row r="49" spans="1:7">
      <c r="A49" s="58">
        <v>75</v>
      </c>
      <c r="B49" s="59">
        <v>9</v>
      </c>
      <c r="C49" s="1206"/>
      <c r="D49" s="1206"/>
      <c r="E49" s="1206"/>
      <c r="F49" s="1206"/>
      <c r="G49" s="57"/>
    </row>
    <row r="50" spans="1:7">
      <c r="A50" s="58">
        <v>70</v>
      </c>
      <c r="B50" s="58">
        <v>8.4</v>
      </c>
      <c r="C50" s="1206"/>
      <c r="D50" s="1206"/>
      <c r="E50" s="1206"/>
      <c r="F50" s="1206"/>
      <c r="G50" s="57"/>
    </row>
    <row r="51" spans="1:7">
      <c r="A51" s="58">
        <v>60</v>
      </c>
      <c r="B51" s="58">
        <v>7.2</v>
      </c>
      <c r="C51" s="1206"/>
      <c r="D51" s="1206"/>
      <c r="E51" s="1206"/>
      <c r="F51" s="1206"/>
      <c r="G51" s="57"/>
    </row>
    <row r="52" spans="1:7">
      <c r="A52" s="58">
        <v>55</v>
      </c>
      <c r="B52" s="58">
        <v>6.6</v>
      </c>
      <c r="C52" s="1206"/>
      <c r="D52" s="1206"/>
      <c r="E52" s="1206"/>
      <c r="F52" s="1206"/>
      <c r="G52" s="57"/>
    </row>
    <row r="53" spans="1:7">
      <c r="A53" s="58">
        <v>50</v>
      </c>
      <c r="B53" s="59">
        <v>6</v>
      </c>
      <c r="C53" s="1206"/>
      <c r="D53" s="1206"/>
      <c r="E53" s="1206"/>
      <c r="F53" s="1206"/>
      <c r="G53" s="57"/>
    </row>
    <row r="54" spans="1:7">
      <c r="A54" s="57" t="s">
        <v>244</v>
      </c>
      <c r="B54" s="57"/>
      <c r="C54" s="1206"/>
      <c r="D54" s="1206"/>
      <c r="E54" s="1206"/>
      <c r="F54" s="1206"/>
      <c r="G54" s="57"/>
    </row>
  </sheetData>
  <mergeCells count="59">
    <mergeCell ref="C52:D52"/>
    <mergeCell ref="E52:F52"/>
    <mergeCell ref="C53:D53"/>
    <mergeCell ref="E53:F53"/>
    <mergeCell ref="C54:D54"/>
    <mergeCell ref="E54:F54"/>
    <mergeCell ref="C49:D49"/>
    <mergeCell ref="E49:F49"/>
    <mergeCell ref="C50:D50"/>
    <mergeCell ref="E50:F50"/>
    <mergeCell ref="C51:D51"/>
    <mergeCell ref="E51:F51"/>
    <mergeCell ref="C48:D48"/>
    <mergeCell ref="E48:F48"/>
    <mergeCell ref="C40:D40"/>
    <mergeCell ref="E40:F40"/>
    <mergeCell ref="C41:D41"/>
    <mergeCell ref="E41:F41"/>
    <mergeCell ref="C42:D42"/>
    <mergeCell ref="E42:F42"/>
    <mergeCell ref="C45:G45"/>
    <mergeCell ref="C46:D46"/>
    <mergeCell ref="E46:F46"/>
    <mergeCell ref="C47:D47"/>
    <mergeCell ref="E47:F47"/>
    <mergeCell ref="C37:D37"/>
    <mergeCell ref="E37:F37"/>
    <mergeCell ref="C38:D38"/>
    <mergeCell ref="E38:F38"/>
    <mergeCell ref="C39:D39"/>
    <mergeCell ref="E39:F39"/>
    <mergeCell ref="C34:D34"/>
    <mergeCell ref="E34:F34"/>
    <mergeCell ref="C35:D35"/>
    <mergeCell ref="C36:D36"/>
    <mergeCell ref="E35:F35"/>
    <mergeCell ref="E36:F36"/>
    <mergeCell ref="E28:F28"/>
    <mergeCell ref="E29:F29"/>
    <mergeCell ref="C30:D30"/>
    <mergeCell ref="E30:F30"/>
    <mergeCell ref="C33:G33"/>
    <mergeCell ref="A28:B28"/>
    <mergeCell ref="A29:B29"/>
    <mergeCell ref="A30:B30"/>
    <mergeCell ref="C25:D25"/>
    <mergeCell ref="C26:D26"/>
    <mergeCell ref="C27:D27"/>
    <mergeCell ref="C28:D28"/>
    <mergeCell ref="C29:D29"/>
    <mergeCell ref="A27:B27"/>
    <mergeCell ref="E27:F27"/>
    <mergeCell ref="A24:B24"/>
    <mergeCell ref="C24:D24"/>
    <mergeCell ref="E24:F24"/>
    <mergeCell ref="A25:B25"/>
    <mergeCell ref="A26:B26"/>
    <mergeCell ref="E25:F25"/>
    <mergeCell ref="E26:F26"/>
  </mergeCells>
  <phoneticPr fontId="3"/>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12C93-450A-4F63-9F1B-FE8781BC37CA}">
  <sheetPr codeName="Sheet1">
    <tabColor rgb="FF00B0F0"/>
    <pageSetUpPr fitToPage="1"/>
  </sheetPr>
  <dimension ref="A2:AM80"/>
  <sheetViews>
    <sheetView tabSelected="1" view="pageBreakPreview" zoomScale="130" zoomScaleNormal="100" zoomScaleSheetLayoutView="130" workbookViewId="0">
      <selection activeCell="AA22" sqref="AA22"/>
    </sheetView>
  </sheetViews>
  <sheetFormatPr defaultColWidth="8.5" defaultRowHeight="19.7" customHeight="1"/>
  <cols>
    <col min="1" max="34" width="2.5" style="772" customWidth="1"/>
    <col min="35" max="36" width="2.625" style="774" customWidth="1"/>
    <col min="37" max="37" width="8.5" style="774" customWidth="1"/>
    <col min="38" max="39" width="14.625" style="774" hidden="1" customWidth="1"/>
    <col min="40" max="40" width="16.75" style="774" bestFit="1" customWidth="1"/>
    <col min="41" max="41" width="19.875" style="774" bestFit="1" customWidth="1"/>
    <col min="42" max="42" width="12.5" style="774" bestFit="1" customWidth="1"/>
    <col min="43" max="43" width="7.875" style="774" bestFit="1" customWidth="1"/>
    <col min="44" max="44" width="12.5" style="774" bestFit="1" customWidth="1"/>
    <col min="45" max="16384" width="8.5" style="774"/>
  </cols>
  <sheetData>
    <row r="2" spans="1:34" ht="19.7" customHeight="1">
      <c r="B2" s="773"/>
      <c r="C2" s="773"/>
      <c r="D2" s="773"/>
      <c r="E2" s="773"/>
      <c r="F2" s="773"/>
      <c r="G2" s="773"/>
      <c r="H2" s="773"/>
      <c r="I2" s="773"/>
      <c r="J2" s="773"/>
      <c r="K2" s="773"/>
      <c r="L2" s="773"/>
      <c r="M2" s="773"/>
      <c r="N2" s="773"/>
      <c r="O2" s="773"/>
      <c r="P2" s="773"/>
      <c r="Q2" s="773"/>
      <c r="R2" s="773"/>
      <c r="S2" s="773"/>
      <c r="T2" s="773"/>
      <c r="U2" s="773"/>
      <c r="V2" s="773"/>
      <c r="W2" s="949"/>
      <c r="X2" s="949"/>
      <c r="Y2" s="949"/>
      <c r="Z2" s="949"/>
      <c r="AA2" s="949"/>
      <c r="AB2" s="949"/>
      <c r="AC2" s="949"/>
      <c r="AD2" s="949"/>
      <c r="AE2" s="949"/>
      <c r="AF2" s="949"/>
      <c r="AG2" s="949"/>
      <c r="AH2" s="949"/>
    </row>
    <row r="3" spans="1:34" ht="19.7" customHeight="1">
      <c r="A3" s="773"/>
      <c r="B3" s="773"/>
      <c r="C3" s="773"/>
      <c r="D3" s="773"/>
      <c r="E3" s="773"/>
      <c r="F3" s="773"/>
      <c r="G3" s="773"/>
      <c r="H3" s="773"/>
      <c r="I3" s="773"/>
      <c r="J3" s="773"/>
      <c r="K3" s="773"/>
      <c r="L3" s="773"/>
      <c r="M3" s="773"/>
      <c r="N3" s="773"/>
      <c r="O3" s="773"/>
      <c r="P3" s="773"/>
      <c r="Q3" s="773"/>
      <c r="R3" s="773"/>
      <c r="S3" s="773"/>
      <c r="T3" s="773"/>
      <c r="U3" s="773"/>
      <c r="V3" s="773"/>
      <c r="X3" s="773"/>
      <c r="Y3" s="773"/>
      <c r="Z3" s="773"/>
      <c r="AA3" s="773"/>
      <c r="AB3" s="773"/>
      <c r="AC3" s="773"/>
      <c r="AD3" s="773"/>
      <c r="AE3" s="773"/>
      <c r="AF3" s="773"/>
      <c r="AG3" s="773"/>
      <c r="AH3" s="773"/>
    </row>
    <row r="4" spans="1:34" ht="19.7" customHeight="1">
      <c r="A4" s="775"/>
      <c r="B4" s="775"/>
      <c r="C4" s="775"/>
      <c r="D4" s="775"/>
      <c r="E4" s="775"/>
      <c r="F4" s="775"/>
      <c r="G4" s="775"/>
      <c r="H4" s="775"/>
      <c r="I4" s="775"/>
      <c r="J4" s="775"/>
      <c r="K4" s="775"/>
      <c r="L4" s="775"/>
      <c r="M4" s="773"/>
      <c r="N4" s="773"/>
      <c r="O4" s="773"/>
      <c r="P4" s="773"/>
      <c r="Q4" s="773"/>
      <c r="R4" s="773"/>
      <c r="S4" s="773"/>
      <c r="T4" s="773"/>
      <c r="U4" s="773"/>
      <c r="V4" s="773"/>
      <c r="X4" s="773"/>
      <c r="Y4" s="773"/>
      <c r="Z4" s="773"/>
      <c r="AA4" s="773"/>
      <c r="AB4" s="773"/>
      <c r="AC4" s="773"/>
      <c r="AD4" s="773"/>
      <c r="AE4" s="773"/>
      <c r="AF4" s="773"/>
      <c r="AG4" s="773"/>
      <c r="AH4" s="773"/>
    </row>
    <row r="5" spans="1:34" ht="19.7" customHeight="1">
      <c r="B5" s="773"/>
      <c r="C5" s="773"/>
      <c r="D5" s="773"/>
      <c r="E5" s="773"/>
      <c r="F5" s="773"/>
      <c r="G5" s="773"/>
      <c r="H5" s="773"/>
      <c r="I5" s="773"/>
      <c r="J5" s="773"/>
      <c r="K5" s="773" t="s">
        <v>887</v>
      </c>
      <c r="L5" s="773"/>
      <c r="M5" s="773"/>
      <c r="N5" s="773"/>
      <c r="O5" s="776"/>
      <c r="P5" s="776"/>
      <c r="Q5" s="950"/>
      <c r="R5" s="950"/>
      <c r="S5" s="950"/>
      <c r="T5" s="950"/>
      <c r="U5" s="950"/>
      <c r="V5" s="950"/>
      <c r="W5" s="950"/>
      <c r="X5" s="950"/>
      <c r="Y5" s="950"/>
      <c r="Z5" s="950"/>
      <c r="AA5" s="950"/>
      <c r="AB5" s="950"/>
      <c r="AC5" s="950"/>
      <c r="AD5" s="950"/>
      <c r="AE5" s="950"/>
      <c r="AF5" s="950"/>
      <c r="AG5" s="950"/>
      <c r="AH5" s="950"/>
    </row>
    <row r="6" spans="1:34" ht="19.7" customHeight="1">
      <c r="B6" s="773"/>
      <c r="C6" s="773"/>
      <c r="D6" s="773"/>
      <c r="E6" s="773"/>
      <c r="F6" s="773"/>
      <c r="G6" s="773"/>
      <c r="H6" s="773"/>
      <c r="I6" s="773"/>
      <c r="J6" s="773"/>
      <c r="K6" s="773" t="s">
        <v>888</v>
      </c>
      <c r="L6" s="773"/>
      <c r="M6" s="773"/>
      <c r="N6" s="773"/>
      <c r="O6" s="951"/>
      <c r="P6" s="951"/>
      <c r="Q6" s="951"/>
      <c r="R6" s="951"/>
      <c r="S6" s="951"/>
      <c r="T6" s="951"/>
      <c r="U6" s="951"/>
      <c r="V6" s="951"/>
      <c r="W6" s="951"/>
      <c r="X6" s="951"/>
      <c r="Y6" s="951"/>
      <c r="Z6" s="951"/>
      <c r="AA6" s="951"/>
      <c r="AB6" s="951"/>
      <c r="AC6" s="951"/>
      <c r="AD6" s="951"/>
      <c r="AE6" s="951"/>
      <c r="AF6" s="951"/>
      <c r="AG6" s="951"/>
      <c r="AH6" s="951"/>
    </row>
    <row r="7" spans="1:34" ht="19.7" customHeight="1">
      <c r="B7" s="773"/>
      <c r="C7" s="773"/>
      <c r="D7" s="773"/>
      <c r="E7" s="773"/>
      <c r="F7" s="773"/>
      <c r="G7" s="773"/>
      <c r="H7" s="773"/>
      <c r="I7" s="773"/>
      <c r="J7" s="773"/>
      <c r="K7" s="773" t="s">
        <v>889</v>
      </c>
      <c r="L7" s="773"/>
      <c r="M7" s="773"/>
      <c r="N7" s="773"/>
      <c r="O7" s="952"/>
      <c r="P7" s="952"/>
      <c r="Q7" s="952"/>
      <c r="R7" s="952"/>
      <c r="S7" s="952"/>
      <c r="T7" s="952"/>
      <c r="U7" s="952"/>
      <c r="V7" s="952"/>
      <c r="W7" s="952"/>
      <c r="X7" s="952"/>
      <c r="Y7" s="952"/>
      <c r="Z7" s="952"/>
      <c r="AA7" s="952"/>
      <c r="AB7" s="952"/>
      <c r="AC7" s="952"/>
      <c r="AD7" s="952"/>
      <c r="AE7" s="952"/>
      <c r="AF7" s="952"/>
      <c r="AG7" s="952"/>
      <c r="AH7" s="952"/>
    </row>
    <row r="8" spans="1:34" ht="19.7" customHeight="1">
      <c r="B8" s="773"/>
      <c r="C8" s="773"/>
      <c r="D8" s="773"/>
      <c r="E8" s="773"/>
      <c r="F8" s="773"/>
      <c r="G8" s="773"/>
      <c r="H8" s="773"/>
      <c r="I8" s="773"/>
      <c r="J8" s="773"/>
      <c r="K8" s="773" t="s">
        <v>890</v>
      </c>
      <c r="L8" s="773"/>
      <c r="M8" s="773"/>
      <c r="N8" s="773"/>
      <c r="O8" s="776"/>
      <c r="P8" s="776"/>
      <c r="Q8" s="776"/>
      <c r="R8" s="951"/>
      <c r="S8" s="951"/>
      <c r="T8" s="951"/>
      <c r="U8" s="951"/>
      <c r="V8" s="951"/>
      <c r="W8" s="951"/>
      <c r="X8" s="951"/>
      <c r="Y8" s="951"/>
      <c r="Z8" s="951"/>
      <c r="AA8" s="951"/>
      <c r="AB8" s="951"/>
      <c r="AC8" s="951"/>
      <c r="AD8" s="951"/>
      <c r="AE8" s="951"/>
      <c r="AF8" s="951"/>
      <c r="AG8" s="951"/>
      <c r="AH8" s="951"/>
    </row>
    <row r="9" spans="1:34" ht="19.7" customHeight="1">
      <c r="B9" s="773"/>
      <c r="C9" s="773"/>
      <c r="D9" s="773"/>
      <c r="E9" s="773"/>
      <c r="F9" s="773"/>
      <c r="G9" s="773"/>
      <c r="H9" s="773"/>
      <c r="I9" s="773"/>
      <c r="J9" s="773"/>
      <c r="K9" s="773"/>
      <c r="L9" s="773"/>
      <c r="M9" s="773"/>
      <c r="N9" s="773"/>
      <c r="O9" s="773"/>
      <c r="P9" s="773"/>
      <c r="Q9" s="773"/>
      <c r="R9" s="773"/>
      <c r="S9" s="773"/>
      <c r="T9" s="773"/>
      <c r="U9" s="773"/>
      <c r="V9" s="773"/>
      <c r="X9" s="773"/>
      <c r="Y9" s="773"/>
      <c r="Z9" s="773"/>
      <c r="AA9" s="773"/>
      <c r="AB9" s="773"/>
      <c r="AC9" s="773"/>
      <c r="AD9" s="773"/>
      <c r="AE9" s="773"/>
      <c r="AF9" s="773"/>
      <c r="AG9" s="773"/>
      <c r="AH9" s="773"/>
    </row>
    <row r="10" spans="1:34" ht="19.7" customHeight="1">
      <c r="B10" s="773"/>
      <c r="C10" s="773"/>
      <c r="D10" s="773"/>
      <c r="E10" s="773"/>
      <c r="F10" s="773"/>
      <c r="G10" s="773"/>
      <c r="H10" s="773"/>
      <c r="I10" s="773"/>
      <c r="J10" s="773"/>
      <c r="K10" s="773" t="s">
        <v>891</v>
      </c>
      <c r="L10" s="773"/>
      <c r="M10" s="773"/>
      <c r="N10" s="773"/>
      <c r="O10" s="777"/>
      <c r="P10" s="777"/>
      <c r="Q10" s="948"/>
      <c r="R10" s="948"/>
      <c r="S10" s="948"/>
      <c r="T10" s="948"/>
      <c r="U10" s="948"/>
      <c r="V10" s="948"/>
      <c r="W10" s="948"/>
      <c r="X10" s="948"/>
      <c r="Y10" s="948"/>
      <c r="Z10" s="948"/>
      <c r="AA10" s="948"/>
      <c r="AB10" s="948"/>
      <c r="AC10" s="948"/>
      <c r="AD10" s="948"/>
      <c r="AE10" s="948"/>
      <c r="AF10" s="948"/>
      <c r="AG10" s="948"/>
      <c r="AH10" s="948"/>
    </row>
    <row r="11" spans="1:34" ht="19.7" customHeight="1">
      <c r="B11" s="773"/>
      <c r="C11" s="773"/>
      <c r="D11" s="773"/>
      <c r="E11" s="773"/>
      <c r="F11" s="773"/>
      <c r="G11" s="773"/>
      <c r="H11" s="773"/>
      <c r="I11" s="773"/>
      <c r="J11" s="773"/>
      <c r="K11" s="773" t="s">
        <v>888</v>
      </c>
      <c r="L11" s="773"/>
      <c r="M11" s="773"/>
      <c r="N11" s="773"/>
      <c r="O11" s="954"/>
      <c r="P11" s="954"/>
      <c r="Q11" s="954"/>
      <c r="R11" s="954"/>
      <c r="S11" s="954"/>
      <c r="T11" s="954"/>
      <c r="U11" s="954"/>
      <c r="V11" s="954"/>
      <c r="W11" s="954"/>
      <c r="X11" s="954"/>
      <c r="Y11" s="954"/>
      <c r="Z11" s="954"/>
      <c r="AA11" s="954"/>
      <c r="AB11" s="954"/>
      <c r="AC11" s="954"/>
      <c r="AD11" s="954"/>
      <c r="AE11" s="954"/>
      <c r="AF11" s="954"/>
      <c r="AG11" s="954"/>
      <c r="AH11" s="954"/>
    </row>
    <row r="12" spans="1:34" ht="19.7" customHeight="1">
      <c r="B12" s="773"/>
      <c r="C12" s="773"/>
      <c r="D12" s="773"/>
      <c r="E12" s="773"/>
      <c r="F12" s="773"/>
      <c r="G12" s="773"/>
      <c r="H12" s="773"/>
      <c r="I12" s="773"/>
      <c r="J12" s="773"/>
      <c r="K12" s="773" t="s">
        <v>889</v>
      </c>
      <c r="L12" s="773"/>
      <c r="M12" s="773"/>
      <c r="N12" s="773"/>
      <c r="O12" s="954"/>
      <c r="P12" s="954"/>
      <c r="Q12" s="954"/>
      <c r="R12" s="954"/>
      <c r="S12" s="954"/>
      <c r="T12" s="954"/>
      <c r="U12" s="954"/>
      <c r="V12" s="954"/>
      <c r="W12" s="954"/>
      <c r="X12" s="954"/>
      <c r="Y12" s="954"/>
      <c r="Z12" s="954"/>
      <c r="AA12" s="954"/>
      <c r="AB12" s="954"/>
      <c r="AC12" s="954"/>
      <c r="AD12" s="954"/>
      <c r="AE12" s="954"/>
      <c r="AF12" s="954"/>
      <c r="AG12" s="954"/>
      <c r="AH12" s="954"/>
    </row>
    <row r="13" spans="1:34" ht="19.7" customHeight="1">
      <c r="B13" s="773"/>
      <c r="C13" s="773"/>
      <c r="D13" s="773"/>
      <c r="E13" s="773"/>
      <c r="F13" s="773"/>
      <c r="G13" s="773"/>
      <c r="H13" s="773"/>
      <c r="I13" s="773"/>
      <c r="J13" s="773"/>
      <c r="K13" s="773" t="s">
        <v>892</v>
      </c>
      <c r="L13" s="773"/>
      <c r="M13" s="773"/>
      <c r="N13" s="773"/>
      <c r="O13" s="777"/>
      <c r="P13" s="777"/>
      <c r="Q13" s="777"/>
      <c r="R13" s="954"/>
      <c r="S13" s="954"/>
      <c r="T13" s="954"/>
      <c r="U13" s="954"/>
      <c r="V13" s="954"/>
      <c r="W13" s="954"/>
      <c r="X13" s="954"/>
      <c r="Y13" s="954"/>
      <c r="Z13" s="954"/>
      <c r="AA13" s="954"/>
      <c r="AB13" s="954"/>
      <c r="AC13" s="954"/>
      <c r="AD13" s="954"/>
      <c r="AE13" s="954"/>
      <c r="AF13" s="954"/>
      <c r="AG13" s="954"/>
      <c r="AH13" s="954"/>
    </row>
    <row r="14" spans="1:34" ht="19.7" customHeight="1">
      <c r="B14" s="773"/>
      <c r="C14" s="773"/>
      <c r="D14" s="773"/>
      <c r="E14" s="773"/>
      <c r="F14" s="773"/>
      <c r="G14" s="773"/>
      <c r="H14" s="773"/>
      <c r="I14" s="773"/>
      <c r="J14" s="773"/>
      <c r="K14" s="773"/>
      <c r="L14" s="773"/>
      <c r="M14" s="773"/>
      <c r="N14" s="773"/>
      <c r="O14" s="773"/>
      <c r="P14" s="773"/>
      <c r="Q14" s="773"/>
      <c r="R14" s="773"/>
      <c r="S14" s="773"/>
      <c r="T14" s="773"/>
      <c r="U14" s="773"/>
      <c r="V14" s="773"/>
      <c r="X14" s="773"/>
      <c r="Y14" s="773"/>
      <c r="Z14" s="773"/>
      <c r="AA14" s="773"/>
      <c r="AB14" s="773"/>
      <c r="AC14" s="773"/>
      <c r="AD14" s="773"/>
      <c r="AE14" s="773"/>
      <c r="AF14" s="773"/>
      <c r="AG14" s="773"/>
      <c r="AH14" s="773"/>
    </row>
    <row r="15" spans="1:34" ht="19.7" customHeight="1">
      <c r="A15" s="773"/>
      <c r="B15" s="773"/>
      <c r="C15" s="773"/>
      <c r="D15" s="773"/>
      <c r="E15" s="773"/>
      <c r="F15" s="773"/>
      <c r="G15" s="773"/>
      <c r="H15" s="773"/>
      <c r="I15" s="773"/>
      <c r="J15" s="773"/>
      <c r="K15" s="773"/>
      <c r="L15" s="773"/>
      <c r="M15" s="773"/>
      <c r="N15" s="773"/>
      <c r="O15" s="773"/>
      <c r="P15" s="773"/>
      <c r="Q15" s="773"/>
      <c r="R15" s="773"/>
      <c r="S15" s="773"/>
      <c r="T15" s="773"/>
      <c r="U15" s="773"/>
      <c r="V15" s="773"/>
      <c r="W15" s="773"/>
      <c r="X15" s="773"/>
      <c r="Y15" s="773"/>
      <c r="Z15" s="773"/>
      <c r="AA15" s="773"/>
      <c r="AB15" s="773"/>
      <c r="AC15" s="773"/>
      <c r="AD15" s="773"/>
      <c r="AE15" s="773"/>
      <c r="AF15" s="773"/>
      <c r="AG15" s="773"/>
      <c r="AH15" s="773"/>
    </row>
    <row r="16" spans="1:34" ht="19.7" customHeight="1">
      <c r="A16" s="953" t="s">
        <v>1034</v>
      </c>
      <c r="B16" s="953"/>
      <c r="C16" s="953"/>
      <c r="D16" s="953"/>
      <c r="E16" s="953"/>
      <c r="F16" s="953"/>
      <c r="G16" s="953"/>
      <c r="H16" s="953"/>
      <c r="I16" s="953"/>
      <c r="J16" s="953"/>
      <c r="K16" s="953"/>
      <c r="L16" s="953"/>
      <c r="M16" s="953"/>
      <c r="N16" s="953"/>
      <c r="O16" s="953"/>
      <c r="P16" s="953"/>
      <c r="Q16" s="953"/>
      <c r="R16" s="953"/>
      <c r="S16" s="953"/>
      <c r="T16" s="953"/>
      <c r="U16" s="953"/>
      <c r="V16" s="953"/>
      <c r="W16" s="953"/>
      <c r="X16" s="953"/>
      <c r="Y16" s="953"/>
      <c r="Z16" s="953"/>
      <c r="AA16" s="953"/>
      <c r="AB16" s="953"/>
      <c r="AC16" s="953"/>
      <c r="AD16" s="953"/>
      <c r="AE16" s="953"/>
      <c r="AF16" s="953"/>
      <c r="AG16" s="953"/>
      <c r="AH16" s="953"/>
    </row>
    <row r="17" spans="1:39" ht="19.7" customHeight="1">
      <c r="A17" s="953" t="s">
        <v>893</v>
      </c>
      <c r="B17" s="953"/>
      <c r="C17" s="953"/>
      <c r="D17" s="953"/>
      <c r="E17" s="953"/>
      <c r="F17" s="953"/>
      <c r="G17" s="953"/>
      <c r="H17" s="953"/>
      <c r="I17" s="953"/>
      <c r="J17" s="953"/>
      <c r="K17" s="953"/>
      <c r="L17" s="953"/>
      <c r="M17" s="953"/>
      <c r="N17" s="953"/>
      <c r="O17" s="953"/>
      <c r="P17" s="953"/>
      <c r="Q17" s="953"/>
      <c r="R17" s="953"/>
      <c r="S17" s="953"/>
      <c r="T17" s="953"/>
      <c r="U17" s="953"/>
      <c r="V17" s="953"/>
      <c r="W17" s="953"/>
      <c r="X17" s="953"/>
      <c r="Y17" s="953"/>
      <c r="Z17" s="953"/>
      <c r="AA17" s="953"/>
      <c r="AB17" s="953"/>
      <c r="AC17" s="953"/>
      <c r="AD17" s="953"/>
      <c r="AE17" s="953"/>
      <c r="AF17" s="953"/>
      <c r="AG17" s="953"/>
      <c r="AH17" s="953"/>
    </row>
    <row r="18" spans="1:39" ht="19.7" customHeight="1">
      <c r="A18" s="953" t="s">
        <v>1035</v>
      </c>
      <c r="B18" s="953"/>
      <c r="C18" s="953"/>
      <c r="D18" s="953"/>
      <c r="E18" s="953"/>
      <c r="F18" s="953"/>
      <c r="G18" s="953"/>
      <c r="H18" s="953"/>
      <c r="I18" s="953"/>
      <c r="J18" s="953"/>
      <c r="K18" s="953"/>
      <c r="L18" s="953"/>
      <c r="M18" s="953"/>
      <c r="N18" s="953"/>
      <c r="O18" s="953"/>
      <c r="P18" s="953"/>
      <c r="Q18" s="953"/>
      <c r="R18" s="953"/>
      <c r="S18" s="953"/>
      <c r="T18" s="953"/>
      <c r="U18" s="953"/>
      <c r="V18" s="953"/>
      <c r="W18" s="953"/>
      <c r="X18" s="953"/>
      <c r="Y18" s="953"/>
      <c r="Z18" s="953"/>
      <c r="AA18" s="953"/>
      <c r="AB18" s="953"/>
      <c r="AC18" s="953"/>
      <c r="AD18" s="953"/>
      <c r="AE18" s="953"/>
      <c r="AF18" s="953"/>
      <c r="AG18" s="953"/>
      <c r="AH18" s="953"/>
    </row>
    <row r="19" spans="1:39" ht="19.7" customHeight="1">
      <c r="A19" s="790"/>
      <c r="B19" s="790"/>
      <c r="C19" s="790"/>
      <c r="D19" s="790"/>
      <c r="E19" s="790"/>
      <c r="F19" s="790"/>
      <c r="G19" s="790"/>
      <c r="H19" s="790"/>
      <c r="I19" s="790"/>
      <c r="J19" s="790"/>
      <c r="K19" s="790"/>
      <c r="L19" s="790"/>
      <c r="M19" s="790"/>
      <c r="N19" s="790"/>
      <c r="O19" s="790"/>
      <c r="P19" s="790"/>
      <c r="Q19" s="790"/>
      <c r="R19" s="790"/>
      <c r="S19" s="790"/>
      <c r="T19" s="790"/>
      <c r="U19" s="790"/>
      <c r="V19" s="790"/>
      <c r="W19" s="790"/>
      <c r="X19" s="790"/>
      <c r="Y19" s="790"/>
      <c r="Z19" s="790"/>
      <c r="AA19" s="790"/>
      <c r="AB19" s="790"/>
      <c r="AC19" s="790"/>
      <c r="AD19" s="790"/>
      <c r="AE19" s="790"/>
      <c r="AF19" s="790"/>
      <c r="AG19" s="790"/>
      <c r="AH19" s="790"/>
    </row>
    <row r="20" spans="1:39" ht="19.7" customHeight="1">
      <c r="A20" s="790"/>
      <c r="B20" s="790"/>
      <c r="C20" s="790"/>
      <c r="D20" s="790"/>
      <c r="E20" s="790"/>
      <c r="F20" s="790"/>
      <c r="G20" s="790"/>
      <c r="H20" s="790"/>
      <c r="I20" s="790"/>
      <c r="J20" s="790"/>
      <c r="K20" s="790"/>
      <c r="L20" s="790"/>
      <c r="M20" s="790"/>
      <c r="N20" s="790"/>
      <c r="O20" s="790"/>
      <c r="P20" s="790"/>
      <c r="Q20" s="790"/>
      <c r="R20" s="790"/>
      <c r="S20" s="790"/>
      <c r="T20" s="790"/>
      <c r="U20" s="790"/>
      <c r="V20" s="790"/>
      <c r="W20" s="790"/>
      <c r="X20" s="790"/>
      <c r="Y20" s="790"/>
      <c r="Z20" s="790"/>
      <c r="AA20" s="790"/>
      <c r="AB20" s="790"/>
      <c r="AC20" s="790"/>
      <c r="AD20" s="790"/>
      <c r="AE20" s="790"/>
      <c r="AF20" s="790"/>
      <c r="AG20" s="790"/>
      <c r="AH20" s="790"/>
    </row>
    <row r="21" spans="1:39" ht="19.7" customHeight="1">
      <c r="A21" s="773"/>
      <c r="B21" s="773"/>
      <c r="C21" s="773"/>
      <c r="D21" s="773"/>
      <c r="E21" s="773"/>
      <c r="F21" s="773"/>
      <c r="G21" s="773"/>
      <c r="H21" s="773"/>
      <c r="I21" s="773"/>
      <c r="J21" s="773"/>
      <c r="K21" s="773"/>
      <c r="L21" s="773"/>
      <c r="M21" s="773"/>
      <c r="N21" s="773"/>
      <c r="O21" s="773"/>
      <c r="P21" s="773"/>
      <c r="Q21" s="773"/>
      <c r="R21" s="773"/>
      <c r="S21" s="773"/>
      <c r="T21" s="773"/>
      <c r="U21" s="773"/>
      <c r="V21" s="773"/>
      <c r="W21" s="773"/>
      <c r="X21" s="773"/>
      <c r="Y21" s="773"/>
      <c r="Z21" s="773"/>
      <c r="AA21" s="773"/>
      <c r="AB21" s="773"/>
      <c r="AC21" s="773"/>
      <c r="AD21" s="773"/>
      <c r="AE21" s="773"/>
      <c r="AF21" s="773"/>
      <c r="AG21" s="773"/>
      <c r="AH21" s="773"/>
    </row>
    <row r="22" spans="1:39" ht="19.7" customHeight="1">
      <c r="A22" s="773"/>
      <c r="B22" s="773"/>
      <c r="C22" s="773"/>
      <c r="D22" s="773"/>
      <c r="E22" s="773"/>
      <c r="F22" s="773"/>
      <c r="G22" s="773"/>
      <c r="H22" s="773"/>
      <c r="I22" s="773"/>
      <c r="J22" s="791"/>
      <c r="K22" s="791"/>
      <c r="L22" s="791"/>
      <c r="M22" s="791"/>
      <c r="N22" s="791"/>
      <c r="O22" s="791"/>
      <c r="P22" s="791"/>
      <c r="Q22" s="791"/>
      <c r="R22" s="791"/>
      <c r="S22" s="773"/>
      <c r="T22" s="773"/>
      <c r="U22" s="773"/>
      <c r="V22" s="773"/>
      <c r="W22" s="773"/>
      <c r="X22" s="773"/>
      <c r="Y22" s="773"/>
      <c r="Z22" s="773"/>
      <c r="AA22" s="773"/>
      <c r="AB22" s="773"/>
      <c r="AC22" s="773"/>
      <c r="AD22" s="773"/>
      <c r="AE22" s="773"/>
      <c r="AF22" s="773"/>
      <c r="AG22" s="773"/>
      <c r="AH22" s="773"/>
    </row>
    <row r="23" spans="1:39" ht="19.7" customHeight="1">
      <c r="A23" s="773"/>
      <c r="B23" s="773"/>
      <c r="C23" s="773"/>
      <c r="D23" s="773"/>
      <c r="E23" s="773"/>
      <c r="F23" s="773"/>
      <c r="G23" s="773"/>
      <c r="H23" s="773"/>
      <c r="I23" s="773"/>
      <c r="J23" s="773"/>
      <c r="K23" s="773"/>
      <c r="L23" s="773"/>
      <c r="M23" s="773"/>
      <c r="N23" s="773"/>
      <c r="O23" s="773"/>
      <c r="P23" s="773"/>
      <c r="Q23" s="773"/>
      <c r="R23" s="773"/>
      <c r="S23" s="773"/>
      <c r="T23" s="773"/>
      <c r="U23" s="773"/>
      <c r="V23" s="773"/>
      <c r="W23" s="773"/>
      <c r="X23" s="773"/>
      <c r="Y23" s="773"/>
      <c r="Z23" s="773"/>
      <c r="AA23" s="773"/>
      <c r="AB23" s="773"/>
      <c r="AC23" s="773"/>
      <c r="AD23" s="773"/>
      <c r="AE23" s="773"/>
      <c r="AF23" s="773"/>
      <c r="AG23" s="773"/>
      <c r="AH23" s="773"/>
    </row>
    <row r="24" spans="1:39" ht="19.7" customHeight="1">
      <c r="A24" s="773"/>
      <c r="B24" s="773"/>
      <c r="C24" s="773"/>
      <c r="D24" s="773"/>
      <c r="E24" s="773"/>
      <c r="F24" s="773"/>
      <c r="G24" s="773"/>
      <c r="H24" s="773"/>
      <c r="I24" s="773"/>
      <c r="J24" s="773"/>
      <c r="K24" s="773"/>
      <c r="L24" s="773"/>
      <c r="M24" s="773"/>
      <c r="N24" s="773"/>
      <c r="O24" s="773"/>
      <c r="P24" s="773"/>
      <c r="Q24" s="773"/>
      <c r="R24" s="773"/>
      <c r="S24" s="773"/>
      <c r="T24" s="773"/>
      <c r="U24" s="773"/>
      <c r="V24" s="773"/>
      <c r="W24" s="773"/>
      <c r="X24" s="773"/>
      <c r="Y24" s="773"/>
      <c r="Z24" s="773"/>
      <c r="AA24" s="773"/>
      <c r="AB24" s="773"/>
      <c r="AC24" s="773"/>
      <c r="AD24" s="773"/>
      <c r="AE24" s="773"/>
      <c r="AF24" s="773"/>
      <c r="AG24" s="773"/>
      <c r="AH24" s="773"/>
      <c r="AI24" s="778"/>
    </row>
    <row r="25" spans="1:39" ht="19.7" customHeight="1">
      <c r="A25" s="789"/>
      <c r="B25" s="789"/>
      <c r="C25" s="789"/>
      <c r="D25" s="789"/>
      <c r="E25" s="789"/>
      <c r="F25" s="789"/>
      <c r="G25" s="789"/>
      <c r="H25" s="789"/>
      <c r="I25" s="789"/>
      <c r="J25" s="789"/>
      <c r="K25" s="789"/>
      <c r="L25" s="789"/>
      <c r="M25" s="789"/>
      <c r="N25" s="789"/>
      <c r="O25" s="789"/>
      <c r="P25" s="789"/>
      <c r="Q25" s="789"/>
      <c r="R25" s="789"/>
      <c r="S25" s="789"/>
      <c r="T25" s="789"/>
      <c r="U25" s="789"/>
      <c r="V25" s="789"/>
      <c r="W25" s="789"/>
      <c r="X25" s="789"/>
      <c r="Y25" s="789"/>
      <c r="Z25" s="789"/>
      <c r="AA25" s="789"/>
      <c r="AB25" s="789"/>
      <c r="AC25" s="789"/>
      <c r="AD25" s="789"/>
      <c r="AE25" s="789"/>
      <c r="AF25" s="789"/>
      <c r="AG25" s="789"/>
      <c r="AH25" s="789"/>
      <c r="AI25" s="778"/>
    </row>
    <row r="26" spans="1:39" ht="19.7" customHeight="1">
      <c r="A26" s="789"/>
      <c r="B26" s="789"/>
      <c r="C26" s="789"/>
      <c r="D26" s="789"/>
      <c r="E26" s="789"/>
      <c r="F26" s="789"/>
      <c r="G26" s="789"/>
      <c r="H26" s="789"/>
      <c r="I26" s="789"/>
      <c r="J26" s="789"/>
      <c r="K26" s="789"/>
      <c r="L26" s="789"/>
      <c r="M26" s="789"/>
      <c r="N26" s="789"/>
      <c r="O26" s="789"/>
      <c r="P26" s="789"/>
      <c r="Q26" s="789"/>
      <c r="R26" s="789"/>
      <c r="S26" s="789"/>
      <c r="T26" s="789"/>
      <c r="U26" s="789"/>
      <c r="V26" s="789"/>
      <c r="W26" s="789"/>
      <c r="X26" s="789"/>
      <c r="Y26" s="789"/>
      <c r="Z26" s="789"/>
      <c r="AA26" s="789"/>
      <c r="AB26" s="789"/>
      <c r="AC26" s="789"/>
      <c r="AD26" s="789"/>
      <c r="AE26" s="789"/>
      <c r="AF26" s="789"/>
      <c r="AG26" s="789"/>
      <c r="AH26" s="789"/>
      <c r="AI26" s="778"/>
    </row>
    <row r="27" spans="1:39" ht="19.7" customHeight="1">
      <c r="A27" s="773"/>
      <c r="B27" s="773"/>
      <c r="C27" s="773"/>
      <c r="D27" s="773"/>
      <c r="E27" s="773"/>
      <c r="F27" s="773"/>
      <c r="G27" s="773"/>
      <c r="H27" s="773"/>
      <c r="I27" s="773"/>
      <c r="J27" s="773"/>
      <c r="K27" s="773"/>
      <c r="L27" s="773"/>
      <c r="M27" s="773"/>
      <c r="N27" s="773"/>
      <c r="O27" s="773"/>
      <c r="P27" s="773"/>
      <c r="Q27" s="773"/>
      <c r="R27" s="773"/>
      <c r="S27" s="773"/>
      <c r="T27" s="773"/>
      <c r="U27" s="773"/>
      <c r="V27" s="773"/>
      <c r="W27" s="773"/>
      <c r="X27" s="773"/>
      <c r="Y27" s="773"/>
      <c r="Z27" s="773"/>
      <c r="AA27" s="773"/>
      <c r="AB27" s="773"/>
      <c r="AC27" s="773"/>
      <c r="AD27" s="773"/>
      <c r="AE27" s="773"/>
      <c r="AF27" s="773"/>
      <c r="AG27" s="773"/>
      <c r="AH27" s="773"/>
      <c r="AI27" s="778"/>
    </row>
    <row r="28" spans="1:39" ht="19.7" customHeight="1">
      <c r="A28" s="773"/>
      <c r="B28" s="779"/>
      <c r="C28" s="779"/>
      <c r="D28" s="779"/>
      <c r="E28" s="779"/>
      <c r="F28" s="773"/>
      <c r="G28" s="773"/>
      <c r="H28" s="773"/>
      <c r="I28" s="773"/>
      <c r="J28" s="773"/>
      <c r="K28" s="773"/>
      <c r="L28" s="773"/>
      <c r="M28" s="773"/>
      <c r="N28" s="773"/>
      <c r="O28" s="773"/>
      <c r="P28" s="773"/>
      <c r="Q28" s="773"/>
      <c r="R28" s="773"/>
      <c r="S28" s="773"/>
      <c r="T28" s="773"/>
      <c r="U28" s="773"/>
      <c r="V28" s="773"/>
      <c r="W28" s="773"/>
      <c r="X28" s="773"/>
      <c r="Y28" s="773"/>
      <c r="Z28" s="773"/>
      <c r="AA28" s="773"/>
      <c r="AB28" s="773"/>
      <c r="AC28" s="773"/>
      <c r="AD28" s="773"/>
      <c r="AE28" s="773"/>
      <c r="AF28" s="773"/>
      <c r="AG28" s="773"/>
      <c r="AH28" s="773"/>
    </row>
    <row r="29" spans="1:39" ht="19.7" customHeight="1">
      <c r="A29" s="773"/>
      <c r="B29" s="779"/>
      <c r="C29" s="779"/>
      <c r="D29" s="779"/>
      <c r="E29" s="779"/>
      <c r="F29" s="773"/>
      <c r="G29" s="773"/>
      <c r="H29" s="773"/>
      <c r="I29" s="773"/>
      <c r="J29" s="773"/>
      <c r="K29" s="773"/>
      <c r="L29" s="773"/>
      <c r="M29" s="773"/>
      <c r="N29" s="773"/>
      <c r="O29" s="773"/>
      <c r="P29" s="773"/>
      <c r="Q29" s="773"/>
      <c r="R29" s="773"/>
      <c r="S29" s="773"/>
      <c r="T29" s="773"/>
      <c r="U29" s="773"/>
      <c r="V29" s="773"/>
      <c r="W29" s="773"/>
      <c r="X29" s="773"/>
      <c r="Y29" s="773"/>
      <c r="Z29" s="773"/>
      <c r="AA29" s="773"/>
      <c r="AB29" s="773"/>
      <c r="AC29" s="773"/>
      <c r="AD29" s="773"/>
      <c r="AE29" s="773"/>
      <c r="AF29" s="773"/>
      <c r="AG29" s="773"/>
      <c r="AH29" s="773"/>
      <c r="AK29" s="860"/>
      <c r="AL29" s="860"/>
      <c r="AM29" s="862" t="str">
        <f>IF(AK29=TRUE,I29,"")</f>
        <v/>
      </c>
    </row>
    <row r="30" spans="1:39" ht="19.7" customHeight="1">
      <c r="A30" s="773"/>
      <c r="B30" s="773"/>
      <c r="C30" s="773"/>
      <c r="D30" s="773"/>
      <c r="E30" s="773"/>
      <c r="F30" s="773"/>
      <c r="G30" s="773"/>
      <c r="H30" s="773"/>
      <c r="I30" s="773"/>
      <c r="J30" s="773"/>
      <c r="K30" s="773"/>
      <c r="L30" s="773"/>
      <c r="M30" s="773"/>
      <c r="N30" s="773"/>
      <c r="O30" s="773"/>
      <c r="P30" s="773"/>
      <c r="Q30" s="773"/>
      <c r="R30" s="773"/>
      <c r="S30" s="773"/>
      <c r="T30" s="773"/>
      <c r="U30" s="773"/>
      <c r="V30" s="773"/>
      <c r="W30" s="773"/>
      <c r="X30" s="773"/>
      <c r="Y30" s="773"/>
      <c r="Z30" s="773"/>
      <c r="AA30" s="773"/>
      <c r="AB30" s="773"/>
      <c r="AC30" s="773"/>
      <c r="AD30" s="773"/>
      <c r="AE30" s="773"/>
      <c r="AF30" s="773"/>
      <c r="AG30" s="773"/>
      <c r="AH30" s="773"/>
      <c r="AK30" s="860"/>
      <c r="AL30" s="860"/>
      <c r="AM30" s="862" t="str">
        <f t="shared" ref="AM30:AM32" si="0">IF(AK30=TRUE,I30,"")</f>
        <v/>
      </c>
    </row>
    <row r="31" spans="1:39" ht="19.7" customHeight="1">
      <c r="A31" s="773"/>
      <c r="B31" s="773"/>
      <c r="C31" s="773"/>
      <c r="D31" s="773"/>
      <c r="E31" s="773"/>
      <c r="F31" s="773"/>
      <c r="G31" s="773"/>
      <c r="H31" s="773"/>
      <c r="I31" s="773"/>
      <c r="J31" s="773"/>
      <c r="K31" s="773"/>
      <c r="L31" s="773"/>
      <c r="M31" s="773"/>
      <c r="N31" s="773"/>
      <c r="O31" s="773"/>
      <c r="P31" s="773"/>
      <c r="Q31" s="773"/>
      <c r="R31" s="773"/>
      <c r="S31" s="773"/>
      <c r="T31" s="773"/>
      <c r="U31" s="773"/>
      <c r="V31" s="773"/>
      <c r="W31" s="773"/>
      <c r="X31" s="773"/>
      <c r="Y31" s="773"/>
      <c r="Z31" s="773"/>
      <c r="AA31" s="773"/>
      <c r="AB31" s="773"/>
      <c r="AC31" s="773"/>
      <c r="AD31" s="773"/>
      <c r="AE31" s="773"/>
      <c r="AF31" s="773"/>
      <c r="AG31" s="773"/>
      <c r="AH31" s="773"/>
      <c r="AK31" s="860"/>
      <c r="AL31" s="860"/>
      <c r="AM31" s="862" t="str">
        <f t="shared" si="0"/>
        <v/>
      </c>
    </row>
    <row r="32" spans="1:39" ht="19.7" customHeight="1">
      <c r="A32" s="773"/>
      <c r="B32" s="773"/>
      <c r="C32" s="773"/>
      <c r="D32" s="773"/>
      <c r="E32" s="773"/>
      <c r="F32" s="773"/>
      <c r="G32" s="773"/>
      <c r="H32" s="773"/>
      <c r="I32" s="773"/>
      <c r="J32" s="773"/>
      <c r="K32" s="773"/>
      <c r="L32" s="773"/>
      <c r="M32" s="773"/>
      <c r="N32" s="773"/>
      <c r="O32" s="773"/>
      <c r="P32" s="773"/>
      <c r="Q32" s="773"/>
      <c r="R32" s="773"/>
      <c r="S32" s="773"/>
      <c r="T32" s="773"/>
      <c r="U32" s="773"/>
      <c r="V32" s="773"/>
      <c r="W32" s="773"/>
      <c r="X32" s="773"/>
      <c r="Y32" s="773"/>
      <c r="Z32" s="773"/>
      <c r="AA32" s="773"/>
      <c r="AB32" s="773"/>
      <c r="AC32" s="773"/>
      <c r="AD32" s="773"/>
      <c r="AE32" s="773"/>
      <c r="AF32" s="773"/>
      <c r="AG32" s="773"/>
      <c r="AH32" s="773"/>
      <c r="AK32" s="860"/>
      <c r="AL32" s="860"/>
      <c r="AM32" s="862" t="str">
        <f t="shared" si="0"/>
        <v/>
      </c>
    </row>
    <row r="33" spans="1:39" ht="19.7" customHeight="1">
      <c r="A33" s="773"/>
      <c r="B33" s="773"/>
      <c r="C33" s="773"/>
      <c r="D33" s="773"/>
      <c r="E33" s="773"/>
      <c r="F33" s="773"/>
      <c r="G33" s="773"/>
      <c r="H33" s="773"/>
      <c r="I33" s="773"/>
      <c r="J33" s="773"/>
      <c r="K33" s="773"/>
      <c r="L33" s="773"/>
      <c r="M33" s="773"/>
      <c r="N33" s="773"/>
      <c r="O33" s="773"/>
      <c r="P33" s="773"/>
      <c r="Q33" s="773"/>
      <c r="R33" s="773"/>
      <c r="S33" s="773"/>
      <c r="T33" s="773"/>
      <c r="U33" s="773"/>
      <c r="V33" s="773"/>
      <c r="W33" s="773"/>
      <c r="X33" s="773"/>
      <c r="Y33" s="773"/>
      <c r="Z33" s="773"/>
      <c r="AA33" s="773"/>
      <c r="AB33" s="773"/>
      <c r="AC33" s="773"/>
      <c r="AD33" s="773"/>
      <c r="AE33" s="773"/>
      <c r="AF33" s="773"/>
      <c r="AG33" s="773"/>
      <c r="AH33" s="773"/>
      <c r="AM33" s="862" t="str">
        <f>IF(AL29=TRUE,S29,"")</f>
        <v/>
      </c>
    </row>
    <row r="34" spans="1:39" ht="19.7" customHeight="1">
      <c r="A34" s="773"/>
      <c r="B34" s="773"/>
      <c r="C34" s="773"/>
      <c r="D34" s="773"/>
      <c r="E34" s="773"/>
      <c r="AC34" s="773"/>
      <c r="AD34" s="773"/>
      <c r="AE34" s="773"/>
      <c r="AF34" s="773"/>
      <c r="AG34" s="773"/>
      <c r="AH34" s="773"/>
      <c r="AM34" s="862" t="str">
        <f t="shared" ref="AM34:AM36" si="1">IF(AL30=TRUE,S30,"")</f>
        <v/>
      </c>
    </row>
    <row r="35" spans="1:39" ht="19.7" customHeight="1">
      <c r="A35" s="780"/>
      <c r="B35" s="773"/>
      <c r="E35" s="773"/>
      <c r="AC35" s="773"/>
      <c r="AD35" s="773"/>
      <c r="AE35" s="773"/>
      <c r="AF35" s="773"/>
      <c r="AG35" s="773"/>
      <c r="AH35" s="773"/>
      <c r="AJ35" s="860"/>
      <c r="AM35" s="862" t="str">
        <f t="shared" si="1"/>
        <v/>
      </c>
    </row>
    <row r="36" spans="1:39" ht="19.7" customHeight="1">
      <c r="A36" s="781"/>
      <c r="B36" s="780"/>
      <c r="E36" s="773"/>
      <c r="AC36" s="773"/>
      <c r="AD36" s="773"/>
      <c r="AE36" s="773"/>
      <c r="AF36" s="773"/>
      <c r="AG36" s="773"/>
      <c r="AH36" s="773"/>
      <c r="AJ36" s="860"/>
      <c r="AM36" s="862" t="str">
        <f t="shared" si="1"/>
        <v/>
      </c>
    </row>
    <row r="37" spans="1:39" ht="19.7" customHeight="1">
      <c r="A37" s="780"/>
      <c r="B37" s="773"/>
      <c r="E37" s="773"/>
      <c r="AC37" s="773"/>
      <c r="AD37" s="773"/>
      <c r="AE37" s="773"/>
      <c r="AF37" s="773"/>
      <c r="AG37" s="773"/>
      <c r="AH37" s="773"/>
      <c r="AJ37" s="860"/>
      <c r="AM37" s="860"/>
    </row>
    <row r="38" spans="1:39" ht="19.7" customHeight="1">
      <c r="B38" s="773"/>
      <c r="E38" s="773"/>
      <c r="AC38" s="773"/>
      <c r="AD38" s="773"/>
      <c r="AE38" s="773"/>
      <c r="AF38" s="773"/>
      <c r="AG38" s="773"/>
      <c r="AH38" s="773"/>
      <c r="AJ38" s="860"/>
      <c r="AM38" s="860"/>
    </row>
    <row r="39" spans="1:39" ht="19.7" customHeight="1">
      <c r="A39" s="773"/>
      <c r="B39" s="773"/>
      <c r="C39" s="773"/>
      <c r="D39" s="773"/>
      <c r="E39" s="773"/>
      <c r="AC39" s="773"/>
      <c r="AD39" s="773"/>
      <c r="AE39" s="773"/>
      <c r="AF39" s="773"/>
      <c r="AG39" s="773"/>
      <c r="AH39" s="773"/>
    </row>
    <row r="42" spans="1:39" ht="19.7" customHeight="1">
      <c r="Q42" s="782"/>
      <c r="R42" s="782"/>
      <c r="S42" s="782"/>
      <c r="T42" s="782"/>
      <c r="AA42" s="783"/>
      <c r="AB42" s="784"/>
      <c r="AC42" s="784"/>
      <c r="AD42" s="784"/>
    </row>
    <row r="43" spans="1:39" ht="19.7" customHeight="1">
      <c r="G43" s="782"/>
      <c r="H43" s="784"/>
      <c r="I43" s="784"/>
      <c r="J43" s="784"/>
      <c r="Q43" s="782"/>
      <c r="R43" s="782"/>
      <c r="S43" s="782"/>
      <c r="T43" s="782"/>
      <c r="AA43" s="783"/>
      <c r="AB43" s="784"/>
      <c r="AC43" s="784"/>
      <c r="AD43" s="784"/>
    </row>
    <row r="44" spans="1:39" ht="19.7" customHeight="1">
      <c r="G44" s="782"/>
      <c r="H44" s="784"/>
      <c r="I44" s="784"/>
      <c r="J44" s="784"/>
      <c r="Q44" s="782"/>
      <c r="R44" s="782"/>
      <c r="S44" s="782"/>
      <c r="T44" s="782"/>
      <c r="AA44" s="783"/>
      <c r="AB44" s="784"/>
      <c r="AC44" s="784"/>
      <c r="AD44" s="784"/>
    </row>
    <row r="45" spans="1:39" ht="19.7" customHeight="1">
      <c r="G45" s="782"/>
      <c r="H45" s="784"/>
      <c r="I45" s="784"/>
      <c r="J45" s="784"/>
      <c r="Q45" s="782"/>
      <c r="R45" s="782"/>
      <c r="S45" s="782"/>
      <c r="T45" s="782"/>
      <c r="AA45" s="783"/>
      <c r="AB45" s="784"/>
      <c r="AC45" s="784"/>
      <c r="AD45" s="784"/>
    </row>
    <row r="46" spans="1:39" ht="19.7" customHeight="1">
      <c r="G46" s="782"/>
      <c r="H46" s="784"/>
      <c r="I46" s="784"/>
      <c r="J46" s="784"/>
      <c r="Q46" s="782"/>
      <c r="R46" s="782"/>
      <c r="S46" s="782"/>
      <c r="T46" s="782"/>
      <c r="AA46" s="783"/>
      <c r="AB46" s="784"/>
      <c r="AC46" s="784"/>
      <c r="AD46" s="784"/>
    </row>
    <row r="47" spans="1:39" ht="19.7" customHeight="1">
      <c r="G47" s="782"/>
      <c r="H47" s="784"/>
      <c r="I47" s="784"/>
      <c r="J47" s="784"/>
      <c r="Q47" s="782"/>
      <c r="R47" s="782"/>
      <c r="S47" s="782"/>
      <c r="T47" s="782"/>
      <c r="AA47" s="783"/>
      <c r="AB47" s="784"/>
      <c r="AC47" s="784"/>
      <c r="AD47" s="784"/>
    </row>
    <row r="48" spans="1:39" ht="19.7" customHeight="1">
      <c r="G48" s="782"/>
      <c r="H48" s="784"/>
      <c r="I48" s="784"/>
      <c r="J48" s="784"/>
      <c r="Q48" s="782"/>
      <c r="R48" s="782"/>
      <c r="S48" s="782"/>
      <c r="T48" s="782"/>
      <c r="AA48" s="783"/>
      <c r="AB48" s="784"/>
      <c r="AC48" s="784"/>
      <c r="AD48" s="784"/>
    </row>
    <row r="55" spans="1:38" s="786" customFormat="1" ht="19.7" customHeight="1">
      <c r="A55" s="785"/>
      <c r="B55" s="785"/>
      <c r="C55" s="785"/>
      <c r="D55" s="785"/>
      <c r="E55" s="785"/>
      <c r="F55" s="785"/>
      <c r="G55" s="785"/>
      <c r="H55" s="785"/>
      <c r="I55" s="785"/>
      <c r="J55" s="785"/>
      <c r="K55" s="785"/>
      <c r="L55" s="785"/>
      <c r="M55" s="785"/>
      <c r="N55" s="785"/>
      <c r="O55" s="785"/>
      <c r="P55" s="785"/>
      <c r="Q55" s="785"/>
      <c r="R55" s="785"/>
      <c r="S55" s="785"/>
      <c r="T55" s="785"/>
      <c r="U55" s="785"/>
      <c r="V55" s="785"/>
      <c r="W55" s="785"/>
      <c r="X55" s="785"/>
      <c r="Y55" s="785"/>
      <c r="Z55" s="785"/>
      <c r="AA55" s="785"/>
      <c r="AB55" s="785"/>
      <c r="AC55" s="785"/>
      <c r="AD55" s="785"/>
      <c r="AE55" s="785"/>
      <c r="AF55" s="785"/>
      <c r="AG55" s="785"/>
      <c r="AH55" s="785"/>
      <c r="AI55" s="785"/>
      <c r="AJ55" s="785"/>
      <c r="AL55" s="786" t="s">
        <v>894</v>
      </c>
    </row>
    <row r="56" spans="1:38" ht="19.7" customHeight="1">
      <c r="A56" s="785"/>
      <c r="B56" s="785"/>
      <c r="C56" s="785"/>
      <c r="D56" s="785"/>
      <c r="E56" s="785"/>
      <c r="F56" s="785"/>
      <c r="G56" s="785"/>
      <c r="H56" s="785"/>
      <c r="I56" s="785"/>
      <c r="J56" s="785"/>
      <c r="K56" s="785"/>
      <c r="L56" s="785"/>
      <c r="M56" s="785"/>
      <c r="N56" s="785"/>
      <c r="O56" s="785"/>
      <c r="P56" s="785"/>
      <c r="Q56" s="785"/>
      <c r="R56" s="785"/>
      <c r="S56" s="785"/>
      <c r="T56" s="785"/>
      <c r="U56" s="785"/>
      <c r="V56" s="785"/>
      <c r="W56" s="785"/>
      <c r="X56" s="785"/>
      <c r="Y56" s="785"/>
      <c r="Z56" s="785"/>
      <c r="AA56" s="785"/>
      <c r="AB56" s="785"/>
      <c r="AC56" s="785"/>
      <c r="AD56" s="785"/>
      <c r="AE56" s="785"/>
      <c r="AF56" s="785"/>
      <c r="AG56" s="785"/>
      <c r="AH56" s="785"/>
      <c r="AI56" s="785"/>
      <c r="AJ56" s="785"/>
      <c r="AL56" s="774" t="s">
        <v>895</v>
      </c>
    </row>
    <row r="57" spans="1:38" ht="19.7" customHeight="1">
      <c r="A57" s="785"/>
      <c r="B57" s="785"/>
      <c r="C57" s="785"/>
      <c r="D57" s="785"/>
      <c r="E57" s="785"/>
      <c r="F57" s="785"/>
      <c r="G57" s="785"/>
      <c r="H57" s="785"/>
      <c r="I57" s="785"/>
      <c r="J57" s="785"/>
      <c r="K57" s="785"/>
      <c r="L57" s="785"/>
      <c r="M57" s="785"/>
      <c r="N57" s="785"/>
      <c r="O57" s="785"/>
      <c r="P57" s="785"/>
      <c r="Q57" s="785"/>
      <c r="R57" s="785"/>
      <c r="S57" s="785"/>
      <c r="T57" s="785"/>
      <c r="U57" s="785"/>
      <c r="V57" s="785"/>
      <c r="W57" s="785"/>
      <c r="X57" s="785"/>
      <c r="Y57" s="785"/>
      <c r="Z57" s="785"/>
      <c r="AA57" s="785"/>
      <c r="AB57" s="785"/>
      <c r="AC57" s="785"/>
      <c r="AD57" s="785"/>
      <c r="AE57" s="785"/>
      <c r="AF57" s="785"/>
      <c r="AG57" s="785"/>
      <c r="AH57" s="785"/>
      <c r="AI57" s="785"/>
      <c r="AJ57" s="785"/>
      <c r="AL57" s="774" t="s">
        <v>896</v>
      </c>
    </row>
    <row r="58" spans="1:38" ht="19.7" customHeight="1">
      <c r="A58" s="785"/>
      <c r="B58" s="785"/>
      <c r="C58" s="785"/>
      <c r="D58" s="785"/>
      <c r="E58" s="785"/>
      <c r="F58" s="785"/>
      <c r="G58" s="785"/>
      <c r="H58" s="785"/>
      <c r="I58" s="785"/>
      <c r="J58" s="785"/>
      <c r="K58" s="785"/>
      <c r="L58" s="785"/>
      <c r="M58" s="785"/>
      <c r="N58" s="785"/>
      <c r="O58" s="785"/>
      <c r="P58" s="785"/>
      <c r="Q58" s="785"/>
      <c r="R58" s="785"/>
      <c r="S58" s="785"/>
      <c r="T58" s="785"/>
      <c r="U58" s="785"/>
      <c r="V58" s="785"/>
      <c r="W58" s="785"/>
      <c r="X58" s="785"/>
      <c r="Y58" s="785"/>
      <c r="Z58" s="785"/>
      <c r="AA58" s="785"/>
      <c r="AB58" s="785"/>
      <c r="AC58" s="785"/>
      <c r="AD58" s="785"/>
      <c r="AE58" s="785"/>
      <c r="AF58" s="785"/>
      <c r="AG58" s="785"/>
      <c r="AH58" s="785"/>
      <c r="AI58" s="785"/>
      <c r="AJ58" s="785"/>
      <c r="AL58" s="774" t="s">
        <v>897</v>
      </c>
    </row>
    <row r="59" spans="1:38" ht="19.7" customHeight="1">
      <c r="A59" s="785"/>
      <c r="B59" s="785"/>
      <c r="C59" s="785"/>
      <c r="D59" s="785"/>
      <c r="E59" s="785"/>
      <c r="F59" s="785"/>
      <c r="G59" s="785"/>
      <c r="H59" s="785"/>
      <c r="I59" s="785"/>
      <c r="J59" s="785"/>
      <c r="K59" s="785"/>
      <c r="L59" s="785"/>
      <c r="M59" s="785"/>
      <c r="N59" s="785"/>
      <c r="O59" s="785"/>
      <c r="P59" s="785"/>
      <c r="Q59" s="785"/>
      <c r="R59" s="785"/>
      <c r="S59" s="785"/>
      <c r="T59" s="785"/>
      <c r="U59" s="785"/>
      <c r="V59" s="785"/>
      <c r="W59" s="785"/>
      <c r="X59" s="785"/>
      <c r="Y59" s="785"/>
      <c r="Z59" s="785"/>
      <c r="AA59" s="785"/>
      <c r="AB59" s="785"/>
      <c r="AC59" s="785"/>
      <c r="AD59" s="785"/>
      <c r="AE59" s="785"/>
      <c r="AF59" s="785"/>
      <c r="AG59" s="785"/>
      <c r="AH59" s="785"/>
      <c r="AI59" s="785"/>
      <c r="AJ59" s="785"/>
    </row>
    <row r="60" spans="1:38" ht="19.7" customHeight="1">
      <c r="A60" s="785"/>
      <c r="B60" s="785"/>
      <c r="C60" s="785"/>
      <c r="D60" s="785"/>
      <c r="E60" s="785"/>
      <c r="F60" s="785"/>
      <c r="G60" s="785"/>
      <c r="H60" s="785"/>
      <c r="I60" s="785"/>
      <c r="J60" s="785"/>
      <c r="K60" s="785"/>
      <c r="L60" s="785"/>
      <c r="M60" s="785"/>
      <c r="N60" s="785"/>
      <c r="O60" s="785"/>
      <c r="P60" s="785"/>
      <c r="Q60" s="785"/>
      <c r="R60" s="785"/>
      <c r="S60" s="785"/>
      <c r="T60" s="785"/>
      <c r="U60" s="785"/>
      <c r="V60" s="785"/>
      <c r="W60" s="785"/>
      <c r="X60" s="785"/>
      <c r="Y60" s="785"/>
      <c r="Z60" s="785"/>
      <c r="AA60" s="785"/>
      <c r="AB60" s="785"/>
      <c r="AC60" s="785"/>
      <c r="AD60" s="785"/>
      <c r="AE60" s="785"/>
      <c r="AF60" s="785"/>
      <c r="AG60" s="785"/>
      <c r="AH60" s="785"/>
      <c r="AI60" s="785"/>
      <c r="AJ60" s="785"/>
    </row>
    <row r="61" spans="1:38" ht="19.7" customHeight="1">
      <c r="A61" s="785"/>
      <c r="B61" s="785"/>
      <c r="C61" s="785"/>
      <c r="D61" s="785"/>
      <c r="E61" s="785"/>
      <c r="F61" s="785"/>
      <c r="G61" s="785"/>
      <c r="H61" s="785"/>
      <c r="I61" s="785"/>
      <c r="J61" s="785"/>
      <c r="K61" s="785"/>
      <c r="L61" s="785"/>
      <c r="M61" s="785"/>
      <c r="N61" s="785"/>
      <c r="O61" s="785"/>
      <c r="P61" s="785"/>
      <c r="Q61" s="785"/>
      <c r="R61" s="785"/>
      <c r="S61" s="785"/>
      <c r="T61" s="785"/>
      <c r="U61" s="785"/>
      <c r="V61" s="785"/>
      <c r="W61" s="785"/>
      <c r="X61" s="785"/>
      <c r="Y61" s="785"/>
      <c r="Z61" s="785"/>
      <c r="AA61" s="785"/>
      <c r="AB61" s="785"/>
      <c r="AC61" s="785"/>
      <c r="AD61" s="785"/>
      <c r="AE61" s="785"/>
      <c r="AF61" s="785"/>
      <c r="AG61" s="785"/>
      <c r="AH61" s="785"/>
      <c r="AI61" s="785"/>
      <c r="AJ61" s="785"/>
    </row>
    <row r="62" spans="1:38" ht="19.7" customHeight="1">
      <c r="A62" s="785"/>
      <c r="B62" s="785"/>
      <c r="C62" s="785"/>
      <c r="D62" s="785"/>
      <c r="E62" s="785"/>
      <c r="F62" s="785"/>
      <c r="G62" s="785"/>
      <c r="H62" s="785"/>
      <c r="I62" s="785"/>
      <c r="J62" s="785"/>
      <c r="K62" s="785"/>
      <c r="L62" s="785"/>
      <c r="M62" s="785"/>
      <c r="N62" s="785"/>
      <c r="O62" s="785"/>
      <c r="P62" s="785"/>
      <c r="Q62" s="785"/>
      <c r="R62" s="785"/>
      <c r="S62" s="785"/>
      <c r="T62" s="785"/>
      <c r="U62" s="785"/>
      <c r="V62" s="785"/>
      <c r="W62" s="785"/>
      <c r="X62" s="785"/>
      <c r="Y62" s="785"/>
      <c r="Z62" s="785"/>
      <c r="AA62" s="785"/>
      <c r="AB62" s="785"/>
      <c r="AC62" s="785"/>
      <c r="AD62" s="785"/>
      <c r="AE62" s="785"/>
      <c r="AF62" s="785"/>
      <c r="AG62" s="785"/>
      <c r="AH62" s="785"/>
      <c r="AI62" s="785"/>
      <c r="AJ62" s="785"/>
    </row>
    <row r="63" spans="1:38" ht="19.7" customHeight="1">
      <c r="A63" s="785"/>
      <c r="B63" s="785"/>
      <c r="C63" s="785"/>
      <c r="D63" s="785"/>
      <c r="E63" s="785"/>
      <c r="F63" s="785"/>
      <c r="G63" s="785"/>
      <c r="H63" s="785"/>
      <c r="I63" s="785"/>
      <c r="J63" s="785"/>
      <c r="K63" s="785"/>
      <c r="L63" s="785"/>
      <c r="M63" s="785"/>
      <c r="N63" s="785"/>
      <c r="O63" s="785"/>
      <c r="P63" s="785"/>
      <c r="Q63" s="785"/>
      <c r="R63" s="785"/>
      <c r="S63" s="785"/>
      <c r="T63" s="785"/>
      <c r="U63" s="785"/>
      <c r="V63" s="785"/>
      <c r="W63" s="785"/>
      <c r="X63" s="785"/>
      <c r="Y63" s="785"/>
      <c r="Z63" s="785"/>
      <c r="AA63" s="785"/>
      <c r="AB63" s="785"/>
      <c r="AC63" s="785"/>
      <c r="AD63" s="785"/>
      <c r="AE63" s="785"/>
      <c r="AF63" s="785"/>
      <c r="AG63" s="785"/>
      <c r="AH63" s="785"/>
      <c r="AI63" s="785"/>
      <c r="AJ63" s="785"/>
    </row>
    <row r="64" spans="1:38" ht="19.7" customHeight="1">
      <c r="A64" s="785"/>
      <c r="B64" s="785"/>
      <c r="C64" s="785"/>
      <c r="D64" s="785"/>
      <c r="E64" s="785"/>
      <c r="F64" s="785"/>
      <c r="G64" s="785"/>
      <c r="H64" s="785"/>
      <c r="I64" s="785"/>
      <c r="J64" s="785"/>
      <c r="K64" s="785"/>
      <c r="L64" s="785"/>
      <c r="M64" s="785"/>
      <c r="N64" s="785"/>
      <c r="O64" s="785"/>
      <c r="P64" s="785"/>
      <c r="Q64" s="785"/>
      <c r="R64" s="785"/>
      <c r="S64" s="785"/>
      <c r="T64" s="785"/>
      <c r="U64" s="785"/>
      <c r="V64" s="785"/>
      <c r="W64" s="785"/>
      <c r="X64" s="785"/>
      <c r="Y64" s="785"/>
      <c r="Z64" s="785"/>
      <c r="AA64" s="785"/>
      <c r="AB64" s="785"/>
      <c r="AC64" s="785"/>
      <c r="AD64" s="785"/>
      <c r="AE64" s="785"/>
      <c r="AF64" s="785"/>
      <c r="AG64" s="785"/>
      <c r="AH64" s="785"/>
      <c r="AI64" s="785"/>
      <c r="AJ64" s="785"/>
    </row>
    <row r="65" spans="1:36" ht="19.7" customHeight="1">
      <c r="A65" s="785"/>
      <c r="B65" s="785"/>
      <c r="C65" s="785"/>
      <c r="D65" s="785"/>
      <c r="E65" s="785"/>
      <c r="F65" s="785"/>
      <c r="G65" s="785"/>
      <c r="H65" s="785"/>
      <c r="I65" s="785"/>
      <c r="J65" s="785"/>
      <c r="K65" s="785"/>
      <c r="L65" s="785"/>
      <c r="M65" s="785"/>
      <c r="N65" s="785"/>
      <c r="O65" s="785"/>
      <c r="P65" s="785"/>
      <c r="Q65" s="785"/>
      <c r="R65" s="785"/>
      <c r="S65" s="785"/>
      <c r="T65" s="785"/>
      <c r="U65" s="785"/>
      <c r="V65" s="785"/>
      <c r="W65" s="785"/>
      <c r="X65" s="785"/>
      <c r="Y65" s="785"/>
      <c r="Z65" s="785"/>
      <c r="AA65" s="785"/>
      <c r="AB65" s="785"/>
      <c r="AC65" s="785"/>
      <c r="AD65" s="785"/>
      <c r="AE65" s="785"/>
      <c r="AF65" s="785"/>
      <c r="AG65" s="785"/>
      <c r="AH65" s="785"/>
      <c r="AI65" s="785"/>
      <c r="AJ65" s="785"/>
    </row>
    <row r="66" spans="1:36" ht="19.7" customHeight="1">
      <c r="A66" s="785"/>
      <c r="B66" s="785"/>
      <c r="C66" s="785"/>
      <c r="D66" s="785"/>
      <c r="E66" s="785"/>
      <c r="F66" s="785"/>
      <c r="G66" s="785"/>
      <c r="H66" s="785"/>
      <c r="I66" s="785"/>
      <c r="J66" s="785"/>
      <c r="K66" s="785"/>
      <c r="L66" s="785"/>
      <c r="M66" s="785"/>
      <c r="N66" s="785"/>
      <c r="O66" s="785"/>
      <c r="P66" s="785"/>
      <c r="Q66" s="785"/>
      <c r="R66" s="785"/>
      <c r="S66" s="785"/>
      <c r="T66" s="785"/>
      <c r="U66" s="785"/>
      <c r="V66" s="785"/>
      <c r="W66" s="785"/>
      <c r="X66" s="785"/>
      <c r="Y66" s="785"/>
      <c r="Z66" s="785"/>
      <c r="AA66" s="785"/>
      <c r="AB66" s="785"/>
      <c r="AC66" s="785"/>
      <c r="AD66" s="785"/>
      <c r="AE66" s="785"/>
      <c r="AF66" s="785"/>
      <c r="AG66" s="785"/>
      <c r="AH66" s="785"/>
      <c r="AI66" s="785"/>
      <c r="AJ66" s="785"/>
    </row>
    <row r="67" spans="1:36" ht="19.7" customHeight="1">
      <c r="A67" s="785"/>
      <c r="B67" s="785"/>
      <c r="C67" s="785"/>
      <c r="D67" s="785"/>
      <c r="E67" s="785"/>
      <c r="F67" s="785"/>
      <c r="G67" s="785"/>
      <c r="H67" s="785"/>
      <c r="I67" s="785"/>
      <c r="J67" s="785"/>
      <c r="K67" s="785"/>
      <c r="L67" s="785"/>
      <c r="M67" s="785"/>
      <c r="N67" s="785"/>
      <c r="O67" s="785"/>
      <c r="P67" s="785"/>
      <c r="Q67" s="785"/>
      <c r="R67" s="785"/>
      <c r="S67" s="785"/>
      <c r="T67" s="785"/>
      <c r="U67" s="785"/>
      <c r="V67" s="785"/>
      <c r="W67" s="785"/>
      <c r="X67" s="785"/>
      <c r="Y67" s="785"/>
      <c r="Z67" s="785"/>
      <c r="AA67" s="785"/>
      <c r="AB67" s="785"/>
      <c r="AC67" s="785"/>
      <c r="AD67" s="785"/>
      <c r="AE67" s="785"/>
      <c r="AF67" s="785"/>
      <c r="AG67" s="785"/>
      <c r="AH67" s="785"/>
      <c r="AI67" s="785"/>
      <c r="AJ67" s="785"/>
    </row>
    <row r="68" spans="1:36" ht="19.7" customHeight="1">
      <c r="A68" s="785"/>
      <c r="B68" s="785"/>
      <c r="C68" s="785"/>
      <c r="D68" s="785"/>
      <c r="E68" s="785"/>
      <c r="F68" s="785"/>
      <c r="G68" s="785"/>
      <c r="H68" s="785"/>
      <c r="I68" s="785"/>
      <c r="J68" s="785"/>
      <c r="K68" s="785"/>
      <c r="L68" s="785"/>
      <c r="M68" s="785"/>
      <c r="N68" s="785"/>
      <c r="O68" s="785"/>
      <c r="P68" s="785"/>
      <c r="Q68" s="785"/>
      <c r="R68" s="785"/>
      <c r="S68" s="785"/>
      <c r="T68" s="785"/>
      <c r="U68" s="785"/>
      <c r="V68" s="785"/>
      <c r="W68" s="785"/>
      <c r="X68" s="785"/>
      <c r="Y68" s="785"/>
      <c r="Z68" s="785"/>
      <c r="AA68" s="785"/>
      <c r="AB68" s="785"/>
      <c r="AC68" s="785"/>
      <c r="AD68" s="785"/>
      <c r="AE68" s="785"/>
      <c r="AF68" s="785"/>
      <c r="AG68" s="785"/>
      <c r="AH68" s="785"/>
      <c r="AI68" s="785"/>
      <c r="AJ68" s="785"/>
    </row>
    <row r="69" spans="1:36" ht="19.7" customHeight="1">
      <c r="A69" s="785"/>
      <c r="B69" s="785"/>
      <c r="C69" s="785"/>
      <c r="D69" s="785"/>
      <c r="E69" s="785"/>
      <c r="F69" s="785"/>
      <c r="G69" s="785"/>
      <c r="H69" s="785"/>
      <c r="I69" s="785"/>
      <c r="J69" s="785"/>
      <c r="K69" s="785"/>
      <c r="L69" s="785"/>
      <c r="M69" s="785"/>
      <c r="N69" s="785"/>
      <c r="O69" s="785"/>
      <c r="P69" s="785"/>
      <c r="Q69" s="785"/>
      <c r="R69" s="785"/>
      <c r="S69" s="785"/>
      <c r="T69" s="785"/>
      <c r="U69" s="785"/>
      <c r="V69" s="785"/>
      <c r="W69" s="785"/>
      <c r="X69" s="785"/>
      <c r="Y69" s="785"/>
      <c r="Z69" s="785"/>
      <c r="AA69" s="785"/>
      <c r="AB69" s="785"/>
      <c r="AC69" s="785"/>
      <c r="AD69" s="785"/>
      <c r="AE69" s="785"/>
      <c r="AF69" s="785"/>
      <c r="AG69" s="785"/>
      <c r="AH69" s="785"/>
      <c r="AI69" s="785"/>
      <c r="AJ69" s="785"/>
    </row>
    <row r="70" spans="1:36" ht="19.7" customHeight="1">
      <c r="A70" s="785"/>
      <c r="B70" s="785"/>
      <c r="C70" s="785"/>
      <c r="D70" s="785"/>
      <c r="E70" s="785"/>
      <c r="F70" s="785"/>
      <c r="G70" s="785"/>
      <c r="H70" s="785"/>
      <c r="I70" s="785"/>
      <c r="J70" s="785"/>
      <c r="K70" s="785"/>
      <c r="L70" s="785"/>
      <c r="M70" s="785"/>
      <c r="N70" s="785"/>
      <c r="O70" s="785"/>
      <c r="P70" s="785"/>
      <c r="Q70" s="785"/>
      <c r="R70" s="785"/>
      <c r="S70" s="785"/>
      <c r="T70" s="785"/>
      <c r="U70" s="785"/>
      <c r="V70" s="785"/>
      <c r="W70" s="785"/>
      <c r="X70" s="785"/>
      <c r="Y70" s="785"/>
      <c r="Z70" s="785"/>
      <c r="AA70" s="785"/>
      <c r="AB70" s="785"/>
      <c r="AC70" s="785"/>
      <c r="AD70" s="785"/>
      <c r="AE70" s="785"/>
      <c r="AF70" s="785"/>
      <c r="AG70" s="785"/>
      <c r="AH70" s="785"/>
      <c r="AI70" s="785"/>
      <c r="AJ70" s="785"/>
    </row>
    <row r="71" spans="1:36" ht="19.7" customHeight="1">
      <c r="A71" s="785"/>
      <c r="B71" s="785"/>
      <c r="C71" s="785"/>
      <c r="D71" s="785"/>
      <c r="E71" s="785"/>
      <c r="F71" s="785"/>
      <c r="G71" s="785"/>
      <c r="H71" s="785"/>
      <c r="I71" s="785"/>
      <c r="J71" s="785"/>
      <c r="K71" s="785"/>
      <c r="L71" s="785"/>
      <c r="M71" s="785"/>
      <c r="N71" s="785"/>
      <c r="O71" s="785"/>
      <c r="P71" s="785"/>
      <c r="Q71" s="785"/>
      <c r="R71" s="785"/>
      <c r="S71" s="785"/>
      <c r="T71" s="785"/>
      <c r="U71" s="785"/>
      <c r="V71" s="785"/>
      <c r="W71" s="785"/>
      <c r="X71" s="785"/>
      <c r="Y71" s="785"/>
      <c r="Z71" s="785"/>
      <c r="AA71" s="785"/>
      <c r="AB71" s="785"/>
      <c r="AC71" s="785"/>
      <c r="AD71" s="785"/>
      <c r="AE71" s="785"/>
      <c r="AF71" s="785"/>
      <c r="AG71" s="785"/>
      <c r="AH71" s="785"/>
      <c r="AI71" s="785"/>
      <c r="AJ71" s="785"/>
    </row>
    <row r="72" spans="1:36" ht="19.7" customHeight="1">
      <c r="A72" s="785"/>
      <c r="B72" s="785"/>
      <c r="C72" s="785"/>
      <c r="D72" s="785"/>
      <c r="E72" s="785"/>
      <c r="F72" s="785"/>
      <c r="G72" s="785"/>
      <c r="H72" s="785"/>
      <c r="I72" s="785"/>
      <c r="J72" s="785"/>
      <c r="K72" s="785"/>
      <c r="L72" s="785"/>
      <c r="M72" s="785"/>
      <c r="N72" s="785"/>
      <c r="O72" s="785"/>
      <c r="P72" s="785"/>
      <c r="Q72" s="785"/>
      <c r="R72" s="785"/>
      <c r="S72" s="785"/>
      <c r="T72" s="785"/>
      <c r="U72" s="785"/>
      <c r="V72" s="785"/>
      <c r="W72" s="785"/>
      <c r="X72" s="785"/>
      <c r="Y72" s="785"/>
      <c r="Z72" s="785"/>
      <c r="AA72" s="785"/>
      <c r="AB72" s="785"/>
      <c r="AC72" s="785"/>
      <c r="AD72" s="785"/>
      <c r="AE72" s="785"/>
      <c r="AF72" s="785"/>
      <c r="AG72" s="785"/>
      <c r="AH72" s="785"/>
      <c r="AI72" s="785"/>
      <c r="AJ72" s="785"/>
    </row>
    <row r="73" spans="1:36" ht="19.7" customHeight="1">
      <c r="A73" s="785"/>
      <c r="B73" s="785"/>
      <c r="C73" s="785"/>
      <c r="D73" s="785"/>
      <c r="E73" s="785"/>
      <c r="F73" s="785"/>
      <c r="G73" s="785"/>
      <c r="H73" s="785"/>
      <c r="I73" s="785"/>
      <c r="J73" s="785"/>
      <c r="K73" s="785"/>
      <c r="L73" s="785"/>
      <c r="M73" s="785"/>
      <c r="N73" s="785"/>
      <c r="O73" s="785"/>
      <c r="P73" s="785"/>
      <c r="Q73" s="785"/>
      <c r="R73" s="785"/>
      <c r="S73" s="785"/>
      <c r="T73" s="785"/>
      <c r="U73" s="785"/>
      <c r="V73" s="785"/>
      <c r="W73" s="785"/>
      <c r="X73" s="785"/>
      <c r="Y73" s="785"/>
      <c r="Z73" s="785"/>
      <c r="AA73" s="785"/>
      <c r="AB73" s="785"/>
      <c r="AC73" s="785"/>
      <c r="AD73" s="785"/>
      <c r="AE73" s="785"/>
      <c r="AF73" s="785"/>
      <c r="AG73" s="785"/>
      <c r="AH73" s="785"/>
      <c r="AI73" s="785"/>
      <c r="AJ73" s="785"/>
    </row>
    <row r="74" spans="1:36" ht="19.7" customHeight="1">
      <c r="A74" s="785"/>
      <c r="B74" s="785"/>
      <c r="C74" s="785"/>
      <c r="D74" s="785"/>
      <c r="E74" s="785"/>
      <c r="F74" s="785"/>
      <c r="G74" s="785"/>
      <c r="H74" s="785"/>
      <c r="I74" s="785"/>
      <c r="J74" s="785"/>
      <c r="K74" s="785"/>
      <c r="L74" s="785"/>
      <c r="M74" s="785"/>
      <c r="N74" s="785"/>
      <c r="O74" s="785"/>
      <c r="P74" s="785"/>
      <c r="Q74" s="785"/>
      <c r="R74" s="785"/>
      <c r="S74" s="785"/>
      <c r="T74" s="785"/>
      <c r="U74" s="785"/>
      <c r="V74" s="785"/>
      <c r="W74" s="785"/>
      <c r="X74" s="785"/>
      <c r="Y74" s="785"/>
      <c r="Z74" s="785"/>
      <c r="AA74" s="785"/>
      <c r="AB74" s="785"/>
      <c r="AC74" s="785"/>
      <c r="AD74" s="785"/>
      <c r="AE74" s="785"/>
      <c r="AF74" s="785"/>
      <c r="AG74" s="785"/>
      <c r="AH74" s="785"/>
      <c r="AI74" s="785"/>
      <c r="AJ74" s="785"/>
    </row>
    <row r="75" spans="1:36" ht="19.7" customHeight="1">
      <c r="A75" s="785"/>
      <c r="B75" s="785"/>
      <c r="C75" s="785"/>
      <c r="D75" s="785"/>
      <c r="E75" s="785"/>
      <c r="F75" s="785"/>
      <c r="G75" s="785"/>
      <c r="H75" s="785"/>
      <c r="I75" s="785"/>
      <c r="J75" s="785"/>
      <c r="K75" s="785"/>
      <c r="L75" s="785"/>
      <c r="M75" s="785"/>
      <c r="N75" s="785"/>
      <c r="O75" s="785"/>
      <c r="P75" s="785"/>
      <c r="Q75" s="785"/>
      <c r="R75" s="785"/>
      <c r="S75" s="785"/>
      <c r="T75" s="785"/>
      <c r="U75" s="785"/>
      <c r="V75" s="785"/>
      <c r="W75" s="785"/>
      <c r="X75" s="785"/>
      <c r="Y75" s="785"/>
      <c r="Z75" s="785"/>
      <c r="AA75" s="785"/>
      <c r="AB75" s="785"/>
      <c r="AC75" s="785"/>
      <c r="AD75" s="785"/>
      <c r="AE75" s="785"/>
      <c r="AF75" s="785"/>
      <c r="AG75" s="785"/>
      <c r="AH75" s="785"/>
      <c r="AI75" s="785"/>
      <c r="AJ75" s="785"/>
    </row>
    <row r="76" spans="1:36" ht="19.7" customHeight="1">
      <c r="A76" s="785"/>
      <c r="B76" s="785"/>
      <c r="C76" s="785"/>
      <c r="D76" s="785"/>
      <c r="E76" s="785"/>
      <c r="F76" s="785"/>
      <c r="G76" s="785"/>
      <c r="H76" s="785"/>
      <c r="I76" s="785"/>
      <c r="J76" s="785"/>
      <c r="K76" s="785"/>
      <c r="L76" s="785"/>
      <c r="M76" s="785"/>
      <c r="N76" s="785"/>
      <c r="O76" s="785"/>
      <c r="P76" s="785"/>
      <c r="Q76" s="785"/>
      <c r="R76" s="785"/>
      <c r="S76" s="785"/>
      <c r="T76" s="785"/>
      <c r="U76" s="785"/>
      <c r="V76" s="785"/>
      <c r="W76" s="785"/>
      <c r="X76" s="785"/>
      <c r="Y76" s="785"/>
      <c r="Z76" s="785"/>
      <c r="AA76" s="785"/>
      <c r="AB76" s="785"/>
      <c r="AC76" s="785"/>
      <c r="AD76" s="785"/>
      <c r="AE76" s="785"/>
      <c r="AF76" s="785"/>
      <c r="AG76" s="785"/>
      <c r="AH76" s="785"/>
      <c r="AI76" s="785"/>
      <c r="AJ76" s="785"/>
    </row>
    <row r="77" spans="1:36" ht="19.7" customHeight="1">
      <c r="A77" s="785"/>
      <c r="B77" s="785"/>
      <c r="C77" s="785"/>
      <c r="D77" s="785"/>
      <c r="E77" s="785"/>
      <c r="F77" s="785"/>
      <c r="G77" s="785"/>
      <c r="H77" s="785"/>
      <c r="I77" s="785"/>
      <c r="J77" s="785"/>
      <c r="K77" s="785"/>
      <c r="L77" s="785"/>
      <c r="M77" s="785"/>
      <c r="N77" s="785"/>
      <c r="O77" s="785"/>
      <c r="P77" s="785"/>
      <c r="Q77" s="785"/>
      <c r="R77" s="785"/>
      <c r="S77" s="785"/>
      <c r="T77" s="785"/>
      <c r="U77" s="785"/>
      <c r="V77" s="785"/>
      <c r="W77" s="785"/>
      <c r="X77" s="785"/>
      <c r="Y77" s="785"/>
      <c r="Z77" s="785"/>
      <c r="AA77" s="785"/>
      <c r="AB77" s="785"/>
      <c r="AC77" s="785"/>
      <c r="AD77" s="785"/>
      <c r="AE77" s="785"/>
      <c r="AF77" s="785"/>
      <c r="AG77" s="785"/>
      <c r="AH77" s="785"/>
      <c r="AI77" s="785"/>
      <c r="AJ77" s="785"/>
    </row>
    <row r="78" spans="1:36" ht="19.7" customHeight="1">
      <c r="A78" s="785"/>
      <c r="B78" s="785"/>
      <c r="C78" s="785"/>
      <c r="D78" s="785"/>
      <c r="E78" s="785"/>
      <c r="F78" s="785"/>
      <c r="G78" s="785"/>
      <c r="H78" s="785"/>
      <c r="I78" s="785"/>
      <c r="J78" s="785"/>
      <c r="K78" s="785"/>
      <c r="L78" s="785"/>
      <c r="M78" s="785"/>
      <c r="N78" s="785"/>
      <c r="O78" s="785"/>
      <c r="P78" s="785"/>
      <c r="Q78" s="785"/>
      <c r="R78" s="785"/>
      <c r="S78" s="785"/>
      <c r="T78" s="785"/>
      <c r="U78" s="785"/>
      <c r="V78" s="785"/>
      <c r="W78" s="785"/>
      <c r="X78" s="785"/>
      <c r="Y78" s="785"/>
      <c r="Z78" s="785"/>
      <c r="AA78" s="785"/>
      <c r="AB78" s="785"/>
      <c r="AC78" s="785"/>
      <c r="AD78" s="785"/>
      <c r="AE78" s="785"/>
      <c r="AF78" s="785"/>
      <c r="AG78" s="785"/>
      <c r="AH78" s="785"/>
      <c r="AI78" s="785"/>
      <c r="AJ78" s="785"/>
    </row>
    <row r="79" spans="1:36" ht="19.7" customHeight="1">
      <c r="A79" s="785"/>
      <c r="B79" s="785"/>
      <c r="C79" s="785"/>
      <c r="D79" s="785"/>
      <c r="E79" s="785"/>
      <c r="F79" s="785"/>
      <c r="G79" s="785"/>
      <c r="H79" s="785"/>
      <c r="I79" s="785"/>
      <c r="J79" s="785"/>
      <c r="K79" s="785"/>
      <c r="L79" s="785"/>
      <c r="M79" s="785"/>
      <c r="N79" s="785"/>
      <c r="O79" s="785"/>
      <c r="P79" s="785"/>
      <c r="Q79" s="785"/>
      <c r="R79" s="785"/>
      <c r="S79" s="785"/>
      <c r="T79" s="785"/>
      <c r="U79" s="785"/>
      <c r="V79" s="785"/>
      <c r="W79" s="785"/>
      <c r="X79" s="785"/>
      <c r="Y79" s="785"/>
      <c r="Z79" s="785"/>
      <c r="AA79" s="785"/>
      <c r="AB79" s="785"/>
      <c r="AC79" s="785"/>
      <c r="AD79" s="785"/>
      <c r="AE79" s="785"/>
      <c r="AF79" s="785"/>
      <c r="AG79" s="785"/>
      <c r="AH79" s="785"/>
      <c r="AI79" s="785"/>
      <c r="AJ79" s="785"/>
    </row>
    <row r="80" spans="1:36" ht="19.7" customHeight="1">
      <c r="A80" s="785"/>
      <c r="B80" s="785"/>
      <c r="C80" s="785"/>
      <c r="D80" s="785"/>
      <c r="E80" s="785"/>
      <c r="F80" s="785"/>
      <c r="G80" s="785"/>
      <c r="H80" s="785"/>
      <c r="I80" s="785"/>
      <c r="J80" s="785"/>
      <c r="K80" s="785"/>
      <c r="L80" s="785"/>
      <c r="M80" s="785"/>
      <c r="N80" s="785"/>
      <c r="O80" s="785"/>
      <c r="P80" s="785"/>
      <c r="Q80" s="785"/>
      <c r="R80" s="785"/>
      <c r="S80" s="785"/>
      <c r="T80" s="785"/>
      <c r="U80" s="785"/>
      <c r="V80" s="785"/>
      <c r="W80" s="785"/>
      <c r="X80" s="785"/>
      <c r="Y80" s="785"/>
      <c r="Z80" s="785"/>
      <c r="AA80" s="785"/>
      <c r="AB80" s="785"/>
      <c r="AC80" s="785"/>
      <c r="AD80" s="785"/>
      <c r="AE80" s="785"/>
      <c r="AF80" s="785"/>
      <c r="AG80" s="785"/>
      <c r="AH80" s="785"/>
      <c r="AI80" s="785"/>
      <c r="AJ80" s="785"/>
    </row>
  </sheetData>
  <sheetProtection password="D73A" sheet="1" formatCells="0"/>
  <mergeCells count="12">
    <mergeCell ref="A18:AH18"/>
    <mergeCell ref="O11:AH11"/>
    <mergeCell ref="O12:AH12"/>
    <mergeCell ref="R13:AH13"/>
    <mergeCell ref="A16:AH16"/>
    <mergeCell ref="A17:AH17"/>
    <mergeCell ref="Q10:AH10"/>
    <mergeCell ref="W2:AH2"/>
    <mergeCell ref="Q5:AH5"/>
    <mergeCell ref="O6:AH6"/>
    <mergeCell ref="O7:AH7"/>
    <mergeCell ref="R8:AH8"/>
  </mergeCells>
  <phoneticPr fontId="3"/>
  <conditionalFormatting sqref="O11:AH11">
    <cfRule type="containsBlanks" dxfId="109" priority="4">
      <formula>LEN(TRIM(O11))=0</formula>
    </cfRule>
  </conditionalFormatting>
  <conditionalFormatting sqref="O12:AH12 R13:AH13">
    <cfRule type="containsBlanks" dxfId="108" priority="5">
      <formula>LEN(TRIM(O12))=0</formula>
    </cfRule>
  </conditionalFormatting>
  <conditionalFormatting sqref="O6:AH7 R8:AH8">
    <cfRule type="containsBlanks" dxfId="107" priority="1">
      <formula>LEN(TRIM(O6))=0</formula>
    </cfRule>
  </conditionalFormatting>
  <dataValidations count="1">
    <dataValidation imeMode="on" allowBlank="1" showInputMessage="1" showErrorMessage="1" sqref="R13 O11:O12" xr:uid="{5E67BA0D-9707-43C8-AB6C-FD3FCCC89652}"/>
  </dataValidations>
  <printOptions horizontalCentered="1"/>
  <pageMargins left="0.59055118110236227" right="0.59055118110236227" top="0.35433070866141736" bottom="0" header="0.31496062992125984" footer="0.31496062992125984"/>
  <pageSetup paperSize="9" orientation="portrait" r:id="rId1"/>
  <headerFooter>
    <oddHeader>&amp;L&amp;10様式第1-1号（別紙）&amp;C&amp;10R5年度_《緊急予算枠》_CO₂削減量算定シート</oddHeader>
    <oddFooter>&amp;RR6.1.16</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AA21D-FB25-4A69-8F23-CFD8D39BB15F}">
  <sheetPr codeName="Sheet2">
    <tabColor rgb="FFFFC000"/>
  </sheetPr>
  <dimension ref="A1:Y192"/>
  <sheetViews>
    <sheetView showGridLines="0" view="pageBreakPreview" topLeftCell="A7" zoomScaleNormal="85" zoomScaleSheetLayoutView="100" workbookViewId="0">
      <selection activeCell="W176" sqref="W176"/>
    </sheetView>
  </sheetViews>
  <sheetFormatPr defaultRowHeight="13.5"/>
  <cols>
    <col min="1" max="1" width="3.25" customWidth="1"/>
    <col min="2" max="2" width="5.75" customWidth="1"/>
    <col min="21" max="21" width="8" customWidth="1"/>
    <col min="24" max="25" width="0" hidden="1" customWidth="1"/>
  </cols>
  <sheetData>
    <row r="1" spans="1:19" ht="23.25" customHeight="1">
      <c r="A1" s="918" t="s">
        <v>1021</v>
      </c>
      <c r="B1" s="919"/>
      <c r="C1" s="919"/>
      <c r="D1" s="919"/>
      <c r="E1" s="919"/>
      <c r="F1" s="919"/>
      <c r="G1" s="919"/>
    </row>
    <row r="2" spans="1:19" ht="30">
      <c r="A2" s="419">
        <v>1</v>
      </c>
      <c r="B2" s="419" t="s">
        <v>1004</v>
      </c>
    </row>
    <row r="3" spans="1:19" ht="17.25" customHeight="1" thickBot="1">
      <c r="A3" s="419"/>
      <c r="B3" s="349" t="s">
        <v>771</v>
      </c>
    </row>
    <row r="4" spans="1:19">
      <c r="C4" s="420" t="s">
        <v>1006</v>
      </c>
      <c r="D4" s="421"/>
      <c r="E4" s="421"/>
      <c r="F4" s="421"/>
      <c r="G4" s="421"/>
      <c r="H4" s="421"/>
      <c r="I4" s="421"/>
      <c r="J4" s="421"/>
      <c r="K4" s="421"/>
      <c r="L4" s="421"/>
      <c r="M4" s="421"/>
      <c r="N4" s="421"/>
      <c r="O4" s="421"/>
      <c r="P4" s="421"/>
      <c r="Q4" s="421"/>
      <c r="R4" s="421"/>
      <c r="S4" s="422"/>
    </row>
    <row r="5" spans="1:19">
      <c r="C5" s="423" t="s">
        <v>1005</v>
      </c>
      <c r="D5" s="393"/>
      <c r="E5" s="393"/>
      <c r="F5" s="393"/>
      <c r="G5" s="393"/>
      <c r="H5" s="393"/>
      <c r="I5" s="393"/>
      <c r="J5" s="393"/>
      <c r="K5" s="393"/>
      <c r="L5" s="393"/>
      <c r="M5" s="393"/>
      <c r="N5" s="393"/>
      <c r="O5" s="393"/>
      <c r="P5" s="393"/>
      <c r="Q5" s="393"/>
      <c r="R5" s="393"/>
      <c r="S5" s="424"/>
    </row>
    <row r="6" spans="1:19">
      <c r="C6" s="423" t="s">
        <v>1007</v>
      </c>
      <c r="D6" s="393"/>
      <c r="E6" s="393"/>
      <c r="F6" s="393"/>
      <c r="G6" s="393"/>
      <c r="H6" s="393"/>
      <c r="I6" s="393"/>
      <c r="J6" s="393"/>
      <c r="K6" s="393"/>
      <c r="L6" s="393"/>
      <c r="M6" s="393"/>
      <c r="N6" s="393"/>
      <c r="O6" s="393"/>
      <c r="P6" s="393"/>
      <c r="Q6" s="393"/>
      <c r="R6" s="393"/>
      <c r="S6" s="424"/>
    </row>
    <row r="7" spans="1:19">
      <c r="C7" s="689" t="s">
        <v>1008</v>
      </c>
      <c r="D7" s="393"/>
      <c r="E7" s="393"/>
      <c r="F7" s="393"/>
      <c r="G7" s="393"/>
      <c r="H7" s="393"/>
      <c r="I7" s="393"/>
      <c r="J7" s="393"/>
      <c r="K7" s="393"/>
      <c r="L7" s="393"/>
      <c r="M7" s="393"/>
      <c r="N7" s="393"/>
      <c r="O7" s="393"/>
      <c r="P7" s="393"/>
      <c r="Q7" s="393"/>
      <c r="R7" s="393"/>
      <c r="S7" s="424"/>
    </row>
    <row r="8" spans="1:19" ht="14.25" thickBot="1">
      <c r="C8" s="689" t="s">
        <v>1020</v>
      </c>
      <c r="D8" s="393"/>
      <c r="E8" s="393"/>
      <c r="F8" s="393"/>
      <c r="G8" s="393"/>
      <c r="H8" s="393"/>
      <c r="I8" s="393"/>
      <c r="J8" s="393"/>
      <c r="K8" s="393"/>
      <c r="L8" s="393"/>
      <c r="M8" s="393"/>
      <c r="N8" s="393"/>
      <c r="O8" s="393"/>
      <c r="P8" s="393"/>
      <c r="Q8" s="393"/>
      <c r="R8" s="393"/>
      <c r="S8" s="424"/>
    </row>
    <row r="9" spans="1:19" ht="9" customHeight="1">
      <c r="C9" s="937"/>
      <c r="D9" s="421"/>
      <c r="E9" s="421"/>
      <c r="F9" s="421"/>
      <c r="G9" s="421"/>
      <c r="H9" s="421"/>
      <c r="I9" s="421"/>
      <c r="J9" s="421"/>
      <c r="K9" s="421"/>
      <c r="L9" s="421"/>
      <c r="M9" s="421"/>
      <c r="N9" s="421"/>
      <c r="O9" s="421"/>
      <c r="P9" s="421"/>
      <c r="Q9" s="421"/>
      <c r="R9" s="421"/>
      <c r="S9" s="421"/>
    </row>
    <row r="10" spans="1:19" ht="17.25" customHeight="1" thickBot="1">
      <c r="B10" t="s">
        <v>770</v>
      </c>
    </row>
    <row r="11" spans="1:19" ht="12.75" customHeight="1">
      <c r="C11" s="420" t="s">
        <v>823</v>
      </c>
      <c r="D11" s="421"/>
      <c r="E11" s="421"/>
      <c r="F11" s="421"/>
      <c r="G11" s="421"/>
      <c r="H11" s="421"/>
      <c r="I11" s="421"/>
      <c r="J11" s="422"/>
    </row>
    <row r="12" spans="1:19">
      <c r="C12" s="423" t="s">
        <v>1009</v>
      </c>
      <c r="D12" s="393"/>
      <c r="E12" s="393"/>
      <c r="F12" s="393"/>
      <c r="G12" s="393"/>
      <c r="H12" s="393"/>
      <c r="I12" s="393"/>
      <c r="J12" s="424"/>
    </row>
    <row r="13" spans="1:19">
      <c r="C13" s="689" t="s">
        <v>1010</v>
      </c>
      <c r="D13" s="393"/>
      <c r="E13" s="393"/>
      <c r="F13" s="393"/>
      <c r="G13" s="393"/>
      <c r="H13" s="393"/>
      <c r="I13" s="393"/>
      <c r="J13" s="424"/>
    </row>
    <row r="14" spans="1:19">
      <c r="C14" s="423" t="s">
        <v>1011</v>
      </c>
      <c r="D14" s="393"/>
      <c r="E14" s="393"/>
      <c r="F14" s="393"/>
      <c r="G14" s="393"/>
      <c r="H14" s="393"/>
      <c r="I14" s="393"/>
      <c r="J14" s="424"/>
    </row>
    <row r="15" spans="1:19" ht="14.25" thickBot="1">
      <c r="C15" s="425" t="s">
        <v>1012</v>
      </c>
      <c r="D15" s="426"/>
      <c r="E15" s="426"/>
      <c r="F15" s="426"/>
      <c r="G15" s="426"/>
      <c r="H15" s="426"/>
      <c r="I15" s="426"/>
      <c r="J15" s="427"/>
    </row>
    <row r="16" spans="1:19">
      <c r="C16" s="421"/>
      <c r="D16" s="421"/>
      <c r="E16" s="421"/>
      <c r="F16" s="421"/>
      <c r="G16" s="421"/>
      <c r="H16" s="421"/>
      <c r="I16" s="421"/>
      <c r="J16" s="421"/>
    </row>
    <row r="17" spans="1:25">
      <c r="B17" s="938" t="s">
        <v>1026</v>
      </c>
      <c r="C17" s="393"/>
      <c r="D17" s="393"/>
      <c r="E17" s="393"/>
      <c r="F17" s="393"/>
      <c r="G17" s="393"/>
      <c r="H17" s="393"/>
      <c r="I17" s="393"/>
      <c r="J17" s="393"/>
    </row>
    <row r="18" spans="1:25">
      <c r="B18" s="393"/>
      <c r="C18" s="787" t="s">
        <v>1027</v>
      </c>
      <c r="D18" s="393"/>
      <c r="E18" s="393"/>
      <c r="F18" s="393"/>
      <c r="G18" s="393"/>
      <c r="H18" s="393"/>
      <c r="I18" s="393"/>
      <c r="J18" s="393"/>
      <c r="X18" s="939">
        <v>1</v>
      </c>
      <c r="Y18" t="s">
        <v>1029</v>
      </c>
    </row>
    <row r="19" spans="1:25">
      <c r="X19" s="939">
        <v>2</v>
      </c>
      <c r="Y19" t="s">
        <v>1031</v>
      </c>
    </row>
    <row r="20" spans="1:25">
      <c r="X20" s="939">
        <v>3</v>
      </c>
      <c r="Y20" t="s">
        <v>1030</v>
      </c>
    </row>
    <row r="22" spans="1:25" ht="38.25" customHeight="1"/>
    <row r="23" spans="1:25" ht="29.25" customHeight="1">
      <c r="A23" s="419">
        <v>2</v>
      </c>
      <c r="B23" s="67" t="s">
        <v>686</v>
      </c>
    </row>
    <row r="24" spans="1:25" ht="13.5" customHeight="1">
      <c r="A24" s="419"/>
      <c r="B24" s="67"/>
      <c r="C24" s="554" t="s">
        <v>826</v>
      </c>
      <c r="D24" t="s">
        <v>850</v>
      </c>
    </row>
    <row r="25" spans="1:25" ht="13.5" customHeight="1">
      <c r="A25" s="419"/>
      <c r="B25" s="67"/>
      <c r="D25" t="s">
        <v>926</v>
      </c>
      <c r="N25" t="s">
        <v>849</v>
      </c>
    </row>
    <row r="34" spans="3:13">
      <c r="C34" s="393"/>
      <c r="D34" s="393"/>
      <c r="E34" s="393"/>
      <c r="F34" s="393"/>
      <c r="G34" s="393"/>
      <c r="H34" s="393"/>
      <c r="I34" s="393"/>
      <c r="J34" s="393"/>
      <c r="K34" s="393"/>
    </row>
    <row r="44" spans="3:13" ht="13.5" customHeight="1">
      <c r="C44" s="428" t="s">
        <v>773</v>
      </c>
      <c r="D44" s="429"/>
      <c r="E44" s="429"/>
      <c r="F44" s="429"/>
      <c r="G44" s="429"/>
      <c r="H44" s="429"/>
      <c r="I44" s="429"/>
      <c r="J44" s="429"/>
      <c r="K44" s="430"/>
      <c r="M44" t="s">
        <v>827</v>
      </c>
    </row>
    <row r="45" spans="3:13">
      <c r="C45" s="431" t="s">
        <v>774</v>
      </c>
      <c r="D45" s="393"/>
      <c r="E45" s="393"/>
      <c r="F45" s="393"/>
      <c r="G45" s="393"/>
      <c r="H45" s="393"/>
      <c r="I45" s="393"/>
      <c r="J45" s="393"/>
      <c r="K45" s="432"/>
      <c r="M45" t="s">
        <v>829</v>
      </c>
    </row>
    <row r="46" spans="3:13">
      <c r="C46" s="431" t="s">
        <v>805</v>
      </c>
      <c r="D46" s="393"/>
      <c r="E46" s="393"/>
      <c r="F46" s="393"/>
      <c r="G46" s="393"/>
      <c r="H46" s="393"/>
      <c r="I46" s="393"/>
      <c r="J46" s="393"/>
      <c r="K46" s="432"/>
    </row>
    <row r="47" spans="3:13">
      <c r="C47" s="431" t="s">
        <v>1028</v>
      </c>
      <c r="D47" s="393"/>
      <c r="E47" s="393"/>
      <c r="F47" s="393"/>
      <c r="G47" s="393"/>
      <c r="H47" s="393"/>
      <c r="I47" s="393"/>
      <c r="J47" s="393"/>
      <c r="K47" s="432"/>
    </row>
    <row r="48" spans="3:13">
      <c r="C48" s="433" t="s">
        <v>828</v>
      </c>
      <c r="D48" s="434"/>
      <c r="E48" s="434"/>
      <c r="F48" s="434"/>
      <c r="G48" s="434"/>
      <c r="H48" s="434"/>
      <c r="I48" s="434"/>
      <c r="J48" s="434"/>
      <c r="K48" s="435"/>
    </row>
    <row r="49" spans="1:21" ht="30">
      <c r="A49" s="419">
        <v>3</v>
      </c>
      <c r="B49" s="67" t="s">
        <v>228</v>
      </c>
    </row>
    <row r="50" spans="1:21" ht="13.5" customHeight="1">
      <c r="A50" s="419"/>
      <c r="B50" s="67"/>
      <c r="C50" s="554" t="s">
        <v>826</v>
      </c>
      <c r="D50" t="s">
        <v>830</v>
      </c>
    </row>
    <row r="51" spans="1:21" ht="13.5" customHeight="1">
      <c r="A51" s="419"/>
      <c r="B51" s="67"/>
      <c r="D51" t="s">
        <v>832</v>
      </c>
    </row>
    <row r="58" spans="1:21">
      <c r="G58" t="s">
        <v>782</v>
      </c>
    </row>
    <row r="60" spans="1:21">
      <c r="C60" s="428" t="s">
        <v>775</v>
      </c>
      <c r="D60" s="429"/>
      <c r="E60" s="429"/>
      <c r="F60" s="429"/>
      <c r="G60" s="429"/>
      <c r="H60" s="429"/>
      <c r="I60" s="429"/>
      <c r="J60" s="429"/>
      <c r="K60" s="430"/>
      <c r="M60" s="955" t="s">
        <v>1016</v>
      </c>
      <c r="N60" s="956"/>
      <c r="O60" s="956"/>
      <c r="P60" s="956"/>
      <c r="Q60" s="956"/>
      <c r="R60" s="956"/>
      <c r="S60" s="956"/>
      <c r="T60" s="956"/>
      <c r="U60" s="957"/>
    </row>
    <row r="61" spans="1:21">
      <c r="C61" s="431" t="s">
        <v>772</v>
      </c>
      <c r="D61" s="393"/>
      <c r="E61" s="393"/>
      <c r="F61" s="393"/>
      <c r="G61" s="393"/>
      <c r="H61" s="393"/>
      <c r="I61" s="393"/>
      <c r="J61" s="393"/>
      <c r="K61" s="432"/>
      <c r="M61" s="958"/>
      <c r="N61" s="959"/>
      <c r="O61" s="959"/>
      <c r="P61" s="959"/>
      <c r="Q61" s="959"/>
      <c r="R61" s="959"/>
      <c r="S61" s="959"/>
      <c r="T61" s="959"/>
      <c r="U61" s="960"/>
    </row>
    <row r="62" spans="1:21">
      <c r="C62" s="438" t="s">
        <v>807</v>
      </c>
      <c r="D62" s="393"/>
      <c r="E62" s="393"/>
      <c r="F62" s="393"/>
      <c r="G62" s="393"/>
      <c r="H62" s="393"/>
      <c r="I62" s="393"/>
      <c r="J62" s="393"/>
      <c r="K62" s="432"/>
      <c r="M62" s="961"/>
      <c r="N62" s="962"/>
      <c r="O62" s="962"/>
      <c r="P62" s="962"/>
      <c r="Q62" s="962"/>
      <c r="R62" s="962"/>
      <c r="S62" s="962"/>
      <c r="T62" s="962"/>
      <c r="U62" s="963"/>
    </row>
    <row r="63" spans="1:21" ht="13.5" customHeight="1">
      <c r="C63" s="438" t="s">
        <v>831</v>
      </c>
      <c r="D63" s="393"/>
      <c r="E63" s="393"/>
      <c r="F63" s="393"/>
      <c r="G63" s="393"/>
      <c r="H63" s="393"/>
      <c r="I63" s="393"/>
      <c r="J63" s="393"/>
      <c r="K63" s="432"/>
      <c r="M63" s="434"/>
      <c r="N63" s="434"/>
      <c r="O63" s="434"/>
      <c r="P63" s="434"/>
      <c r="Q63" s="434"/>
      <c r="R63" s="434"/>
    </row>
    <row r="64" spans="1:21" ht="13.5" customHeight="1">
      <c r="C64" s="431" t="s">
        <v>791</v>
      </c>
      <c r="D64" s="393"/>
      <c r="E64" s="393"/>
      <c r="F64" s="393"/>
      <c r="G64" s="393"/>
      <c r="H64" s="393"/>
      <c r="I64" s="393"/>
      <c r="J64" s="393"/>
      <c r="K64" s="432"/>
      <c r="M64" s="529" t="s">
        <v>792</v>
      </c>
      <c r="N64" s="530"/>
      <c r="O64" s="530"/>
      <c r="P64" s="530"/>
      <c r="Q64" s="530"/>
      <c r="R64" s="531"/>
    </row>
    <row r="65" spans="1:11" ht="12.75" customHeight="1">
      <c r="C65" s="433" t="s">
        <v>1022</v>
      </c>
      <c r="D65" s="434"/>
      <c r="E65" s="434"/>
      <c r="F65" s="434"/>
      <c r="G65" s="434"/>
      <c r="H65" s="434"/>
      <c r="I65" s="434"/>
      <c r="J65" s="434"/>
      <c r="K65" s="435"/>
    </row>
    <row r="66" spans="1:11" ht="6.75" customHeight="1"/>
    <row r="67" spans="1:11" ht="6.75" customHeight="1"/>
    <row r="68" spans="1:11" ht="30">
      <c r="A68" s="67" t="s">
        <v>574</v>
      </c>
    </row>
    <row r="69" spans="1:11" ht="13.5" customHeight="1">
      <c r="A69" s="67"/>
      <c r="B69" s="554" t="s">
        <v>826</v>
      </c>
      <c r="C69" t="s">
        <v>925</v>
      </c>
    </row>
    <row r="70" spans="1:11" ht="13.5" customHeight="1">
      <c r="A70" s="67"/>
      <c r="C70" t="s">
        <v>833</v>
      </c>
    </row>
    <row r="83" spans="2:21">
      <c r="B83" s="823" t="s">
        <v>821</v>
      </c>
      <c r="C83" s="823"/>
      <c r="D83" s="823"/>
      <c r="E83" s="823"/>
      <c r="F83" s="823"/>
      <c r="G83" s="823"/>
      <c r="H83" s="823"/>
      <c r="I83" s="823"/>
      <c r="J83" s="823"/>
      <c r="K83" s="824" t="s">
        <v>919</v>
      </c>
      <c r="L83" s="823"/>
      <c r="M83" s="823"/>
      <c r="N83" s="823"/>
      <c r="O83" s="823"/>
      <c r="P83" s="823"/>
      <c r="Q83" s="825" t="s">
        <v>899</v>
      </c>
      <c r="R83" s="823"/>
      <c r="S83" s="823"/>
      <c r="U83" s="554"/>
    </row>
    <row r="84" spans="2:21">
      <c r="B84" s="823"/>
      <c r="C84" s="823"/>
      <c r="D84" s="823"/>
      <c r="E84" s="823"/>
      <c r="F84" s="823"/>
      <c r="G84" s="823"/>
      <c r="H84" s="823"/>
      <c r="I84" s="823"/>
      <c r="J84" s="823"/>
      <c r="K84" s="824" t="s">
        <v>920</v>
      </c>
      <c r="L84" s="823"/>
      <c r="M84" s="823"/>
      <c r="N84" s="823"/>
      <c r="O84" s="823"/>
      <c r="P84" s="823"/>
      <c r="Q84" s="823" t="s">
        <v>1033</v>
      </c>
      <c r="R84" s="823"/>
      <c r="S84" s="823"/>
      <c r="T84" s="823"/>
    </row>
    <row r="85" spans="2:21">
      <c r="B85" s="428" t="s">
        <v>869</v>
      </c>
      <c r="C85" s="429"/>
      <c r="D85" s="429"/>
      <c r="E85" s="429"/>
      <c r="F85" s="429"/>
      <c r="G85" s="429"/>
      <c r="H85" s="429"/>
      <c r="I85" s="429"/>
      <c r="J85" s="430"/>
      <c r="K85" s="826" t="s">
        <v>921</v>
      </c>
    </row>
    <row r="86" spans="2:21">
      <c r="B86" s="431" t="s">
        <v>870</v>
      </c>
      <c r="C86" s="393"/>
      <c r="D86" s="393"/>
      <c r="E86" s="393"/>
      <c r="F86" s="393"/>
      <c r="G86" s="393"/>
      <c r="H86" s="393"/>
      <c r="I86" s="393"/>
      <c r="J86" s="432"/>
    </row>
    <row r="87" spans="2:21">
      <c r="B87" s="431" t="s">
        <v>692</v>
      </c>
      <c r="C87" s="393"/>
      <c r="D87" s="393"/>
      <c r="E87" s="393"/>
      <c r="F87" s="393"/>
      <c r="G87" s="393"/>
      <c r="H87" s="393"/>
      <c r="I87" s="393"/>
      <c r="J87" s="432"/>
      <c r="L87" s="428" t="s">
        <v>854</v>
      </c>
      <c r="M87" s="429"/>
      <c r="N87" s="429"/>
      <c r="O87" s="429"/>
      <c r="P87" s="429"/>
      <c r="Q87" s="430"/>
    </row>
    <row r="88" spans="2:21">
      <c r="B88" s="431" t="s">
        <v>903</v>
      </c>
      <c r="C88" s="393"/>
      <c r="D88" s="393"/>
      <c r="E88" s="393"/>
      <c r="F88" s="393"/>
      <c r="G88" s="393"/>
      <c r="H88" s="393"/>
      <c r="I88" s="393"/>
      <c r="J88" s="432"/>
      <c r="L88" s="431" t="s">
        <v>820</v>
      </c>
      <c r="M88" s="393"/>
      <c r="N88" s="393"/>
      <c r="O88" s="393"/>
      <c r="P88" s="393"/>
      <c r="Q88" s="432"/>
    </row>
    <row r="89" spans="2:21">
      <c r="B89" s="431" t="s">
        <v>776</v>
      </c>
      <c r="C89" s="393"/>
      <c r="D89" s="393"/>
      <c r="E89" s="393"/>
      <c r="F89" s="393"/>
      <c r="G89" s="393"/>
      <c r="H89" s="393"/>
      <c r="I89" s="393"/>
      <c r="J89" s="432"/>
      <c r="L89" s="431" t="s">
        <v>691</v>
      </c>
      <c r="M89" s="393"/>
      <c r="N89" s="393"/>
      <c r="O89" s="393"/>
      <c r="P89" s="393"/>
      <c r="Q89" s="432"/>
    </row>
    <row r="90" spans="2:21">
      <c r="B90" s="973" t="s">
        <v>904</v>
      </c>
      <c r="C90" s="974"/>
      <c r="D90" s="974"/>
      <c r="E90" s="974"/>
      <c r="F90" s="974"/>
      <c r="G90" s="974"/>
      <c r="H90" s="974"/>
      <c r="I90" s="974"/>
      <c r="J90" s="975"/>
      <c r="L90" s="431" t="s">
        <v>688</v>
      </c>
      <c r="M90" s="393"/>
      <c r="N90" s="393"/>
      <c r="O90" s="393"/>
      <c r="P90" s="393"/>
      <c r="Q90" s="432"/>
    </row>
    <row r="91" spans="2:21">
      <c r="B91" s="973" t="s">
        <v>905</v>
      </c>
      <c r="C91" s="974"/>
      <c r="D91" s="974"/>
      <c r="E91" s="974"/>
      <c r="F91" s="974"/>
      <c r="G91" s="974"/>
      <c r="H91" s="974"/>
      <c r="I91" s="974"/>
      <c r="J91" s="975"/>
      <c r="L91" s="433" t="s">
        <v>689</v>
      </c>
      <c r="M91" s="434"/>
      <c r="N91" s="434"/>
      <c r="O91" s="434"/>
      <c r="P91" s="434"/>
      <c r="Q91" s="435"/>
    </row>
    <row r="92" spans="2:21">
      <c r="B92" s="431" t="s">
        <v>687</v>
      </c>
      <c r="C92" s="393"/>
      <c r="D92" s="393"/>
      <c r="E92" s="393"/>
      <c r="F92" s="393"/>
      <c r="G92" s="393"/>
      <c r="H92" s="393"/>
      <c r="I92" s="393"/>
      <c r="J92" s="432"/>
    </row>
    <row r="93" spans="2:21">
      <c r="B93" s="438" t="s">
        <v>855</v>
      </c>
      <c r="C93" s="393"/>
      <c r="D93" s="393"/>
      <c r="E93" s="393"/>
      <c r="F93" s="393"/>
      <c r="G93" s="393"/>
      <c r="H93" s="393"/>
      <c r="I93" s="393"/>
      <c r="J93" s="432"/>
    </row>
    <row r="94" spans="2:21">
      <c r="B94" s="431" t="s">
        <v>693</v>
      </c>
      <c r="C94" s="393"/>
      <c r="D94" s="393"/>
      <c r="E94" s="393"/>
      <c r="F94" s="393"/>
      <c r="G94" s="393"/>
      <c r="H94" s="393"/>
      <c r="I94" s="393"/>
      <c r="J94" s="432"/>
    </row>
    <row r="95" spans="2:21">
      <c r="B95" s="438" t="s">
        <v>694</v>
      </c>
      <c r="C95" s="393"/>
      <c r="D95" s="393"/>
      <c r="E95" s="393"/>
      <c r="F95" s="393"/>
      <c r="G95" s="393"/>
      <c r="H95" s="393"/>
      <c r="I95" s="393"/>
      <c r="J95" s="432"/>
    </row>
    <row r="96" spans="2:21">
      <c r="B96" s="438" t="s">
        <v>783</v>
      </c>
      <c r="C96" s="393"/>
      <c r="D96" s="393"/>
      <c r="E96" s="393"/>
      <c r="F96" s="393"/>
      <c r="G96" s="393"/>
      <c r="H96" s="393"/>
      <c r="I96" s="393"/>
      <c r="J96" s="432"/>
    </row>
    <row r="97" spans="1:10">
      <c r="B97" s="436" t="s">
        <v>784</v>
      </c>
      <c r="C97" s="434"/>
      <c r="D97" s="434"/>
      <c r="E97" s="434"/>
      <c r="F97" s="434"/>
      <c r="G97" s="434"/>
      <c r="H97" s="434"/>
      <c r="I97" s="434"/>
      <c r="J97" s="435"/>
    </row>
    <row r="98" spans="1:10" ht="30">
      <c r="A98" s="419">
        <v>5</v>
      </c>
      <c r="B98" s="67" t="s">
        <v>690</v>
      </c>
    </row>
    <row r="99" spans="1:10" ht="13.5" customHeight="1">
      <c r="A99" s="419"/>
      <c r="B99" s="67"/>
      <c r="C99" s="554" t="s">
        <v>826</v>
      </c>
      <c r="D99" t="s">
        <v>835</v>
      </c>
    </row>
    <row r="100" spans="1:10" ht="13.5" customHeight="1">
      <c r="A100" s="419"/>
      <c r="B100" s="67"/>
      <c r="D100" t="s">
        <v>834</v>
      </c>
    </row>
    <row r="117" spans="1:20">
      <c r="C117" s="428" t="s">
        <v>695</v>
      </c>
      <c r="D117" s="429"/>
      <c r="E117" s="429"/>
      <c r="F117" s="429"/>
      <c r="G117" s="429"/>
      <c r="H117" s="429"/>
      <c r="I117" s="429"/>
      <c r="J117" s="429"/>
      <c r="K117" s="430"/>
      <c r="N117" s="428" t="s">
        <v>785</v>
      </c>
      <c r="O117" s="429"/>
      <c r="P117" s="429"/>
      <c r="Q117" s="429"/>
      <c r="R117" s="429"/>
      <c r="S117" s="429"/>
      <c r="T117" s="430"/>
    </row>
    <row r="118" spans="1:20">
      <c r="C118" s="431" t="s">
        <v>696</v>
      </c>
      <c r="D118" s="393"/>
      <c r="E118" s="393"/>
      <c r="F118" s="393"/>
      <c r="G118" s="393"/>
      <c r="H118" s="393"/>
      <c r="I118" s="393"/>
      <c r="J118" s="393"/>
      <c r="K118" s="432"/>
      <c r="N118" s="433" t="s">
        <v>1018</v>
      </c>
      <c r="O118" s="434"/>
      <c r="P118" s="434"/>
      <c r="Q118" s="434"/>
      <c r="R118" s="434"/>
      <c r="S118" s="434"/>
      <c r="T118" s="435"/>
    </row>
    <row r="119" spans="1:20">
      <c r="C119" s="431" t="s">
        <v>699</v>
      </c>
      <c r="D119" s="393"/>
      <c r="E119" s="393"/>
      <c r="F119" s="393"/>
      <c r="G119" s="393"/>
      <c r="H119" s="393"/>
      <c r="I119" s="393"/>
      <c r="J119" s="393"/>
      <c r="K119" s="432"/>
    </row>
    <row r="120" spans="1:20">
      <c r="C120" s="431" t="s">
        <v>856</v>
      </c>
      <c r="D120" s="393"/>
      <c r="E120" s="393"/>
      <c r="F120" s="393"/>
      <c r="G120" s="393"/>
      <c r="H120" s="393"/>
      <c r="I120" s="393"/>
      <c r="J120" s="393"/>
      <c r="K120" s="432"/>
    </row>
    <row r="121" spans="1:20">
      <c r="C121" s="431" t="s">
        <v>700</v>
      </c>
      <c r="D121" s="393"/>
      <c r="E121" s="393"/>
      <c r="F121" s="393"/>
      <c r="G121" s="393"/>
      <c r="H121" s="393"/>
      <c r="I121" s="393"/>
      <c r="J121" s="393"/>
      <c r="K121" s="432"/>
    </row>
    <row r="122" spans="1:20">
      <c r="C122" s="431" t="s">
        <v>851</v>
      </c>
      <c r="D122" s="393"/>
      <c r="E122" s="393"/>
      <c r="F122" s="393"/>
      <c r="G122" s="393"/>
      <c r="H122" s="393"/>
      <c r="I122" s="393"/>
      <c r="J122" s="393"/>
      <c r="K122" s="432"/>
    </row>
    <row r="123" spans="1:20">
      <c r="C123" s="433" t="s">
        <v>697</v>
      </c>
      <c r="D123" s="434"/>
      <c r="E123" s="434"/>
      <c r="F123" s="434"/>
      <c r="G123" s="434"/>
      <c r="H123" s="434"/>
      <c r="I123" s="434"/>
      <c r="J123" s="434"/>
      <c r="K123" s="435"/>
    </row>
    <row r="124" spans="1:20">
      <c r="C124" s="393"/>
      <c r="D124" s="393"/>
      <c r="E124" s="393"/>
      <c r="F124" s="393"/>
      <c r="G124" s="393"/>
      <c r="H124" s="393"/>
      <c r="I124" s="393"/>
      <c r="J124" s="393"/>
    </row>
    <row r="125" spans="1:20" ht="30">
      <c r="A125" s="419">
        <v>6</v>
      </c>
      <c r="B125" s="67" t="s">
        <v>710</v>
      </c>
    </row>
    <row r="126" spans="1:20" ht="13.5" customHeight="1">
      <c r="A126" s="419"/>
      <c r="B126" s="67"/>
      <c r="C126" s="554" t="s">
        <v>826</v>
      </c>
      <c r="D126" t="s">
        <v>853</v>
      </c>
    </row>
    <row r="127" spans="1:20" ht="13.5" customHeight="1">
      <c r="A127" s="419"/>
      <c r="B127" s="67"/>
      <c r="D127" t="s">
        <v>834</v>
      </c>
    </row>
    <row r="136" spans="3:12">
      <c r="C136" s="484" t="s">
        <v>875</v>
      </c>
      <c r="D136" s="485"/>
      <c r="E136" s="485"/>
      <c r="F136" s="485"/>
      <c r="G136" s="485"/>
      <c r="H136" s="485"/>
      <c r="I136" s="485"/>
      <c r="J136" s="485"/>
      <c r="K136" s="430"/>
      <c r="L136" s="617" t="s">
        <v>857</v>
      </c>
    </row>
    <row r="137" spans="3:12">
      <c r="C137" s="431" t="s">
        <v>876</v>
      </c>
      <c r="D137" s="393"/>
      <c r="E137" s="393"/>
      <c r="F137" s="393"/>
      <c r="G137" s="393"/>
      <c r="H137" s="393"/>
      <c r="I137" s="393"/>
      <c r="J137" s="393"/>
      <c r="K137" s="432"/>
    </row>
    <row r="138" spans="3:12">
      <c r="C138" s="486" t="s">
        <v>786</v>
      </c>
      <c r="D138" s="487"/>
      <c r="E138" s="487"/>
      <c r="F138" s="487"/>
      <c r="G138" s="487"/>
      <c r="H138" s="487"/>
      <c r="I138" s="487"/>
      <c r="J138" s="487"/>
      <c r="K138" s="432"/>
    </row>
    <row r="139" spans="3:12">
      <c r="C139" s="486" t="s">
        <v>787</v>
      </c>
      <c r="D139" s="487"/>
      <c r="E139" s="487"/>
      <c r="F139" s="487"/>
      <c r="G139" s="487"/>
      <c r="H139" s="487"/>
      <c r="I139" s="487"/>
      <c r="J139" s="487"/>
      <c r="K139" s="432"/>
    </row>
    <row r="140" spans="3:12">
      <c r="C140" s="486" t="s">
        <v>877</v>
      </c>
      <c r="D140" s="487"/>
      <c r="E140" s="487"/>
      <c r="F140" s="487"/>
      <c r="G140" s="487"/>
      <c r="H140" s="487"/>
      <c r="I140" s="487"/>
      <c r="J140" s="487"/>
      <c r="K140" s="432"/>
    </row>
    <row r="141" spans="3:12">
      <c r="C141" s="616" t="s">
        <v>878</v>
      </c>
      <c r="D141" s="393"/>
      <c r="E141" s="393"/>
      <c r="F141" s="393"/>
      <c r="G141" s="393"/>
      <c r="H141" s="393"/>
      <c r="I141" s="393"/>
      <c r="J141" s="393"/>
      <c r="K141" s="432"/>
    </row>
    <row r="142" spans="3:12">
      <c r="C142" s="486" t="s">
        <v>703</v>
      </c>
      <c r="D142" s="487"/>
      <c r="E142" s="487"/>
      <c r="F142" s="487"/>
      <c r="G142" s="487"/>
      <c r="H142" s="487"/>
      <c r="I142" s="487"/>
      <c r="J142" s="487"/>
      <c r="K142" s="432"/>
    </row>
    <row r="143" spans="3:12">
      <c r="C143" s="486" t="s">
        <v>858</v>
      </c>
      <c r="D143" s="487"/>
      <c r="E143" s="487"/>
      <c r="F143" s="487"/>
      <c r="G143" s="487"/>
      <c r="H143" s="487"/>
      <c r="I143" s="487"/>
      <c r="J143" s="487"/>
      <c r="K143" s="432"/>
    </row>
    <row r="144" spans="3:12">
      <c r="C144" s="488" t="s">
        <v>852</v>
      </c>
      <c r="D144" s="489"/>
      <c r="E144" s="489"/>
      <c r="F144" s="489"/>
      <c r="G144" s="489"/>
      <c r="H144" s="489"/>
      <c r="I144" s="489"/>
      <c r="J144" s="489"/>
      <c r="K144" s="435"/>
    </row>
    <row r="145" spans="1:22" ht="30">
      <c r="A145" s="419">
        <v>7</v>
      </c>
      <c r="B145" s="67" t="s">
        <v>761</v>
      </c>
    </row>
    <row r="146" spans="1:22" ht="13.5" customHeight="1">
      <c r="A146" s="419"/>
      <c r="B146" s="67"/>
      <c r="C146" s="554" t="s">
        <v>826</v>
      </c>
      <c r="D146" t="s">
        <v>837</v>
      </c>
    </row>
    <row r="147" spans="1:22" ht="7.5" customHeight="1"/>
    <row r="157" spans="1:22">
      <c r="K157" t="s">
        <v>844</v>
      </c>
      <c r="Q157" s="964" t="s">
        <v>843</v>
      </c>
      <c r="R157" s="965"/>
      <c r="S157" s="965"/>
      <c r="T157" s="965"/>
      <c r="U157" s="966"/>
    </row>
    <row r="158" spans="1:22">
      <c r="C158" s="428" t="s">
        <v>841</v>
      </c>
      <c r="D158" s="429"/>
      <c r="E158" s="429"/>
      <c r="F158" s="429"/>
      <c r="G158" s="429"/>
      <c r="H158" s="429"/>
      <c r="I158" s="429"/>
      <c r="J158" s="429"/>
      <c r="K158" s="430"/>
      <c r="Q158" s="967"/>
      <c r="R158" s="968"/>
      <c r="S158" s="968"/>
      <c r="T158" s="968"/>
      <c r="U158" s="969"/>
    </row>
    <row r="159" spans="1:22">
      <c r="C159" s="431" t="s">
        <v>840</v>
      </c>
      <c r="D159" s="393"/>
      <c r="E159" s="393"/>
      <c r="F159" s="393"/>
      <c r="G159" s="393"/>
      <c r="H159" s="393"/>
      <c r="I159" s="393"/>
      <c r="J159" s="393"/>
      <c r="K159" s="432"/>
      <c r="L159" t="s">
        <v>817</v>
      </c>
      <c r="Q159" s="967"/>
      <c r="R159" s="968"/>
      <c r="S159" s="968"/>
      <c r="T159" s="968"/>
      <c r="U159" s="969"/>
      <c r="V159" s="393"/>
    </row>
    <row r="160" spans="1:22">
      <c r="C160" s="431" t="s">
        <v>765</v>
      </c>
      <c r="D160" s="393"/>
      <c r="E160" s="393"/>
      <c r="F160" s="393"/>
      <c r="G160" s="393"/>
      <c r="H160" s="393"/>
      <c r="I160" s="393"/>
      <c r="J160" s="393"/>
      <c r="K160" s="432"/>
      <c r="L160" t="s">
        <v>818</v>
      </c>
      <c r="Q160" s="970"/>
      <c r="R160" s="971"/>
      <c r="S160" s="971"/>
      <c r="T160" s="971"/>
      <c r="U160" s="972"/>
      <c r="V160" s="393"/>
    </row>
    <row r="161" spans="1:22">
      <c r="C161" s="431" t="s">
        <v>766</v>
      </c>
      <c r="D161" s="393"/>
      <c r="E161" s="393"/>
      <c r="F161" s="393"/>
      <c r="G161" s="393"/>
      <c r="H161" s="393"/>
      <c r="I161" s="393"/>
      <c r="J161" s="393"/>
      <c r="K161" s="432"/>
      <c r="V161" s="393"/>
    </row>
    <row r="162" spans="1:22">
      <c r="C162" s="431" t="s">
        <v>842</v>
      </c>
      <c r="D162" s="393"/>
      <c r="E162" s="393"/>
      <c r="F162" s="393"/>
      <c r="G162" s="393"/>
      <c r="H162" s="393"/>
      <c r="I162" s="393"/>
      <c r="J162" s="393"/>
      <c r="K162" s="432"/>
    </row>
    <row r="163" spans="1:22">
      <c r="C163" s="431" t="s">
        <v>789</v>
      </c>
      <c r="D163" s="393"/>
      <c r="E163" s="393"/>
      <c r="F163" s="393"/>
      <c r="G163" s="393"/>
      <c r="H163" s="393"/>
      <c r="I163" s="393"/>
      <c r="J163" s="393"/>
      <c r="K163" s="432"/>
    </row>
    <row r="164" spans="1:22">
      <c r="C164" s="431" t="s">
        <v>790</v>
      </c>
      <c r="D164" s="393"/>
      <c r="E164" s="393"/>
      <c r="F164" s="393"/>
      <c r="G164" s="393"/>
      <c r="H164" s="393"/>
      <c r="I164" s="393"/>
      <c r="J164" s="393"/>
      <c r="K164" s="432"/>
    </row>
    <row r="165" spans="1:22">
      <c r="C165" s="436" t="s">
        <v>860</v>
      </c>
      <c r="D165" s="434"/>
      <c r="E165" s="434"/>
      <c r="F165" s="434"/>
      <c r="G165" s="434"/>
      <c r="H165" s="434"/>
      <c r="I165" s="434"/>
      <c r="J165" s="434"/>
      <c r="K165" s="435"/>
    </row>
    <row r="166" spans="1:22">
      <c r="C166" s="787"/>
      <c r="D166" s="393"/>
      <c r="E166" s="393"/>
      <c r="F166" s="393"/>
      <c r="G166" s="393"/>
      <c r="H166" s="393"/>
      <c r="I166" s="393"/>
      <c r="J166" s="393"/>
      <c r="K166" s="393"/>
    </row>
    <row r="167" spans="1:22" ht="30">
      <c r="A167" s="419">
        <v>8</v>
      </c>
      <c r="B167" s="67" t="s">
        <v>648</v>
      </c>
    </row>
    <row r="168" spans="1:22" ht="13.5" customHeight="1">
      <c r="A168" s="419"/>
      <c r="B168" s="67"/>
      <c r="C168" s="554" t="s">
        <v>826</v>
      </c>
      <c r="D168" t="s">
        <v>836</v>
      </c>
    </row>
    <row r="178" spans="3:18">
      <c r="H178" s="827"/>
    </row>
    <row r="179" spans="3:18">
      <c r="N179" t="s">
        <v>839</v>
      </c>
    </row>
    <row r="180" spans="3:18">
      <c r="C180" s="529" t="s">
        <v>806</v>
      </c>
      <c r="D180" s="530"/>
      <c r="E180" s="530"/>
      <c r="F180" s="530"/>
      <c r="G180" s="530"/>
      <c r="H180" s="530"/>
      <c r="I180" s="530"/>
      <c r="J180" s="530"/>
      <c r="K180" s="531"/>
    </row>
    <row r="181" spans="3:18">
      <c r="M181" s="428" t="s">
        <v>819</v>
      </c>
      <c r="N181" s="429"/>
      <c r="O181" s="429"/>
      <c r="P181" s="429"/>
      <c r="Q181" s="429"/>
      <c r="R181" s="430"/>
    </row>
    <row r="182" spans="3:18">
      <c r="C182" s="484" t="s">
        <v>879</v>
      </c>
      <c r="D182" s="485"/>
      <c r="E182" s="485"/>
      <c r="F182" s="485"/>
      <c r="G182" s="485"/>
      <c r="H182" s="485"/>
      <c r="I182" s="485"/>
      <c r="J182" s="485"/>
      <c r="K182" s="430"/>
      <c r="M182" s="431" t="s">
        <v>866</v>
      </c>
      <c r="N182" s="393"/>
      <c r="O182" s="393"/>
      <c r="P182" s="393"/>
      <c r="Q182" s="393"/>
      <c r="R182" s="432"/>
    </row>
    <row r="183" spans="3:18">
      <c r="C183" s="431" t="s">
        <v>880</v>
      </c>
      <c r="D183" s="393"/>
      <c r="E183" s="393"/>
      <c r="F183" s="393"/>
      <c r="G183" s="393"/>
      <c r="H183" s="393"/>
      <c r="I183" s="393"/>
      <c r="J183" s="393"/>
      <c r="K183" s="432"/>
      <c r="M183" s="431" t="s">
        <v>691</v>
      </c>
      <c r="N183" s="393"/>
      <c r="O183" s="393"/>
      <c r="P183" s="393"/>
      <c r="Q183" s="393"/>
      <c r="R183" s="432"/>
    </row>
    <row r="184" spans="3:18">
      <c r="C184" s="431" t="s">
        <v>701</v>
      </c>
      <c r="D184" s="393"/>
      <c r="E184" s="393"/>
      <c r="F184" s="393"/>
      <c r="G184" s="393"/>
      <c r="H184" s="393"/>
      <c r="I184" s="393"/>
      <c r="J184" s="393"/>
      <c r="K184" s="432"/>
      <c r="M184" s="431" t="s">
        <v>868</v>
      </c>
      <c r="N184" s="393"/>
      <c r="O184" s="393"/>
      <c r="P184" s="393"/>
      <c r="Q184" s="393"/>
      <c r="R184" s="432"/>
    </row>
    <row r="185" spans="3:18">
      <c r="C185" s="431" t="s">
        <v>702</v>
      </c>
      <c r="D185" s="393"/>
      <c r="E185" s="393"/>
      <c r="F185" s="393"/>
      <c r="G185" s="393"/>
      <c r="H185" s="393"/>
      <c r="I185" s="393"/>
      <c r="J185" s="393"/>
      <c r="K185" s="432"/>
      <c r="M185" s="433" t="s">
        <v>867</v>
      </c>
      <c r="N185" s="434"/>
      <c r="O185" s="434"/>
      <c r="P185" s="434"/>
      <c r="Q185" s="434"/>
      <c r="R185" s="435"/>
    </row>
    <row r="186" spans="3:18">
      <c r="C186" s="431" t="s">
        <v>881</v>
      </c>
      <c r="D186" s="393"/>
      <c r="E186" s="393"/>
      <c r="F186" s="393"/>
      <c r="G186" s="393"/>
      <c r="H186" s="393"/>
      <c r="I186" s="393"/>
      <c r="J186" s="393"/>
      <c r="K186" s="432"/>
    </row>
    <row r="187" spans="3:18">
      <c r="C187" s="431" t="s">
        <v>882</v>
      </c>
      <c r="D187" s="393"/>
      <c r="E187" s="393"/>
      <c r="F187" s="393"/>
      <c r="G187" s="393"/>
      <c r="H187" s="393"/>
      <c r="I187" s="393"/>
      <c r="J187" s="393"/>
      <c r="K187" s="432"/>
    </row>
    <row r="188" spans="3:18">
      <c r="C188" s="431" t="s">
        <v>838</v>
      </c>
      <c r="D188" s="393"/>
      <c r="E188" s="393"/>
      <c r="F188" s="393"/>
      <c r="G188" s="393"/>
      <c r="H188" s="393"/>
      <c r="I188" s="393"/>
      <c r="J188" s="393"/>
      <c r="K188" s="432"/>
    </row>
    <row r="189" spans="3:18">
      <c r="C189" s="438" t="s">
        <v>816</v>
      </c>
      <c r="D189" s="393"/>
      <c r="E189" s="393"/>
      <c r="F189" s="393"/>
      <c r="G189" s="393"/>
      <c r="H189" s="393"/>
      <c r="I189" s="393"/>
      <c r="J189" s="393"/>
      <c r="K189" s="432"/>
    </row>
    <row r="190" spans="3:18">
      <c r="C190" s="438" t="s">
        <v>859</v>
      </c>
      <c r="D190" s="393"/>
      <c r="E190" s="393"/>
      <c r="F190" s="393"/>
      <c r="G190" s="393"/>
      <c r="H190" s="393"/>
      <c r="I190" s="393"/>
      <c r="J190" s="393"/>
      <c r="K190" s="432"/>
    </row>
    <row r="191" spans="3:18">
      <c r="C191" s="431" t="s">
        <v>693</v>
      </c>
      <c r="D191" s="393"/>
      <c r="E191" s="393"/>
      <c r="F191" s="393"/>
      <c r="G191" s="393"/>
      <c r="H191" s="393"/>
      <c r="I191" s="393"/>
      <c r="J191" s="393"/>
      <c r="K191" s="432"/>
    </row>
    <row r="192" spans="3:18">
      <c r="C192" s="436" t="s">
        <v>694</v>
      </c>
      <c r="D192" s="434"/>
      <c r="E192" s="434"/>
      <c r="F192" s="434"/>
      <c r="G192" s="434"/>
      <c r="H192" s="434"/>
      <c r="I192" s="434"/>
      <c r="J192" s="434"/>
      <c r="K192" s="435"/>
    </row>
  </sheetData>
  <sheetProtection algorithmName="SHA-512" hashValue="0T9Qk4eHZRwbSdhWiCvq408dM8YkkuY3oUtuiNnzWqiyEqLWtL5ouBnXieBsIf/+sO3VZeiVVsG4RX4rjPa1Kg==" saltValue="artUBYTp4tbSLNJrmQMkYA==" spinCount="100000" sheet="1" formatCells="0"/>
  <mergeCells count="4">
    <mergeCell ref="M60:U62"/>
    <mergeCell ref="Q157:U160"/>
    <mergeCell ref="B90:J90"/>
    <mergeCell ref="B91:J91"/>
  </mergeCells>
  <phoneticPr fontId="3"/>
  <printOptions horizontalCentered="1"/>
  <pageMargins left="0.41" right="0.18" top="0.48" bottom="0" header="0.31496062992125984" footer="0.31496062992125984"/>
  <pageSetup paperSize="9" scale="80" orientation="landscape" r:id="rId1"/>
  <headerFooter>
    <oddHeader>&amp;L&amp;10様式第1-1号（別紙）&amp;C&amp;10R5年度_《緊急予算枠》_CO₂削減量算定シート</oddHeader>
  </headerFooter>
  <rowBreaks count="3" manualBreakCount="3">
    <brk id="48" max="20" man="1"/>
    <brk id="97" max="16383" man="1"/>
    <brk id="14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38FD3-5963-4044-B381-41EDD78F0050}">
  <sheetPr codeName="Sheet3">
    <tabColor rgb="FF00B0F0"/>
    <pageSetUpPr fitToPage="1"/>
  </sheetPr>
  <dimension ref="A1:CF89"/>
  <sheetViews>
    <sheetView view="pageBreakPreview" topLeftCell="A3" zoomScaleNormal="100" zoomScaleSheetLayoutView="100" workbookViewId="0">
      <selection activeCell="E8" sqref="E8:F8"/>
    </sheetView>
  </sheetViews>
  <sheetFormatPr defaultColWidth="9" defaultRowHeight="18.75"/>
  <cols>
    <col min="1" max="1" width="3.25" style="130" customWidth="1"/>
    <col min="2" max="2" width="14.125" style="130" customWidth="1"/>
    <col min="3" max="3" width="5.625" style="130" customWidth="1"/>
    <col min="4" max="4" width="4.5" style="130" customWidth="1"/>
    <col min="5" max="5" width="5.625" style="130" customWidth="1"/>
    <col min="6" max="6" width="6.5" style="130" customWidth="1"/>
    <col min="7" max="8" width="5.625" style="130" customWidth="1"/>
    <col min="9" max="9" width="5.125" style="130" customWidth="1"/>
    <col min="10" max="10" width="5.625" style="130" customWidth="1"/>
    <col min="11" max="11" width="7.5" style="130" customWidth="1"/>
    <col min="12" max="12" width="6.125" style="130" customWidth="1"/>
    <col min="13" max="13" width="5.5" style="130" customWidth="1"/>
    <col min="14" max="14" width="8.125" style="130" customWidth="1"/>
    <col min="15" max="15" width="6.5" style="130" customWidth="1"/>
    <col min="16" max="16" width="14.25" style="130" customWidth="1"/>
    <col min="17" max="17" width="5" style="130" customWidth="1"/>
    <col min="18" max="18" width="4.75" style="130" customWidth="1"/>
    <col min="19" max="20" width="5.625" style="130" customWidth="1"/>
    <col min="21" max="21" width="5.625" style="130" hidden="1" customWidth="1"/>
    <col min="22" max="23" width="5.625" style="130" customWidth="1"/>
    <col min="24" max="24" width="5.625" style="130" hidden="1" customWidth="1"/>
    <col min="25" max="25" width="7.375" style="130" customWidth="1"/>
    <col min="26" max="26" width="5.625" style="130" customWidth="1"/>
    <col min="27" max="27" width="8" style="130" customWidth="1"/>
    <col min="28" max="28" width="7.875" style="130" customWidth="1"/>
    <col min="29" max="29" width="3.875" style="130" hidden="1" customWidth="1"/>
    <col min="30" max="31" width="3.25" style="130" hidden="1" customWidth="1"/>
    <col min="32" max="33" width="9" style="130" hidden="1" customWidth="1"/>
    <col min="34" max="34" width="5.25" style="130" hidden="1" customWidth="1"/>
    <col min="35" max="36" width="6.875" style="130" hidden="1" customWidth="1"/>
    <col min="37" max="37" width="10.125" style="130" hidden="1" customWidth="1"/>
    <col min="38" max="38" width="4.625" style="130" hidden="1" customWidth="1"/>
    <col min="39" max="40" width="6.875" style="130" hidden="1" customWidth="1"/>
    <col min="41" max="41" width="5" style="130" hidden="1" customWidth="1"/>
    <col min="42" max="43" width="9" style="130" hidden="1" customWidth="1"/>
    <col min="44" max="44" width="9.5" style="130" hidden="1" customWidth="1"/>
    <col min="45" max="84" width="9" style="130" hidden="1" customWidth="1"/>
    <col min="85" max="110" width="9" style="130" customWidth="1"/>
    <col min="111" max="16384" width="9" style="130"/>
  </cols>
  <sheetData>
    <row r="1" spans="1:48" hidden="1">
      <c r="B1" s="877" t="s">
        <v>937</v>
      </c>
      <c r="C1" s="130" t="s">
        <v>939</v>
      </c>
      <c r="D1" s="130" t="s">
        <v>940</v>
      </c>
      <c r="E1" s="130" t="s">
        <v>942</v>
      </c>
      <c r="F1" s="130" t="s">
        <v>944</v>
      </c>
      <c r="G1" s="130" t="s">
        <v>939</v>
      </c>
      <c r="H1" s="130" t="s">
        <v>940</v>
      </c>
      <c r="J1" s="130" t="s">
        <v>942</v>
      </c>
      <c r="K1" s="130" t="s">
        <v>949</v>
      </c>
      <c r="O1" s="130" t="s">
        <v>950</v>
      </c>
      <c r="W1" s="130" t="s">
        <v>946</v>
      </c>
      <c r="X1" s="130" t="s">
        <v>948</v>
      </c>
    </row>
    <row r="2" spans="1:48" hidden="1">
      <c r="B2" s="875">
        <f>E7</f>
        <v>0</v>
      </c>
      <c r="C2" s="875">
        <f>G7</f>
        <v>0</v>
      </c>
      <c r="D2" s="875">
        <f>I7</f>
        <v>0</v>
      </c>
      <c r="E2" s="876">
        <f>K7</f>
        <v>0</v>
      </c>
      <c r="F2" s="875">
        <f>E8</f>
        <v>0</v>
      </c>
      <c r="G2" s="875">
        <f>G8</f>
        <v>0</v>
      </c>
      <c r="H2" s="875">
        <f>I8</f>
        <v>0</v>
      </c>
      <c r="I2" s="875"/>
      <c r="J2" s="876">
        <f>K8</f>
        <v>0</v>
      </c>
      <c r="W2" s="130" t="str">
        <f>S5</f>
        <v/>
      </c>
      <c r="X2" s="130" t="str">
        <f>P7</f>
        <v>同一型番。空調機の性能向上</v>
      </c>
    </row>
    <row r="3" spans="1:48" ht="28.5" customHeight="1">
      <c r="A3" s="67" t="s">
        <v>490</v>
      </c>
      <c r="T3" s="976">
        <f>CO２削減量算定シート!O7</f>
        <v>0</v>
      </c>
      <c r="U3" s="976"/>
      <c r="V3" s="976"/>
      <c r="W3" s="976"/>
      <c r="X3" s="976"/>
      <c r="Y3" s="976"/>
      <c r="Z3" s="976"/>
      <c r="AA3" s="976"/>
      <c r="AB3" s="976"/>
    </row>
    <row r="4" spans="1:48">
      <c r="A4" s="129" t="s">
        <v>308</v>
      </c>
      <c r="B4" s="1"/>
      <c r="C4" s="1"/>
      <c r="D4" s="1"/>
      <c r="E4" s="1"/>
      <c r="F4" s="1"/>
      <c r="G4" s="1"/>
      <c r="H4" s="6"/>
      <c r="I4" s="6"/>
      <c r="J4" s="1"/>
      <c r="P4" s="105" t="s">
        <v>310</v>
      </c>
      <c r="Q4" s="105"/>
      <c r="R4" s="69"/>
      <c r="S4" s="468" t="s">
        <v>719</v>
      </c>
      <c r="T4" s="105"/>
      <c r="V4" s="104"/>
      <c r="X4" s="68"/>
      <c r="Y4" s="68"/>
      <c r="Z4" s="68"/>
      <c r="AA4" s="68"/>
      <c r="AB4" s="68"/>
    </row>
    <row r="5" spans="1:48" ht="20.100000000000001" customHeight="1">
      <c r="A5" s="1"/>
      <c r="B5" s="980" t="s">
        <v>0</v>
      </c>
      <c r="C5" s="981"/>
      <c r="D5" s="64" t="s">
        <v>1</v>
      </c>
      <c r="E5" s="986" t="s">
        <v>2</v>
      </c>
      <c r="F5" s="987"/>
      <c r="G5" s="986" t="s">
        <v>3</v>
      </c>
      <c r="H5" s="987"/>
      <c r="I5" s="983" t="s">
        <v>4</v>
      </c>
      <c r="J5" s="983"/>
      <c r="K5" s="210" t="s">
        <v>5</v>
      </c>
      <c r="P5" s="1010" t="s">
        <v>11</v>
      </c>
      <c r="Q5" s="1011"/>
      <c r="R5" s="1012"/>
      <c r="S5" s="998" t="str">
        <f>IF(AA21="","",IF(OR(F21&lt;S21,J21&lt;V21),"定格出力が増加しています。下蘭に事由を記載してください。",""))</f>
        <v/>
      </c>
      <c r="T5" s="999"/>
      <c r="U5" s="999"/>
      <c r="V5" s="999"/>
      <c r="W5" s="999"/>
      <c r="X5" s="999"/>
      <c r="Y5" s="999"/>
      <c r="Z5" s="999"/>
      <c r="AA5" s="999"/>
      <c r="AB5" s="1000"/>
    </row>
    <row r="6" spans="1:48" ht="20.100000000000001" customHeight="1">
      <c r="A6" s="1"/>
      <c r="B6" s="980" t="s">
        <v>7</v>
      </c>
      <c r="C6" s="981"/>
      <c r="D6" s="119" t="s">
        <v>8</v>
      </c>
      <c r="E6" s="988">
        <f>N21</f>
        <v>0</v>
      </c>
      <c r="F6" s="989"/>
      <c r="G6" s="988">
        <f>Y21</f>
        <v>0</v>
      </c>
      <c r="H6" s="989"/>
      <c r="I6" s="984">
        <f>E6-G6</f>
        <v>0</v>
      </c>
      <c r="J6" s="984"/>
      <c r="K6" s="416">
        <f>IFERROR(I6/E6,0)</f>
        <v>0</v>
      </c>
      <c r="P6" s="18" t="s">
        <v>6</v>
      </c>
      <c r="Q6" s="17"/>
      <c r="R6" s="107"/>
      <c r="S6" s="107"/>
      <c r="T6" s="107"/>
      <c r="U6" s="107"/>
      <c r="V6" s="107"/>
      <c r="W6" s="107"/>
      <c r="X6" s="107"/>
      <c r="Y6" s="107"/>
      <c r="Z6" s="107"/>
      <c r="AA6" s="107"/>
      <c r="AB6" s="108"/>
    </row>
    <row r="7" spans="1:48" ht="20.100000000000001" customHeight="1">
      <c r="A7" s="1"/>
      <c r="B7" s="982" t="s">
        <v>9</v>
      </c>
      <c r="C7" s="982"/>
      <c r="D7" s="861" t="s">
        <v>479</v>
      </c>
      <c r="E7" s="990">
        <f>O21</f>
        <v>0</v>
      </c>
      <c r="F7" s="990"/>
      <c r="G7" s="990">
        <f>Z21</f>
        <v>0</v>
      </c>
      <c r="H7" s="990"/>
      <c r="I7" s="985">
        <f>E7-G7</f>
        <v>0</v>
      </c>
      <c r="J7" s="985"/>
      <c r="K7" s="416">
        <f>IFERROR(I7/E7,0)</f>
        <v>0</v>
      </c>
      <c r="P7" s="1001" t="s">
        <v>935</v>
      </c>
      <c r="Q7" s="1002"/>
      <c r="R7" s="1002"/>
      <c r="S7" s="1002"/>
      <c r="T7" s="1002"/>
      <c r="U7" s="1002"/>
      <c r="V7" s="1002"/>
      <c r="W7" s="1002"/>
      <c r="X7" s="1002"/>
      <c r="Y7" s="1002"/>
      <c r="Z7" s="1002"/>
      <c r="AA7" s="1002"/>
      <c r="AB7" s="1003"/>
    </row>
    <row r="8" spans="1:48" ht="20.100000000000001" customHeight="1">
      <c r="A8" s="1"/>
      <c r="B8" s="982" t="s">
        <v>12</v>
      </c>
      <c r="C8" s="982"/>
      <c r="D8" s="861" t="s">
        <v>13</v>
      </c>
      <c r="E8" s="991">
        <f>E6*'CO₂係数 '!$C$33*0.0000258</f>
        <v>0</v>
      </c>
      <c r="F8" s="991"/>
      <c r="G8" s="991">
        <f>G6*'CO₂係数 '!$C$33*0.0000258</f>
        <v>0</v>
      </c>
      <c r="H8" s="991"/>
      <c r="I8" s="985">
        <f>E8-G8</f>
        <v>0</v>
      </c>
      <c r="J8" s="985"/>
      <c r="K8" s="416">
        <f>IFERROR(I8/E8,0)</f>
        <v>0</v>
      </c>
      <c r="P8" s="1004"/>
      <c r="Q8" s="1005"/>
      <c r="R8" s="1005"/>
      <c r="S8" s="1005"/>
      <c r="T8" s="1005"/>
      <c r="U8" s="1005"/>
      <c r="V8" s="1005"/>
      <c r="W8" s="1005"/>
      <c r="X8" s="1005"/>
      <c r="Y8" s="1005"/>
      <c r="Z8" s="1005"/>
      <c r="AA8" s="1005"/>
      <c r="AB8" s="1006"/>
    </row>
    <row r="9" spans="1:48" ht="10.5" customHeight="1">
      <c r="A9" s="1"/>
      <c r="P9" s="1004"/>
      <c r="Q9" s="1005"/>
      <c r="R9" s="1005"/>
      <c r="S9" s="1005"/>
      <c r="T9" s="1005"/>
      <c r="U9" s="1005"/>
      <c r="V9" s="1005"/>
      <c r="W9" s="1005"/>
      <c r="X9" s="1005"/>
      <c r="Y9" s="1005"/>
      <c r="Z9" s="1005"/>
      <c r="AA9" s="1005"/>
      <c r="AB9" s="1006"/>
    </row>
    <row r="10" spans="1:48" ht="13.5" customHeight="1">
      <c r="P10" s="1004"/>
      <c r="Q10" s="1005"/>
      <c r="R10" s="1005"/>
      <c r="S10" s="1005"/>
      <c r="T10" s="1005"/>
      <c r="U10" s="1005"/>
      <c r="V10" s="1005"/>
      <c r="W10" s="1005"/>
      <c r="X10" s="1005"/>
      <c r="Y10" s="1005"/>
      <c r="Z10" s="1005"/>
      <c r="AA10" s="1005"/>
      <c r="AB10" s="1006"/>
    </row>
    <row r="11" spans="1:48" ht="18" customHeight="1">
      <c r="A11" s="105" t="s">
        <v>309</v>
      </c>
      <c r="P11" s="1004"/>
      <c r="Q11" s="1005"/>
      <c r="R11" s="1005"/>
      <c r="S11" s="1005"/>
      <c r="T11" s="1005"/>
      <c r="U11" s="1005"/>
      <c r="V11" s="1005"/>
      <c r="W11" s="1005"/>
      <c r="X11" s="1005"/>
      <c r="Y11" s="1005"/>
      <c r="Z11" s="1005"/>
      <c r="AA11" s="1005"/>
      <c r="AB11" s="1006"/>
    </row>
    <row r="12" spans="1:48" ht="20.25" customHeight="1">
      <c r="P12" s="1007"/>
      <c r="Q12" s="1008"/>
      <c r="R12" s="1008"/>
      <c r="S12" s="1008"/>
      <c r="T12" s="1008"/>
      <c r="U12" s="1008"/>
      <c r="V12" s="1008"/>
      <c r="W12" s="1008"/>
      <c r="X12" s="1008"/>
      <c r="Y12" s="1008"/>
      <c r="Z12" s="1008"/>
      <c r="AA12" s="1008"/>
      <c r="AB12" s="1009"/>
    </row>
    <row r="13" spans="1:48" ht="20.25" customHeight="1">
      <c r="A13" s="207"/>
      <c r="B13" s="207"/>
      <c r="C13" s="207"/>
      <c r="D13" s="207"/>
      <c r="E13" s="207"/>
      <c r="F13" s="207"/>
      <c r="G13" s="207"/>
      <c r="H13" s="207"/>
      <c r="I13" s="207"/>
      <c r="J13" s="207"/>
      <c r="K13" s="207"/>
      <c r="L13" s="208"/>
      <c r="M13" s="208"/>
      <c r="N13" s="208"/>
      <c r="O13" s="208"/>
      <c r="R13" s="208"/>
      <c r="S13" s="208"/>
      <c r="T13" s="208"/>
      <c r="U13" s="208"/>
      <c r="V13" s="208"/>
      <c r="W13" s="209"/>
      <c r="X13" s="209"/>
      <c r="Y13" s="209"/>
      <c r="Z13" s="209"/>
      <c r="AA13" s="209"/>
      <c r="AB13" s="209"/>
    </row>
    <row r="14" spans="1:48" ht="20.25" customHeight="1">
      <c r="A14" s="207"/>
      <c r="B14" s="207"/>
      <c r="C14" s="207"/>
      <c r="D14" s="207"/>
      <c r="E14" s="207"/>
      <c r="F14" s="207"/>
      <c r="G14" s="207"/>
      <c r="H14" s="207"/>
      <c r="I14" s="207"/>
      <c r="J14" s="207"/>
      <c r="K14" s="207"/>
      <c r="L14" s="208"/>
      <c r="M14" s="208"/>
      <c r="N14" s="208"/>
      <c r="O14" s="208"/>
      <c r="R14" s="282"/>
      <c r="U14" s="208"/>
      <c r="V14" s="208"/>
      <c r="W14" s="209"/>
      <c r="X14" s="209"/>
      <c r="Y14" s="209"/>
      <c r="Z14" s="209"/>
      <c r="AA14" s="209"/>
      <c r="AB14" s="209"/>
    </row>
    <row r="15" spans="1:48" ht="22.5" customHeight="1">
      <c r="A15" s="132" t="s">
        <v>321</v>
      </c>
      <c r="B15" s="206"/>
      <c r="C15" s="206"/>
      <c r="D15" s="206"/>
      <c r="E15" s="206"/>
      <c r="F15" s="206"/>
      <c r="G15" s="206"/>
      <c r="H15" s="206"/>
      <c r="I15" s="206"/>
      <c r="J15" s="206"/>
      <c r="K15" s="206"/>
      <c r="L15" s="206"/>
      <c r="M15" s="206"/>
      <c r="N15" s="206"/>
      <c r="O15" s="206"/>
      <c r="P15" s="900"/>
      <c r="Q15" s="940"/>
      <c r="R15" s="901"/>
      <c r="S15" s="901"/>
      <c r="T15" s="282"/>
      <c r="U15" s="206"/>
      <c r="V15" s="206"/>
      <c r="W15" s="206"/>
      <c r="X15" s="206"/>
      <c r="Y15" s="206"/>
      <c r="Z15" s="206"/>
      <c r="AA15" s="206"/>
      <c r="AB15" s="206"/>
      <c r="AC15" s="131"/>
      <c r="AU15" s="130" t="s">
        <v>319</v>
      </c>
      <c r="AV15" s="130">
        <v>0.71</v>
      </c>
    </row>
    <row r="16" spans="1:48" ht="15" customHeight="1">
      <c r="A16" s="977" t="s">
        <v>0</v>
      </c>
      <c r="B16" s="213" t="s">
        <v>2</v>
      </c>
      <c r="C16" s="214"/>
      <c r="D16" s="214"/>
      <c r="E16" s="214"/>
      <c r="F16" s="214"/>
      <c r="G16" s="215"/>
      <c r="H16" s="215"/>
      <c r="I16" s="215"/>
      <c r="J16" s="215"/>
      <c r="K16" s="215"/>
      <c r="L16" s="215"/>
      <c r="M16" s="215"/>
      <c r="N16" s="215"/>
      <c r="O16" s="216"/>
      <c r="P16" s="217" t="s">
        <v>46</v>
      </c>
      <c r="Q16" s="218"/>
      <c r="R16" s="218"/>
      <c r="S16" s="219"/>
      <c r="T16" s="219"/>
      <c r="U16" s="219"/>
      <c r="V16" s="219"/>
      <c r="W16" s="219"/>
      <c r="X16" s="219"/>
      <c r="Y16" s="219"/>
      <c r="Z16" s="219"/>
      <c r="AA16" s="994" t="s">
        <v>14</v>
      </c>
      <c r="AB16" s="995"/>
      <c r="AC16" s="134"/>
      <c r="AU16" s="130" t="s">
        <v>320</v>
      </c>
      <c r="AV16" s="130">
        <v>0.71499999999999997</v>
      </c>
    </row>
    <row r="17" spans="1:68" ht="13.5" customHeight="1">
      <c r="A17" s="978"/>
      <c r="B17" s="220"/>
      <c r="C17" s="221"/>
      <c r="D17" s="221"/>
      <c r="E17" s="222"/>
      <c r="F17" s="223" t="s">
        <v>47</v>
      </c>
      <c r="G17" s="224"/>
      <c r="H17" s="219"/>
      <c r="I17" s="219"/>
      <c r="J17" s="223" t="s">
        <v>48</v>
      </c>
      <c r="K17" s="224"/>
      <c r="L17" s="219"/>
      <c r="M17" s="219"/>
      <c r="N17" s="223" t="s">
        <v>49</v>
      </c>
      <c r="O17" s="219"/>
      <c r="P17" s="220"/>
      <c r="Q17" s="221"/>
      <c r="R17" s="222"/>
      <c r="S17" s="223" t="s">
        <v>47</v>
      </c>
      <c r="T17" s="224"/>
      <c r="U17" s="219"/>
      <c r="V17" s="223" t="s">
        <v>48</v>
      </c>
      <c r="W17" s="224"/>
      <c r="X17" s="219"/>
      <c r="Y17" s="223" t="s">
        <v>49</v>
      </c>
      <c r="Z17" s="219"/>
      <c r="AA17" s="996"/>
      <c r="AB17" s="997"/>
      <c r="AC17" s="133"/>
      <c r="AE17" s="133"/>
      <c r="AU17" s="130" t="s">
        <v>322</v>
      </c>
      <c r="AV17" s="130">
        <v>0.72</v>
      </c>
    </row>
    <row r="18" spans="1:68" ht="37.5" customHeight="1">
      <c r="A18" s="979"/>
      <c r="B18" s="225" t="s">
        <v>15</v>
      </c>
      <c r="C18" s="242" t="s">
        <v>410</v>
      </c>
      <c r="D18" s="226" t="s">
        <v>418</v>
      </c>
      <c r="E18" s="227" t="s">
        <v>412</v>
      </c>
      <c r="F18" s="226" t="s">
        <v>50</v>
      </c>
      <c r="G18" s="226" t="s">
        <v>486</v>
      </c>
      <c r="H18" s="226" t="s">
        <v>414</v>
      </c>
      <c r="I18" s="226" t="s">
        <v>974</v>
      </c>
      <c r="J18" s="226" t="s">
        <v>51</v>
      </c>
      <c r="K18" s="226" t="s">
        <v>487</v>
      </c>
      <c r="L18" s="226" t="s">
        <v>415</v>
      </c>
      <c r="M18" s="226" t="s">
        <v>974</v>
      </c>
      <c r="N18" s="226" t="s">
        <v>480</v>
      </c>
      <c r="O18" s="226" t="s">
        <v>481</v>
      </c>
      <c r="P18" s="225" t="s">
        <v>15</v>
      </c>
      <c r="Q18" s="992" t="s">
        <v>1032</v>
      </c>
      <c r="R18" s="226" t="s">
        <v>418</v>
      </c>
      <c r="S18" s="226" t="s">
        <v>50</v>
      </c>
      <c r="T18" s="226" t="s">
        <v>488</v>
      </c>
      <c r="U18" s="226" t="s">
        <v>414</v>
      </c>
      <c r="V18" s="226" t="s">
        <v>51</v>
      </c>
      <c r="W18" s="226" t="s">
        <v>489</v>
      </c>
      <c r="X18" s="226" t="s">
        <v>415</v>
      </c>
      <c r="Y18" s="226" t="s">
        <v>482</v>
      </c>
      <c r="Z18" s="226" t="s">
        <v>483</v>
      </c>
      <c r="AA18" s="227" t="s">
        <v>484</v>
      </c>
      <c r="AB18" s="227" t="s">
        <v>485</v>
      </c>
      <c r="AC18" s="135"/>
      <c r="AD18" s="134"/>
      <c r="AE18" s="134" t="s">
        <v>417</v>
      </c>
      <c r="AF18" s="134"/>
      <c r="AG18" s="134"/>
      <c r="AH18" s="134" t="s">
        <v>420</v>
      </c>
      <c r="AI18" s="134"/>
      <c r="AJ18" s="134"/>
      <c r="AK18" s="134"/>
      <c r="AL18" s="134" t="s">
        <v>421</v>
      </c>
      <c r="AM18" s="134"/>
      <c r="AN18" s="134"/>
      <c r="AO18" s="134"/>
      <c r="AP18" s="134" t="s">
        <v>422</v>
      </c>
      <c r="AQ18" s="134"/>
      <c r="AU18" s="130" t="s">
        <v>323</v>
      </c>
      <c r="AV18" s="130">
        <v>0.72499999999999998</v>
      </c>
    </row>
    <row r="19" spans="1:68" ht="16.5" customHeight="1">
      <c r="A19" s="126" t="s">
        <v>1</v>
      </c>
      <c r="B19" s="122"/>
      <c r="C19" s="123"/>
      <c r="D19" s="119" t="s">
        <v>44</v>
      </c>
      <c r="E19" s="120" t="s">
        <v>411</v>
      </c>
      <c r="F19" s="119" t="s">
        <v>19</v>
      </c>
      <c r="G19" s="119" t="s">
        <v>21</v>
      </c>
      <c r="H19" s="119" t="s">
        <v>413</v>
      </c>
      <c r="I19" s="899" t="s">
        <v>975</v>
      </c>
      <c r="J19" s="119" t="s">
        <v>19</v>
      </c>
      <c r="K19" s="119" t="s">
        <v>21</v>
      </c>
      <c r="L19" s="119" t="s">
        <v>413</v>
      </c>
      <c r="M19" s="899" t="s">
        <v>975</v>
      </c>
      <c r="N19" s="119" t="s">
        <v>8</v>
      </c>
      <c r="O19" s="119" t="s">
        <v>10</v>
      </c>
      <c r="P19" s="123"/>
      <c r="Q19" s="993"/>
      <c r="R19" s="119" t="s">
        <v>44</v>
      </c>
      <c r="S19" s="119" t="s">
        <v>19</v>
      </c>
      <c r="T19" s="119" t="s">
        <v>21</v>
      </c>
      <c r="U19" s="119" t="s">
        <v>413</v>
      </c>
      <c r="V19" s="119" t="s">
        <v>19</v>
      </c>
      <c r="W19" s="119" t="s">
        <v>21</v>
      </c>
      <c r="X19" s="119" t="s">
        <v>413</v>
      </c>
      <c r="Y19" s="119" t="s">
        <v>8</v>
      </c>
      <c r="Z19" s="119" t="s">
        <v>10</v>
      </c>
      <c r="AA19" s="119" t="s">
        <v>8</v>
      </c>
      <c r="AB19" s="121" t="s">
        <v>10</v>
      </c>
      <c r="AC19" s="135"/>
      <c r="AD19" s="134"/>
      <c r="AE19" s="134">
        <v>1</v>
      </c>
      <c r="AF19" s="134" t="s">
        <v>325</v>
      </c>
      <c r="AG19" s="134" t="s">
        <v>327</v>
      </c>
      <c r="AH19" s="134"/>
      <c r="AI19" s="134" t="s">
        <v>325</v>
      </c>
      <c r="AJ19" s="134" t="s">
        <v>327</v>
      </c>
      <c r="AK19" s="134" t="s">
        <v>478</v>
      </c>
      <c r="AL19" s="134"/>
      <c r="AM19" s="134" t="s">
        <v>325</v>
      </c>
      <c r="AN19" s="134" t="s">
        <v>327</v>
      </c>
      <c r="AO19" s="134"/>
      <c r="AP19" s="134" t="s">
        <v>325</v>
      </c>
      <c r="AQ19" s="134" t="s">
        <v>327</v>
      </c>
      <c r="AU19" s="134" t="s">
        <v>324</v>
      </c>
      <c r="AV19" s="134">
        <v>0.73</v>
      </c>
      <c r="BK19" s="134"/>
      <c r="BL19" s="134"/>
      <c r="BM19" s="134"/>
      <c r="BN19" s="134"/>
      <c r="BO19" s="134"/>
      <c r="BP19" s="134"/>
    </row>
    <row r="20" spans="1:68" s="134" customFormat="1" ht="24" customHeight="1">
      <c r="A20" s="127" t="s">
        <v>419</v>
      </c>
      <c r="B20" s="579" t="s">
        <v>231</v>
      </c>
      <c r="C20" s="558" t="s">
        <v>388</v>
      </c>
      <c r="D20" s="579">
        <v>2</v>
      </c>
      <c r="E20" s="584" t="s">
        <v>281</v>
      </c>
      <c r="F20" s="618">
        <v>28</v>
      </c>
      <c r="G20" s="619">
        <v>8.48</v>
      </c>
      <c r="H20" s="539">
        <v>170</v>
      </c>
      <c r="I20" s="539">
        <v>12</v>
      </c>
      <c r="J20" s="620">
        <v>31.5</v>
      </c>
      <c r="K20" s="619">
        <v>8.59</v>
      </c>
      <c r="L20" s="539">
        <v>150</v>
      </c>
      <c r="M20" s="539">
        <v>12</v>
      </c>
      <c r="N20" s="316">
        <f>(D20*G20*H20*I20*AF20/AG20+D20*K20*L20*M20*AI20/AJ20)/AK20</f>
        <v>23971.296332681748</v>
      </c>
      <c r="O20" s="318">
        <f>N20*'CO₂係数 '!$I$33</f>
        <v>11.865791684677465</v>
      </c>
      <c r="P20" s="579" t="s">
        <v>52</v>
      </c>
      <c r="Q20" s="579">
        <v>2</v>
      </c>
      <c r="R20" s="559">
        <v>2</v>
      </c>
      <c r="S20" s="618">
        <v>28</v>
      </c>
      <c r="T20" s="619">
        <v>7.64</v>
      </c>
      <c r="U20" s="316">
        <f>H20</f>
        <v>170</v>
      </c>
      <c r="V20" s="620">
        <v>31.5</v>
      </c>
      <c r="W20" s="619">
        <v>7.7</v>
      </c>
      <c r="X20" s="316">
        <f>L20</f>
        <v>150</v>
      </c>
      <c r="Y20" s="580">
        <f>R20*T20*U20*I20*AM20/AN20+R20*W20*X20*M20*AP20/AQ20</f>
        <v>10465.752418075728</v>
      </c>
      <c r="Z20" s="318">
        <f>Y20*'CO₂係数 '!$I$33</f>
        <v>5.180547446947485</v>
      </c>
      <c r="AA20" s="316">
        <f>IFERROR(N20-Y20,"")</f>
        <v>13505.54391460602</v>
      </c>
      <c r="AB20" s="318">
        <f>IFERROR(O20-Z20,"")</f>
        <v>6.6852442377299797</v>
      </c>
      <c r="AC20" s="136"/>
      <c r="AD20" s="137">
        <f t="shared" ref="AD20:AD41" si="0">IF(E20="インバータ",1,"")</f>
        <v>1</v>
      </c>
      <c r="AE20" s="137">
        <f>IFERROR(INDEX(冷房日数,MATCH(H20,冷房日数,1),1),0)</f>
        <v>168</v>
      </c>
      <c r="AF20" s="138">
        <f>IFERROR(INDEX(負荷率取得,MATCH(H20,冷房日数,1)+5,1),)</f>
        <v>0.3914583333333333</v>
      </c>
      <c r="AG20" s="139">
        <f t="shared" ref="AG20:AG41" si="1">IF($AD20=1,INDEX(COP補正,MATCH(C20,$AY$43:$AY$63,0),5)*AF20+INDEX(COP補正,MATCH(C20,$AY$43:$AY$63,0),10),$BL$43*AF20+$BN$43)</f>
        <v>1.217905078125</v>
      </c>
      <c r="AH20" s="140">
        <f t="shared" ref="AH20:AH21" si="2">INDEX(暖房日数,MATCH(L20,暖房日数,1),1)</f>
        <v>120</v>
      </c>
      <c r="AI20" s="139">
        <f>IFERROR(INDEX(負荷率取得,MATCH(L20,暖房日数,1),1),0)</f>
        <v>0.28634999999999999</v>
      </c>
      <c r="AJ20" s="139">
        <f t="shared" ref="AJ20:AJ41" si="3">IF($AD20=1,INDEX(COP補正,MATCH(C20,$AY$43:$AY$63,0),6)*AI20+INDEX(COP補正,MATCH(C20,$AY$43:$AY$63,0),11),$BL$43*AI20+$BN$43)</f>
        <v>1.1680712499999999</v>
      </c>
      <c r="AK20" s="139">
        <f t="shared" ref="AK20:AK41" si="4">IFERROR(VLOOKUP(C20,$BQ$42:$BS$66,3,FALSE)/$BS$66,1)</f>
        <v>0.78016412202751217</v>
      </c>
      <c r="AL20" s="139"/>
      <c r="AM20" s="141">
        <f>IFERROR(INDEX(負荷率取得,MATCH(U20,冷房日数,1)+5,1),0)</f>
        <v>0.3914583333333333</v>
      </c>
      <c r="AN20" s="139">
        <f t="shared" ref="AN20:AN41" si="5">INDEX(COP補正,25,5)*AM20+INDEX(COP補正,25,10)</f>
        <v>2.0418517968750001</v>
      </c>
      <c r="AP20" s="139">
        <f t="shared" ref="AP20:AP21" si="6">INDEX(負荷率取得,MATCH(X20,暖房日数,1),1)</f>
        <v>0.28634999999999999</v>
      </c>
      <c r="AQ20" s="139">
        <f t="shared" ref="AQ20:AQ41" si="7">INDEX(COP補正,25,6)*AP20+INDEX(COP補正,25,11)</f>
        <v>1.7679651062499997</v>
      </c>
      <c r="AU20" s="134" t="s">
        <v>326</v>
      </c>
      <c r="AV20" s="134">
        <v>0.73499999999999999</v>
      </c>
      <c r="BN20" s="144" t="s">
        <v>477</v>
      </c>
    </row>
    <row r="21" spans="1:68" s="134" customFormat="1" ht="17.100000000000001" customHeight="1" thickBot="1">
      <c r="A21" s="675" t="s">
        <v>30</v>
      </c>
      <c r="B21" s="677"/>
      <c r="C21" s="677"/>
      <c r="D21" s="678">
        <f>_xlfn.AGGREGATE(9,7,D22:D41)</f>
        <v>0</v>
      </c>
      <c r="E21" s="677"/>
      <c r="F21" s="679">
        <f>SUMPRODUCT($D22:$D41*F22:F41)</f>
        <v>0</v>
      </c>
      <c r="G21" s="718"/>
      <c r="H21" s="659"/>
      <c r="I21" s="659"/>
      <c r="J21" s="679">
        <f>SUMPRODUCT($D22:$D41*J22:J41)</f>
        <v>0</v>
      </c>
      <c r="K21" s="718"/>
      <c r="L21" s="659"/>
      <c r="M21" s="659"/>
      <c r="N21" s="657">
        <f>_xlfn.AGGREGATE(9,7,N22:N41)</f>
        <v>0</v>
      </c>
      <c r="O21" s="658">
        <f>_xlfn.AGGREGATE(9,7,O22:O41)</f>
        <v>0</v>
      </c>
      <c r="P21" s="677"/>
      <c r="Q21" s="659"/>
      <c r="R21" s="678">
        <f>_xlfn.AGGREGATE(9,7,R22:R41)</f>
        <v>0</v>
      </c>
      <c r="S21" s="679">
        <f>SUMPRODUCT($R22:$R41*S22:S41)</f>
        <v>0</v>
      </c>
      <c r="T21" s="718"/>
      <c r="U21" s="659"/>
      <c r="V21" s="679">
        <f>SUMPRODUCT($R22:$R41*V22:V41)</f>
        <v>0</v>
      </c>
      <c r="W21" s="718"/>
      <c r="X21" s="659"/>
      <c r="Y21" s="657">
        <f>_xlfn.AGGREGATE(9,7,Y22:Y41)</f>
        <v>0</v>
      </c>
      <c r="Z21" s="660">
        <f>_xlfn.AGGREGATE(9,7,Z22:Z41)</f>
        <v>0</v>
      </c>
      <c r="AA21" s="657">
        <f>_xlfn.AGGREGATE(9,7,AA22:AA41)</f>
        <v>0</v>
      </c>
      <c r="AB21" s="661">
        <f>_xlfn.AGGREGATE(9,7,AB22:AB41)</f>
        <v>0</v>
      </c>
      <c r="AC21" s="136"/>
      <c r="AD21" s="137" t="str">
        <f t="shared" si="0"/>
        <v/>
      </c>
      <c r="AE21" s="137">
        <f t="shared" ref="AE21" si="8">INDEX(冷房日数,MATCH(H21,冷房日数,1),1)</f>
        <v>0</v>
      </c>
      <c r="AF21" s="138">
        <f t="shared" ref="AF21" si="9">INDEX(負荷率取得,MATCH(H21,冷房日数,1)+5,1)</f>
        <v>0.28634999999999999</v>
      </c>
      <c r="AG21" s="139">
        <f t="shared" si="1"/>
        <v>0.82158750000000003</v>
      </c>
      <c r="AH21" s="140">
        <f t="shared" si="2"/>
        <v>0</v>
      </c>
      <c r="AI21" s="139">
        <f t="shared" ref="AI21" si="10">INDEX(負荷率取得,MATCH(L21,暖房日数,1),1)</f>
        <v>0.372</v>
      </c>
      <c r="AJ21" s="139">
        <f t="shared" si="3"/>
        <v>0.84299999999999997</v>
      </c>
      <c r="AK21" s="139">
        <f t="shared" si="4"/>
        <v>1</v>
      </c>
      <c r="AL21" s="139"/>
      <c r="AM21" s="139">
        <f t="shared" ref="AM21" si="11">INDEX(負荷率取得,MATCH(U21,冷房日数,1)+5,1)</f>
        <v>0.28634999999999999</v>
      </c>
      <c r="AN21" s="139">
        <f t="shared" si="5"/>
        <v>2.2209169812499998</v>
      </c>
      <c r="AP21" s="139">
        <f t="shared" si="6"/>
        <v>0.372</v>
      </c>
      <c r="AQ21" s="139">
        <f t="shared" si="7"/>
        <v>1.6766514999999997</v>
      </c>
      <c r="AU21" s="134" t="s">
        <v>328</v>
      </c>
      <c r="AV21" s="134">
        <v>0.74</v>
      </c>
      <c r="AY21" s="134" t="s">
        <v>329</v>
      </c>
      <c r="BN21" s="146" t="s">
        <v>336</v>
      </c>
      <c r="BO21" s="134" t="s">
        <v>335</v>
      </c>
    </row>
    <row r="22" spans="1:68" s="134" customFormat="1" ht="17.100000000000001" customHeight="1">
      <c r="A22" s="646">
        <v>1</v>
      </c>
      <c r="B22" s="647"/>
      <c r="C22" s="648"/>
      <c r="D22" s="647"/>
      <c r="E22" s="649"/>
      <c r="F22" s="650"/>
      <c r="G22" s="651"/>
      <c r="H22" s="652"/>
      <c r="I22" s="652"/>
      <c r="J22" s="653"/>
      <c r="K22" s="651"/>
      <c r="L22" s="652"/>
      <c r="M22" s="652"/>
      <c r="N22" s="654" t="str">
        <f>IF(D22="","",(D22*G22*H22*I22*AF22/AG22+D22*K22*L22*M22*AI22/AJ22)/AK22)</f>
        <v/>
      </c>
      <c r="O22" s="655" t="str">
        <f>IFERROR(N22*'CO₂係数 '!$I$33,"")</f>
        <v/>
      </c>
      <c r="P22" s="647"/>
      <c r="Q22" s="941"/>
      <c r="R22" s="647"/>
      <c r="S22" s="650"/>
      <c r="T22" s="651"/>
      <c r="U22" s="664">
        <f>H22</f>
        <v>0</v>
      </c>
      <c r="V22" s="656"/>
      <c r="W22" s="651"/>
      <c r="X22" s="654">
        <f>L22</f>
        <v>0</v>
      </c>
      <c r="Y22" s="654" t="str">
        <f>IF(R22="","",R22*T22*U22*I22*AM22/AN22+R22*W22*X22*M22*AP22/AQ22)</f>
        <v/>
      </c>
      <c r="Z22" s="833" t="str">
        <f>IFERROR(Y22*'CO₂係数 '!$I$33,"")</f>
        <v/>
      </c>
      <c r="AA22" s="654" t="str">
        <f t="shared" ref="AA22" si="12">IFERROR(IF(N22="",Y22*-1,N22-Y22),"")</f>
        <v/>
      </c>
      <c r="AB22" s="834" t="str">
        <f>IFERROR(IF(O22="",AA22*-1,O22-Z22),"")</f>
        <v/>
      </c>
      <c r="AC22" s="136"/>
      <c r="AD22" s="137" t="str">
        <f t="shared" si="0"/>
        <v/>
      </c>
      <c r="AE22" s="137">
        <f t="shared" ref="AE22:AE41" si="13">IFERROR(INDEX(冷房日数,MATCH(H22,冷房日数,1),1),0)</f>
        <v>0</v>
      </c>
      <c r="AF22" s="138">
        <f>IFERROR(INDEX(負荷率取得,MATCH(H22,冷房日数,1)+5,1),)</f>
        <v>0.28634999999999999</v>
      </c>
      <c r="AG22" s="139">
        <f t="shared" si="1"/>
        <v>0.82158750000000003</v>
      </c>
      <c r="AH22" s="140">
        <f t="shared" ref="AH22:AH41" si="14">IFERROR(INDEX(暖房日数,MATCH(L22,暖房日数,1),1),0)</f>
        <v>0</v>
      </c>
      <c r="AI22" s="139">
        <f t="shared" ref="AI22:AI41" si="15">IFERROR(INDEX(負荷率取得,MATCH(L22,暖房日数,1),1),0)</f>
        <v>0.372</v>
      </c>
      <c r="AJ22" s="139">
        <f t="shared" si="3"/>
        <v>0.84299999999999997</v>
      </c>
      <c r="AK22" s="139">
        <f t="shared" si="4"/>
        <v>1</v>
      </c>
      <c r="AL22" s="139"/>
      <c r="AM22" s="141">
        <f t="shared" ref="AM22:AM41" si="16">IFERROR(INDEX(負荷率取得,MATCH(U22,冷房日数,1)+5,1),0)</f>
        <v>0.28634999999999999</v>
      </c>
      <c r="AN22" s="139">
        <f t="shared" si="5"/>
        <v>2.2209169812499998</v>
      </c>
      <c r="AP22" s="139">
        <f t="shared" ref="AP22:AP41" si="17">IFERROR(INDEX(負荷率取得,MATCH(X22,暖房日数,1),1),0)</f>
        <v>0.372</v>
      </c>
      <c r="AQ22" s="139">
        <f t="shared" si="7"/>
        <v>1.6766514999999997</v>
      </c>
      <c r="AU22" s="134" t="s">
        <v>330</v>
      </c>
      <c r="AV22" s="134">
        <v>0.745</v>
      </c>
      <c r="AY22" s="142" t="s">
        <v>416</v>
      </c>
      <c r="AZ22" s="143"/>
      <c r="BA22" s="143"/>
      <c r="BG22" s="144" t="s">
        <v>477</v>
      </c>
      <c r="BK22" s="147"/>
      <c r="BL22" s="147"/>
      <c r="BM22" s="134">
        <v>0</v>
      </c>
      <c r="BN22" s="149">
        <v>0.372</v>
      </c>
      <c r="BO22" s="150">
        <f>AVERAGE(BN22:BN$23)</f>
        <v>0.372</v>
      </c>
    </row>
    <row r="23" spans="1:68" s="134" customFormat="1" ht="17.100000000000001" customHeight="1">
      <c r="A23" s="16">
        <v>2</v>
      </c>
      <c r="B23" s="581"/>
      <c r="C23" s="458"/>
      <c r="D23" s="581"/>
      <c r="E23" s="583"/>
      <c r="F23" s="608"/>
      <c r="G23" s="609"/>
      <c r="H23" s="605"/>
      <c r="I23" s="605"/>
      <c r="J23" s="610"/>
      <c r="K23" s="609"/>
      <c r="L23" s="605"/>
      <c r="M23" s="605"/>
      <c r="N23" s="578" t="str">
        <f t="shared" ref="N23:N41" si="18">IF(D23="","",(D23*G23*H23*I23*AF23/AG23+D23*K23*L23*M23*AI23/AJ23)/AK23)</f>
        <v/>
      </c>
      <c r="O23" s="582" t="str">
        <f>IFERROR(N23*'CO₂係数 '!$I$33,"")</f>
        <v/>
      </c>
      <c r="P23" s="581"/>
      <c r="Q23" s="942"/>
      <c r="R23" s="581"/>
      <c r="S23" s="608"/>
      <c r="T23" s="609"/>
      <c r="U23" s="621">
        <f t="shared" ref="U23:U41" si="19">H23</f>
        <v>0</v>
      </c>
      <c r="V23" s="611"/>
      <c r="W23" s="609"/>
      <c r="X23" s="578">
        <f t="shared" ref="X23:X41" si="20">L23</f>
        <v>0</v>
      </c>
      <c r="Y23" s="578" t="str">
        <f t="shared" ref="Y23:Y41" si="21">IF(R23="","",R23*T23*U23*I23*AM23/AN23+R23*W23*X23*M23*AP23/AQ23)</f>
        <v/>
      </c>
      <c r="Z23" s="835" t="str">
        <f>IFERROR(Y23*'CO₂係数 '!$I$33,"")</f>
        <v/>
      </c>
      <c r="AA23" s="578" t="str">
        <f>IFERROR(IF(N23="",Y23*-1,N23-Y23),"")</f>
        <v/>
      </c>
      <c r="AB23" s="836" t="str">
        <f t="shared" ref="AB23:AB39" si="22">IFERROR(IF(O23="",AA23*-1,O23-Z23),"")</f>
        <v/>
      </c>
      <c r="AC23" s="136"/>
      <c r="AD23" s="137" t="str">
        <f t="shared" si="0"/>
        <v/>
      </c>
      <c r="AE23" s="137">
        <f t="shared" si="13"/>
        <v>0</v>
      </c>
      <c r="AF23" s="138">
        <f t="shared" ref="AF23:AF41" si="23">IFERROR(INDEX(負荷率取得,MATCH(H23,冷房日数,1)+5,1),)</f>
        <v>0.28634999999999999</v>
      </c>
      <c r="AG23" s="139">
        <f t="shared" si="1"/>
        <v>0.82158750000000003</v>
      </c>
      <c r="AH23" s="140">
        <f t="shared" si="14"/>
        <v>0</v>
      </c>
      <c r="AI23" s="139">
        <f t="shared" si="15"/>
        <v>0.372</v>
      </c>
      <c r="AJ23" s="139">
        <f t="shared" si="3"/>
        <v>0.84299999999999997</v>
      </c>
      <c r="AK23" s="139">
        <f t="shared" si="4"/>
        <v>1</v>
      </c>
      <c r="AL23" s="139"/>
      <c r="AM23" s="141">
        <f t="shared" si="16"/>
        <v>0.28634999999999999</v>
      </c>
      <c r="AN23" s="139">
        <f t="shared" si="5"/>
        <v>2.2209169812499998</v>
      </c>
      <c r="AP23" s="139">
        <f t="shared" si="17"/>
        <v>0.372</v>
      </c>
      <c r="AQ23" s="139">
        <f t="shared" si="7"/>
        <v>1.6766514999999997</v>
      </c>
      <c r="AS23" s="145">
        <v>0.5</v>
      </c>
      <c r="AU23" s="134" t="s">
        <v>331</v>
      </c>
      <c r="AV23" s="134">
        <v>0.75</v>
      </c>
      <c r="AY23" s="146" t="s">
        <v>332</v>
      </c>
      <c r="AZ23" s="146" t="s">
        <v>333</v>
      </c>
      <c r="BA23" s="146" t="s">
        <v>334</v>
      </c>
      <c r="BB23" s="143" t="s">
        <v>335</v>
      </c>
      <c r="BG23" s="146" t="s">
        <v>336</v>
      </c>
      <c r="BH23" s="143" t="s">
        <v>335</v>
      </c>
      <c r="BK23" s="147" t="s">
        <v>344</v>
      </c>
      <c r="BL23" s="147" t="s">
        <v>48</v>
      </c>
      <c r="BM23" s="134">
        <v>24</v>
      </c>
      <c r="BN23" s="149">
        <v>0.372</v>
      </c>
      <c r="BO23" s="150">
        <f>AVERAGE(BN$23:BN23)</f>
        <v>0.372</v>
      </c>
      <c r="BP23" s="134">
        <v>23</v>
      </c>
    </row>
    <row r="24" spans="1:68" s="134" customFormat="1" ht="17.100000000000001" customHeight="1">
      <c r="A24" s="16">
        <v>3</v>
      </c>
      <c r="B24" s="581"/>
      <c r="C24" s="458"/>
      <c r="D24" s="581"/>
      <c r="E24" s="583"/>
      <c r="F24" s="608"/>
      <c r="G24" s="609"/>
      <c r="H24" s="605"/>
      <c r="I24" s="605"/>
      <c r="J24" s="610"/>
      <c r="K24" s="609"/>
      <c r="L24" s="605"/>
      <c r="M24" s="605"/>
      <c r="N24" s="578" t="str">
        <f t="shared" si="18"/>
        <v/>
      </c>
      <c r="O24" s="582" t="str">
        <f>IFERROR(N24*'CO₂係数 '!$I$33,"")</f>
        <v/>
      </c>
      <c r="P24" s="581"/>
      <c r="Q24" s="942"/>
      <c r="R24" s="581"/>
      <c r="S24" s="608"/>
      <c r="T24" s="609"/>
      <c r="U24" s="621">
        <f t="shared" si="19"/>
        <v>0</v>
      </c>
      <c r="V24" s="611"/>
      <c r="W24" s="609"/>
      <c r="X24" s="578">
        <f t="shared" si="20"/>
        <v>0</v>
      </c>
      <c r="Y24" s="578" t="str">
        <f t="shared" si="21"/>
        <v/>
      </c>
      <c r="Z24" s="835" t="str">
        <f>IFERROR(Y24*'CO₂係数 '!$I$33,"")</f>
        <v/>
      </c>
      <c r="AA24" s="578" t="str">
        <f t="shared" ref="AA24:AA39" si="24">IFERROR(IF(N24="",Y24*-1,N24-Y24),"")</f>
        <v/>
      </c>
      <c r="AB24" s="836" t="str">
        <f t="shared" si="22"/>
        <v/>
      </c>
      <c r="AC24" s="136"/>
      <c r="AD24" s="137" t="str">
        <f t="shared" si="0"/>
        <v/>
      </c>
      <c r="AE24" s="137">
        <f t="shared" si="13"/>
        <v>0</v>
      </c>
      <c r="AF24" s="138">
        <f t="shared" si="23"/>
        <v>0.28634999999999999</v>
      </c>
      <c r="AG24" s="139">
        <f t="shared" si="1"/>
        <v>0.82158750000000003</v>
      </c>
      <c r="AH24" s="140">
        <f t="shared" si="14"/>
        <v>0</v>
      </c>
      <c r="AI24" s="139">
        <f t="shared" si="15"/>
        <v>0.372</v>
      </c>
      <c r="AJ24" s="139">
        <f t="shared" si="3"/>
        <v>0.84299999999999997</v>
      </c>
      <c r="AK24" s="139">
        <f t="shared" si="4"/>
        <v>1</v>
      </c>
      <c r="AL24" s="139"/>
      <c r="AM24" s="141">
        <f t="shared" si="16"/>
        <v>0.28634999999999999</v>
      </c>
      <c r="AN24" s="139">
        <f t="shared" si="5"/>
        <v>2.2209169812499998</v>
      </c>
      <c r="AP24" s="139">
        <f t="shared" si="17"/>
        <v>0.372</v>
      </c>
      <c r="AQ24" s="139">
        <f t="shared" si="7"/>
        <v>1.6766514999999997</v>
      </c>
      <c r="AS24" s="145">
        <v>0.4</v>
      </c>
      <c r="AU24" s="134" t="s">
        <v>337</v>
      </c>
      <c r="AV24" s="134">
        <v>0.755</v>
      </c>
      <c r="AX24" s="147" t="s">
        <v>338</v>
      </c>
      <c r="AY24" s="148">
        <v>0.59050000000000002</v>
      </c>
      <c r="AZ24" s="149">
        <v>0</v>
      </c>
      <c r="BA24" s="149">
        <v>0.59050000000000002</v>
      </c>
      <c r="BB24" s="150">
        <f>AVERAGE(BA$24:BA24)</f>
        <v>0.59050000000000002</v>
      </c>
      <c r="BD24" s="147" t="s">
        <v>338</v>
      </c>
      <c r="BE24" s="147" t="s">
        <v>47</v>
      </c>
      <c r="BF24" s="134">
        <v>24</v>
      </c>
      <c r="BG24" s="148">
        <f>BA24</f>
        <v>0.59050000000000002</v>
      </c>
      <c r="BH24" s="150">
        <f>AVERAGE(BG$24:BG24)</f>
        <v>0.59050000000000002</v>
      </c>
      <c r="BI24" s="134">
        <v>22</v>
      </c>
      <c r="BK24" s="147" t="s">
        <v>346</v>
      </c>
      <c r="BL24" s="147" t="s">
        <v>48</v>
      </c>
      <c r="BM24" s="134">
        <f>BM23+24</f>
        <v>48</v>
      </c>
      <c r="BN24" s="149">
        <v>0.35100000000000003</v>
      </c>
      <c r="BO24" s="151">
        <f>AVERAGE(BN$23:BN24)</f>
        <v>0.36150000000000004</v>
      </c>
      <c r="BP24" s="134">
        <v>22</v>
      </c>
    </row>
    <row r="25" spans="1:68" s="134" customFormat="1" ht="17.100000000000001" customHeight="1">
      <c r="A25" s="16">
        <v>4</v>
      </c>
      <c r="B25" s="581"/>
      <c r="C25" s="458"/>
      <c r="D25" s="581"/>
      <c r="E25" s="583"/>
      <c r="F25" s="608"/>
      <c r="G25" s="609"/>
      <c r="H25" s="605"/>
      <c r="I25" s="605"/>
      <c r="J25" s="610"/>
      <c r="K25" s="609"/>
      <c r="L25" s="605"/>
      <c r="M25" s="605"/>
      <c r="N25" s="578" t="str">
        <f t="shared" si="18"/>
        <v/>
      </c>
      <c r="O25" s="582" t="str">
        <f>IFERROR(N25*'CO₂係数 '!$I$33,"")</f>
        <v/>
      </c>
      <c r="P25" s="581"/>
      <c r="Q25" s="942"/>
      <c r="R25" s="581"/>
      <c r="S25" s="608"/>
      <c r="T25" s="609"/>
      <c r="U25" s="621">
        <f t="shared" si="19"/>
        <v>0</v>
      </c>
      <c r="V25" s="611"/>
      <c r="W25" s="609"/>
      <c r="X25" s="578">
        <f t="shared" si="20"/>
        <v>0</v>
      </c>
      <c r="Y25" s="578" t="str">
        <f t="shared" si="21"/>
        <v/>
      </c>
      <c r="Z25" s="835" t="str">
        <f>IFERROR(Y25*'CO₂係数 '!$I$33,"")</f>
        <v/>
      </c>
      <c r="AA25" s="578" t="str">
        <f t="shared" si="24"/>
        <v/>
      </c>
      <c r="AB25" s="836" t="str">
        <f t="shared" si="22"/>
        <v/>
      </c>
      <c r="AC25" s="136"/>
      <c r="AD25" s="137" t="str">
        <f t="shared" si="0"/>
        <v/>
      </c>
      <c r="AE25" s="137">
        <f t="shared" si="13"/>
        <v>0</v>
      </c>
      <c r="AF25" s="138">
        <f t="shared" si="23"/>
        <v>0.28634999999999999</v>
      </c>
      <c r="AG25" s="139">
        <f t="shared" si="1"/>
        <v>0.82158750000000003</v>
      </c>
      <c r="AH25" s="140">
        <f t="shared" si="14"/>
        <v>0</v>
      </c>
      <c r="AI25" s="139">
        <f t="shared" si="15"/>
        <v>0.372</v>
      </c>
      <c r="AJ25" s="139">
        <f t="shared" si="3"/>
        <v>0.84299999999999997</v>
      </c>
      <c r="AK25" s="139">
        <f t="shared" si="4"/>
        <v>1</v>
      </c>
      <c r="AL25" s="139"/>
      <c r="AM25" s="141">
        <f t="shared" si="16"/>
        <v>0.28634999999999999</v>
      </c>
      <c r="AN25" s="139">
        <f t="shared" si="5"/>
        <v>2.2209169812499998</v>
      </c>
      <c r="AP25" s="139">
        <f t="shared" si="17"/>
        <v>0.372</v>
      </c>
      <c r="AQ25" s="139">
        <f t="shared" si="7"/>
        <v>1.6766514999999997</v>
      </c>
      <c r="AS25" s="145">
        <v>0.3</v>
      </c>
      <c r="AU25" s="134" t="s">
        <v>339</v>
      </c>
      <c r="AV25" s="134">
        <v>0.76</v>
      </c>
      <c r="AX25" s="147" t="s">
        <v>340</v>
      </c>
      <c r="AY25" s="148">
        <v>0.5625</v>
      </c>
      <c r="AZ25" s="149">
        <v>0</v>
      </c>
      <c r="BA25" s="149">
        <v>0.5625</v>
      </c>
      <c r="BB25" s="150">
        <f>AVERAGE(BA$24:BA25)</f>
        <v>0.57650000000000001</v>
      </c>
      <c r="BD25" s="147" t="s">
        <v>340</v>
      </c>
      <c r="BE25" s="147" t="s">
        <v>47</v>
      </c>
      <c r="BF25" s="134">
        <f>BF24+24</f>
        <v>48</v>
      </c>
      <c r="BG25" s="148">
        <f t="shared" ref="BG25:BG35" si="25">BA25</f>
        <v>0.5625</v>
      </c>
      <c r="BH25" s="150">
        <f>AVERAGE(BG$24:BG25)</f>
        <v>0.57650000000000001</v>
      </c>
      <c r="BI25" s="134">
        <v>26</v>
      </c>
      <c r="BK25" s="147" t="s">
        <v>350</v>
      </c>
      <c r="BL25" s="147" t="s">
        <v>48</v>
      </c>
      <c r="BM25" s="134">
        <f>BM24+24</f>
        <v>72</v>
      </c>
      <c r="BN25" s="149">
        <v>0.28425</v>
      </c>
      <c r="BO25" s="150">
        <f>AVERAGE(BN$23:BN25)</f>
        <v>0.33574999999999999</v>
      </c>
      <c r="BP25" s="134">
        <v>25</v>
      </c>
    </row>
    <row r="26" spans="1:68" s="134" customFormat="1" ht="17.100000000000001" customHeight="1">
      <c r="A26" s="16">
        <v>5</v>
      </c>
      <c r="B26" s="581"/>
      <c r="C26" s="458"/>
      <c r="D26" s="581"/>
      <c r="E26" s="583"/>
      <c r="F26" s="608"/>
      <c r="G26" s="609"/>
      <c r="H26" s="605"/>
      <c r="I26" s="605"/>
      <c r="J26" s="610"/>
      <c r="K26" s="609"/>
      <c r="L26" s="605"/>
      <c r="M26" s="605"/>
      <c r="N26" s="578" t="str">
        <f t="shared" si="18"/>
        <v/>
      </c>
      <c r="O26" s="582" t="str">
        <f>IFERROR(N26*'CO₂係数 '!$I$33,"")</f>
        <v/>
      </c>
      <c r="P26" s="581"/>
      <c r="Q26" s="942"/>
      <c r="R26" s="581"/>
      <c r="S26" s="608"/>
      <c r="T26" s="609"/>
      <c r="U26" s="621">
        <f t="shared" si="19"/>
        <v>0</v>
      </c>
      <c r="V26" s="611"/>
      <c r="W26" s="609"/>
      <c r="X26" s="578">
        <f t="shared" si="20"/>
        <v>0</v>
      </c>
      <c r="Y26" s="578" t="str">
        <f t="shared" si="21"/>
        <v/>
      </c>
      <c r="Z26" s="835" t="str">
        <f>IFERROR(Y26*'CO₂係数 '!$I$33,"")</f>
        <v/>
      </c>
      <c r="AA26" s="578" t="str">
        <f t="shared" si="24"/>
        <v/>
      </c>
      <c r="AB26" s="836" t="str">
        <f t="shared" si="22"/>
        <v/>
      </c>
      <c r="AC26" s="136"/>
      <c r="AD26" s="137" t="str">
        <f t="shared" si="0"/>
        <v/>
      </c>
      <c r="AE26" s="137">
        <f t="shared" si="13"/>
        <v>0</v>
      </c>
      <c r="AF26" s="138">
        <f t="shared" si="23"/>
        <v>0.28634999999999999</v>
      </c>
      <c r="AG26" s="139">
        <f t="shared" si="1"/>
        <v>0.82158750000000003</v>
      </c>
      <c r="AH26" s="140">
        <f t="shared" si="14"/>
        <v>0</v>
      </c>
      <c r="AI26" s="139">
        <f t="shared" si="15"/>
        <v>0.372</v>
      </c>
      <c r="AJ26" s="139">
        <f t="shared" si="3"/>
        <v>0.84299999999999997</v>
      </c>
      <c r="AK26" s="139">
        <f t="shared" si="4"/>
        <v>1</v>
      </c>
      <c r="AL26" s="139"/>
      <c r="AM26" s="141">
        <f t="shared" si="16"/>
        <v>0.28634999999999999</v>
      </c>
      <c r="AN26" s="139">
        <f t="shared" si="5"/>
        <v>2.2209169812499998</v>
      </c>
      <c r="AP26" s="139">
        <f t="shared" si="17"/>
        <v>0.372</v>
      </c>
      <c r="AQ26" s="139">
        <f t="shared" si="7"/>
        <v>1.6766514999999997</v>
      </c>
      <c r="AS26" s="145">
        <v>0.2</v>
      </c>
      <c r="AU26" s="134" t="s">
        <v>341</v>
      </c>
      <c r="AV26" s="134">
        <v>0.76500000000000001</v>
      </c>
      <c r="AX26" s="147" t="s">
        <v>342</v>
      </c>
      <c r="AY26" s="148">
        <v>0.43099999999999999</v>
      </c>
      <c r="AZ26" s="149">
        <v>0</v>
      </c>
      <c r="BA26" s="149">
        <v>0.43099999999999999</v>
      </c>
      <c r="BB26" s="150">
        <f>AVERAGE(BA$24:BA26)</f>
        <v>0.52800000000000002</v>
      </c>
      <c r="BD26" s="147" t="s">
        <v>342</v>
      </c>
      <c r="BE26" s="147" t="s">
        <v>47</v>
      </c>
      <c r="BF26" s="134">
        <f>BF25+24</f>
        <v>72</v>
      </c>
      <c r="BG26" s="148">
        <f t="shared" si="25"/>
        <v>0.43099999999999999</v>
      </c>
      <c r="BH26" s="150">
        <f>AVERAGE(BG$24:BG26)</f>
        <v>0.52800000000000002</v>
      </c>
      <c r="BI26" s="134">
        <v>24</v>
      </c>
      <c r="BK26" s="147" t="s">
        <v>352</v>
      </c>
      <c r="BL26" s="147" t="s">
        <v>48</v>
      </c>
      <c r="BM26" s="134">
        <f t="shared" ref="BM26:BM27" si="26">BM25+24</f>
        <v>96</v>
      </c>
      <c r="BN26" s="149">
        <v>0.26524999999999999</v>
      </c>
      <c r="BO26" s="150">
        <f>AVERAGE(BN$23:BN26)</f>
        <v>0.31812499999999999</v>
      </c>
      <c r="BP26" s="134">
        <v>25</v>
      </c>
    </row>
    <row r="27" spans="1:68" s="134" customFormat="1" ht="17.100000000000001" customHeight="1">
      <c r="A27" s="16">
        <v>6</v>
      </c>
      <c r="B27" s="581"/>
      <c r="C27" s="458"/>
      <c r="D27" s="581"/>
      <c r="E27" s="583"/>
      <c r="F27" s="608"/>
      <c r="G27" s="609"/>
      <c r="H27" s="605"/>
      <c r="I27" s="605"/>
      <c r="J27" s="610"/>
      <c r="K27" s="609"/>
      <c r="L27" s="605"/>
      <c r="M27" s="605"/>
      <c r="N27" s="578" t="str">
        <f t="shared" si="18"/>
        <v/>
      </c>
      <c r="O27" s="582" t="str">
        <f>IFERROR(N27*'CO₂係数 '!$I$33,"")</f>
        <v/>
      </c>
      <c r="P27" s="581"/>
      <c r="Q27" s="942"/>
      <c r="R27" s="581"/>
      <c r="S27" s="608"/>
      <c r="T27" s="609"/>
      <c r="U27" s="621">
        <f t="shared" si="19"/>
        <v>0</v>
      </c>
      <c r="V27" s="611"/>
      <c r="W27" s="609"/>
      <c r="X27" s="578">
        <f t="shared" si="20"/>
        <v>0</v>
      </c>
      <c r="Y27" s="578" t="str">
        <f t="shared" si="21"/>
        <v/>
      </c>
      <c r="Z27" s="835" t="str">
        <f>IFERROR(Y27*'CO₂係数 '!$I$33,"")</f>
        <v/>
      </c>
      <c r="AA27" s="578" t="str">
        <f t="shared" si="24"/>
        <v/>
      </c>
      <c r="AB27" s="836" t="str">
        <f t="shared" si="22"/>
        <v/>
      </c>
      <c r="AC27" s="136"/>
      <c r="AD27" s="137" t="str">
        <f t="shared" si="0"/>
        <v/>
      </c>
      <c r="AE27" s="137">
        <f t="shared" si="13"/>
        <v>0</v>
      </c>
      <c r="AF27" s="138">
        <f t="shared" si="23"/>
        <v>0.28634999999999999</v>
      </c>
      <c r="AG27" s="139">
        <f t="shared" si="1"/>
        <v>0.82158750000000003</v>
      </c>
      <c r="AH27" s="140">
        <f t="shared" si="14"/>
        <v>0</v>
      </c>
      <c r="AI27" s="139">
        <f t="shared" si="15"/>
        <v>0.372</v>
      </c>
      <c r="AJ27" s="139">
        <f t="shared" si="3"/>
        <v>0.84299999999999997</v>
      </c>
      <c r="AK27" s="139">
        <f t="shared" si="4"/>
        <v>1</v>
      </c>
      <c r="AL27" s="139"/>
      <c r="AM27" s="141">
        <f t="shared" si="16"/>
        <v>0.28634999999999999</v>
      </c>
      <c r="AN27" s="139">
        <f t="shared" si="5"/>
        <v>2.2209169812499998</v>
      </c>
      <c r="AP27" s="139">
        <f t="shared" si="17"/>
        <v>0.372</v>
      </c>
      <c r="AQ27" s="139">
        <f t="shared" si="7"/>
        <v>1.6766514999999997</v>
      </c>
      <c r="AU27" s="134" t="s">
        <v>343</v>
      </c>
      <c r="AV27" s="134">
        <v>0.77</v>
      </c>
      <c r="AX27" s="147" t="s">
        <v>344</v>
      </c>
      <c r="AY27" s="149">
        <v>0</v>
      </c>
      <c r="AZ27" s="148">
        <v>0.372</v>
      </c>
      <c r="BA27" s="149">
        <v>0.372</v>
      </c>
      <c r="BB27" s="150">
        <f>AVERAGE(BA$24:BA27)</f>
        <v>0.48899999999999999</v>
      </c>
      <c r="BD27" s="147" t="s">
        <v>344</v>
      </c>
      <c r="BE27" s="147" t="s">
        <v>48</v>
      </c>
      <c r="BF27" s="134">
        <f t="shared" ref="BF27:BF35" si="27">BF26+24</f>
        <v>96</v>
      </c>
      <c r="BG27" s="148">
        <f t="shared" si="25"/>
        <v>0.372</v>
      </c>
      <c r="BH27" s="150">
        <f>AVERAGE(BG$24:BG27)</f>
        <v>0.48899999999999999</v>
      </c>
      <c r="BI27" s="134">
        <v>23</v>
      </c>
      <c r="BK27" s="152" t="s">
        <v>358</v>
      </c>
      <c r="BL27" s="152" t="s">
        <v>48</v>
      </c>
      <c r="BM27" s="153">
        <f t="shared" si="26"/>
        <v>120</v>
      </c>
      <c r="BN27" s="149">
        <v>0.15925</v>
      </c>
      <c r="BO27" s="154">
        <f>AVERAGE(BN$23:BN27)</f>
        <v>0.28634999999999999</v>
      </c>
      <c r="BP27" s="153">
        <v>25</v>
      </c>
    </row>
    <row r="28" spans="1:68" s="134" customFormat="1" ht="17.100000000000001" customHeight="1">
      <c r="A28" s="16">
        <v>7</v>
      </c>
      <c r="B28" s="581"/>
      <c r="C28" s="458"/>
      <c r="D28" s="581"/>
      <c r="E28" s="583"/>
      <c r="F28" s="608"/>
      <c r="G28" s="609"/>
      <c r="H28" s="605"/>
      <c r="I28" s="605"/>
      <c r="J28" s="610"/>
      <c r="K28" s="609"/>
      <c r="L28" s="605"/>
      <c r="M28" s="605"/>
      <c r="N28" s="578" t="str">
        <f t="shared" si="18"/>
        <v/>
      </c>
      <c r="O28" s="582" t="str">
        <f>IFERROR(N28*'CO₂係数 '!$I$33,"")</f>
        <v/>
      </c>
      <c r="P28" s="581"/>
      <c r="Q28" s="942"/>
      <c r="R28" s="581"/>
      <c r="S28" s="608"/>
      <c r="T28" s="609"/>
      <c r="U28" s="621">
        <f t="shared" si="19"/>
        <v>0</v>
      </c>
      <c r="V28" s="611"/>
      <c r="W28" s="609"/>
      <c r="X28" s="578">
        <f t="shared" si="20"/>
        <v>0</v>
      </c>
      <c r="Y28" s="578" t="str">
        <f t="shared" si="21"/>
        <v/>
      </c>
      <c r="Z28" s="835" t="str">
        <f>IFERROR(Y28*'CO₂係数 '!$I$33,"")</f>
        <v/>
      </c>
      <c r="AA28" s="578" t="str">
        <f t="shared" si="24"/>
        <v/>
      </c>
      <c r="AB28" s="836" t="str">
        <f t="shared" si="22"/>
        <v/>
      </c>
      <c r="AC28" s="136"/>
      <c r="AD28" s="137" t="str">
        <f t="shared" si="0"/>
        <v/>
      </c>
      <c r="AE28" s="137">
        <f t="shared" si="13"/>
        <v>0</v>
      </c>
      <c r="AF28" s="138">
        <f t="shared" si="23"/>
        <v>0.28634999999999999</v>
      </c>
      <c r="AG28" s="139">
        <f t="shared" si="1"/>
        <v>0.82158750000000003</v>
      </c>
      <c r="AH28" s="140">
        <f t="shared" si="14"/>
        <v>0</v>
      </c>
      <c r="AI28" s="139">
        <f t="shared" si="15"/>
        <v>0.372</v>
      </c>
      <c r="AJ28" s="139">
        <f t="shared" si="3"/>
        <v>0.84299999999999997</v>
      </c>
      <c r="AK28" s="139">
        <f t="shared" si="4"/>
        <v>1</v>
      </c>
      <c r="AL28" s="139"/>
      <c r="AM28" s="141">
        <f t="shared" si="16"/>
        <v>0.28634999999999999</v>
      </c>
      <c r="AN28" s="139">
        <f t="shared" si="5"/>
        <v>2.2209169812499998</v>
      </c>
      <c r="AP28" s="139">
        <f t="shared" si="17"/>
        <v>0.372</v>
      </c>
      <c r="AQ28" s="139">
        <f t="shared" si="7"/>
        <v>1.6766514999999997</v>
      </c>
      <c r="AU28" s="134" t="s">
        <v>345</v>
      </c>
      <c r="AV28" s="134">
        <v>0.77500000000000002</v>
      </c>
      <c r="AX28" s="147" t="s">
        <v>346</v>
      </c>
      <c r="AY28" s="149">
        <v>0</v>
      </c>
      <c r="AZ28" s="148">
        <v>0.35100000000000003</v>
      </c>
      <c r="BA28" s="149">
        <v>0.35100000000000003</v>
      </c>
      <c r="BB28" s="150">
        <f>AVERAGE(BA$24:BA28)</f>
        <v>0.46139999999999998</v>
      </c>
      <c r="BD28" s="147" t="s">
        <v>346</v>
      </c>
      <c r="BE28" s="147" t="s">
        <v>48</v>
      </c>
      <c r="BF28" s="134">
        <f t="shared" si="27"/>
        <v>120</v>
      </c>
      <c r="BG28" s="148">
        <f t="shared" si="25"/>
        <v>0.35100000000000003</v>
      </c>
      <c r="BH28" s="150">
        <f>AVERAGE(BG$24:BG28)</f>
        <v>0.46139999999999998</v>
      </c>
      <c r="BI28" s="134">
        <v>22</v>
      </c>
      <c r="BK28" s="147"/>
      <c r="BL28" s="147"/>
      <c r="BM28" s="134">
        <v>0</v>
      </c>
      <c r="BN28" s="155">
        <v>0.59050000000000002</v>
      </c>
      <c r="BO28" s="150">
        <f>AVERAGE(BN28:BN$29)</f>
        <v>0.59050000000000002</v>
      </c>
    </row>
    <row r="29" spans="1:68" s="134" customFormat="1" ht="17.100000000000001" customHeight="1">
      <c r="A29" s="16">
        <v>8</v>
      </c>
      <c r="B29" s="581"/>
      <c r="C29" s="458"/>
      <c r="D29" s="581"/>
      <c r="E29" s="583"/>
      <c r="F29" s="608"/>
      <c r="G29" s="609"/>
      <c r="H29" s="605"/>
      <c r="I29" s="605"/>
      <c r="J29" s="610"/>
      <c r="K29" s="609"/>
      <c r="L29" s="605"/>
      <c r="M29" s="605"/>
      <c r="N29" s="578" t="str">
        <f t="shared" si="18"/>
        <v/>
      </c>
      <c r="O29" s="582" t="str">
        <f>IFERROR(N29*'CO₂係数 '!$I$33,"")</f>
        <v/>
      </c>
      <c r="P29" s="581"/>
      <c r="Q29" s="942"/>
      <c r="R29" s="581"/>
      <c r="S29" s="608"/>
      <c r="T29" s="609"/>
      <c r="U29" s="621">
        <f t="shared" si="19"/>
        <v>0</v>
      </c>
      <c r="V29" s="611"/>
      <c r="W29" s="609"/>
      <c r="X29" s="578">
        <f t="shared" si="20"/>
        <v>0</v>
      </c>
      <c r="Y29" s="578" t="str">
        <f t="shared" si="21"/>
        <v/>
      </c>
      <c r="Z29" s="835" t="str">
        <f>IFERROR(Y29*'CO₂係数 '!$I$33,"")</f>
        <v/>
      </c>
      <c r="AA29" s="578" t="str">
        <f t="shared" si="24"/>
        <v/>
      </c>
      <c r="AB29" s="836" t="str">
        <f t="shared" si="22"/>
        <v/>
      </c>
      <c r="AC29" s="136"/>
      <c r="AD29" s="137" t="str">
        <f t="shared" si="0"/>
        <v/>
      </c>
      <c r="AE29" s="137">
        <f t="shared" si="13"/>
        <v>0</v>
      </c>
      <c r="AF29" s="138">
        <f t="shared" si="23"/>
        <v>0.28634999999999999</v>
      </c>
      <c r="AG29" s="139">
        <f t="shared" si="1"/>
        <v>0.82158750000000003</v>
      </c>
      <c r="AH29" s="140">
        <f t="shared" si="14"/>
        <v>0</v>
      </c>
      <c r="AI29" s="139">
        <f t="shared" si="15"/>
        <v>0.372</v>
      </c>
      <c r="AJ29" s="139">
        <f t="shared" si="3"/>
        <v>0.84299999999999997</v>
      </c>
      <c r="AK29" s="139">
        <f t="shared" si="4"/>
        <v>1</v>
      </c>
      <c r="AL29" s="139"/>
      <c r="AM29" s="141">
        <f t="shared" si="16"/>
        <v>0.28634999999999999</v>
      </c>
      <c r="AN29" s="139">
        <f t="shared" si="5"/>
        <v>2.2209169812499998</v>
      </c>
      <c r="AP29" s="139">
        <f t="shared" si="17"/>
        <v>0.372</v>
      </c>
      <c r="AQ29" s="139">
        <f t="shared" si="7"/>
        <v>1.6766514999999997</v>
      </c>
      <c r="AU29" s="134" t="s">
        <v>347</v>
      </c>
      <c r="AV29" s="134">
        <v>0.78</v>
      </c>
      <c r="AX29" s="147" t="s">
        <v>348</v>
      </c>
      <c r="AY29" s="148">
        <v>0.31225000000000003</v>
      </c>
      <c r="AZ29" s="149">
        <v>0</v>
      </c>
      <c r="BA29" s="149">
        <v>0.31225000000000003</v>
      </c>
      <c r="BB29" s="150">
        <f>AVERAGE(BA$24:BA29)</f>
        <v>0.43654166666666666</v>
      </c>
      <c r="BD29" s="147" t="s">
        <v>348</v>
      </c>
      <c r="BE29" s="147" t="s">
        <v>47</v>
      </c>
      <c r="BF29" s="134">
        <f t="shared" si="27"/>
        <v>144</v>
      </c>
      <c r="BG29" s="148">
        <f t="shared" si="25"/>
        <v>0.31225000000000003</v>
      </c>
      <c r="BH29" s="150">
        <f>AVERAGE(BG$24:BG29)</f>
        <v>0.43654166666666666</v>
      </c>
      <c r="BI29" s="134">
        <v>26</v>
      </c>
      <c r="BK29" s="147" t="s">
        <v>338</v>
      </c>
      <c r="BL29" s="147" t="s">
        <v>47</v>
      </c>
      <c r="BM29" s="134">
        <v>24</v>
      </c>
      <c r="BN29" s="155">
        <v>0.59050000000000002</v>
      </c>
      <c r="BO29" s="150">
        <f>AVERAGE(BN$29:BN29)</f>
        <v>0.59050000000000002</v>
      </c>
      <c r="BP29" s="134">
        <v>22</v>
      </c>
    </row>
    <row r="30" spans="1:68" s="134" customFormat="1" ht="17.100000000000001" customHeight="1">
      <c r="A30" s="16">
        <v>9</v>
      </c>
      <c r="B30" s="581"/>
      <c r="C30" s="458"/>
      <c r="D30" s="581"/>
      <c r="E30" s="583"/>
      <c r="F30" s="608"/>
      <c r="G30" s="609"/>
      <c r="H30" s="605"/>
      <c r="I30" s="605"/>
      <c r="J30" s="610"/>
      <c r="K30" s="609"/>
      <c r="L30" s="605"/>
      <c r="M30" s="605"/>
      <c r="N30" s="578" t="str">
        <f t="shared" si="18"/>
        <v/>
      </c>
      <c r="O30" s="582" t="str">
        <f>IFERROR(N30*'CO₂係数 '!$I$33,"")</f>
        <v/>
      </c>
      <c r="P30" s="581"/>
      <c r="Q30" s="942"/>
      <c r="R30" s="581"/>
      <c r="S30" s="608"/>
      <c r="T30" s="609"/>
      <c r="U30" s="621">
        <f t="shared" si="19"/>
        <v>0</v>
      </c>
      <c r="V30" s="611"/>
      <c r="W30" s="609"/>
      <c r="X30" s="578">
        <f t="shared" si="20"/>
        <v>0</v>
      </c>
      <c r="Y30" s="578" t="str">
        <f t="shared" si="21"/>
        <v/>
      </c>
      <c r="Z30" s="835" t="str">
        <f>IFERROR(Y30*'CO₂係数 '!$I$33,"")</f>
        <v/>
      </c>
      <c r="AA30" s="578" t="str">
        <f t="shared" si="24"/>
        <v/>
      </c>
      <c r="AB30" s="836" t="str">
        <f t="shared" si="22"/>
        <v/>
      </c>
      <c r="AC30" s="136"/>
      <c r="AD30" s="137" t="str">
        <f t="shared" si="0"/>
        <v/>
      </c>
      <c r="AE30" s="137">
        <f t="shared" si="13"/>
        <v>0</v>
      </c>
      <c r="AF30" s="138">
        <f t="shared" si="23"/>
        <v>0.28634999999999999</v>
      </c>
      <c r="AG30" s="139">
        <f t="shared" si="1"/>
        <v>0.82158750000000003</v>
      </c>
      <c r="AH30" s="140">
        <f t="shared" si="14"/>
        <v>0</v>
      </c>
      <c r="AI30" s="139">
        <f t="shared" si="15"/>
        <v>0.372</v>
      </c>
      <c r="AJ30" s="139">
        <f t="shared" si="3"/>
        <v>0.84299999999999997</v>
      </c>
      <c r="AK30" s="139">
        <f t="shared" si="4"/>
        <v>1</v>
      </c>
      <c r="AL30" s="139"/>
      <c r="AM30" s="141">
        <f t="shared" si="16"/>
        <v>0.28634999999999999</v>
      </c>
      <c r="AN30" s="139">
        <f t="shared" si="5"/>
        <v>2.2209169812499998</v>
      </c>
      <c r="AP30" s="139">
        <f t="shared" si="17"/>
        <v>0.372</v>
      </c>
      <c r="AQ30" s="139">
        <f t="shared" si="7"/>
        <v>1.6766514999999997</v>
      </c>
      <c r="AU30" s="134" t="s">
        <v>349</v>
      </c>
      <c r="AV30" s="134">
        <v>0.78500000000000003</v>
      </c>
      <c r="AX30" s="147" t="s">
        <v>350</v>
      </c>
      <c r="AY30" s="149">
        <v>0</v>
      </c>
      <c r="AZ30" s="148">
        <v>0.28425</v>
      </c>
      <c r="BA30" s="149">
        <v>0.28425</v>
      </c>
      <c r="BB30" s="150">
        <f>AVERAGE(BA$24:BA30)</f>
        <v>0.41478571428571431</v>
      </c>
      <c r="BD30" s="147" t="s">
        <v>350</v>
      </c>
      <c r="BE30" s="147" t="s">
        <v>48</v>
      </c>
      <c r="BF30" s="134">
        <f t="shared" si="27"/>
        <v>168</v>
      </c>
      <c r="BG30" s="148">
        <f t="shared" si="25"/>
        <v>0.28425</v>
      </c>
      <c r="BH30" s="150">
        <f>AVERAGE(BG$24:BG30)</f>
        <v>0.41478571428571431</v>
      </c>
      <c r="BI30" s="134">
        <v>25</v>
      </c>
      <c r="BK30" s="147" t="s">
        <v>340</v>
      </c>
      <c r="BL30" s="147" t="s">
        <v>47</v>
      </c>
      <c r="BM30" s="134">
        <f>BM29+24</f>
        <v>48</v>
      </c>
      <c r="BN30" s="149">
        <v>0.5625</v>
      </c>
      <c r="BO30" s="150">
        <f>AVERAGE(BN$29:BN30)</f>
        <v>0.57650000000000001</v>
      </c>
      <c r="BP30" s="134">
        <v>26</v>
      </c>
    </row>
    <row r="31" spans="1:68" s="134" customFormat="1" ht="17.100000000000001" customHeight="1">
      <c r="A31" s="16">
        <v>10</v>
      </c>
      <c r="B31" s="581"/>
      <c r="C31" s="458"/>
      <c r="D31" s="581"/>
      <c r="E31" s="583"/>
      <c r="F31" s="608"/>
      <c r="G31" s="609"/>
      <c r="H31" s="605"/>
      <c r="I31" s="605"/>
      <c r="J31" s="610"/>
      <c r="K31" s="609"/>
      <c r="L31" s="605"/>
      <c r="M31" s="605"/>
      <c r="N31" s="578" t="str">
        <f t="shared" si="18"/>
        <v/>
      </c>
      <c r="O31" s="582" t="str">
        <f>IFERROR(N31*'CO₂係数 '!$I$33,"")</f>
        <v/>
      </c>
      <c r="P31" s="581"/>
      <c r="Q31" s="942"/>
      <c r="R31" s="581"/>
      <c r="S31" s="608"/>
      <c r="T31" s="609"/>
      <c r="U31" s="621">
        <f t="shared" si="19"/>
        <v>0</v>
      </c>
      <c r="V31" s="611"/>
      <c r="W31" s="609"/>
      <c r="X31" s="578">
        <f t="shared" si="20"/>
        <v>0</v>
      </c>
      <c r="Y31" s="578" t="str">
        <f t="shared" si="21"/>
        <v/>
      </c>
      <c r="Z31" s="835" t="str">
        <f>IFERROR(Y31*'CO₂係数 '!$I$33,"")</f>
        <v/>
      </c>
      <c r="AA31" s="578" t="str">
        <f t="shared" si="24"/>
        <v/>
      </c>
      <c r="AB31" s="836" t="str">
        <f t="shared" si="22"/>
        <v/>
      </c>
      <c r="AC31" s="136"/>
      <c r="AD31" s="137" t="str">
        <f t="shared" si="0"/>
        <v/>
      </c>
      <c r="AE31" s="137">
        <f t="shared" si="13"/>
        <v>0</v>
      </c>
      <c r="AF31" s="138">
        <f t="shared" si="23"/>
        <v>0.28634999999999999</v>
      </c>
      <c r="AG31" s="139">
        <f t="shared" si="1"/>
        <v>0.82158750000000003</v>
      </c>
      <c r="AH31" s="140">
        <f t="shared" si="14"/>
        <v>0</v>
      </c>
      <c r="AI31" s="139">
        <f t="shared" si="15"/>
        <v>0.372</v>
      </c>
      <c r="AJ31" s="139">
        <f t="shared" si="3"/>
        <v>0.84299999999999997</v>
      </c>
      <c r="AK31" s="139">
        <f t="shared" si="4"/>
        <v>1</v>
      </c>
      <c r="AL31" s="139"/>
      <c r="AM31" s="141">
        <f t="shared" si="16"/>
        <v>0.28634999999999999</v>
      </c>
      <c r="AN31" s="139">
        <f t="shared" si="5"/>
        <v>2.2209169812499998</v>
      </c>
      <c r="AP31" s="139">
        <f t="shared" si="17"/>
        <v>0.372</v>
      </c>
      <c r="AQ31" s="139">
        <f t="shared" si="7"/>
        <v>1.6766514999999997</v>
      </c>
      <c r="AU31" s="134" t="s">
        <v>351</v>
      </c>
      <c r="AV31" s="134">
        <v>0.79</v>
      </c>
      <c r="AX31" s="147" t="s">
        <v>352</v>
      </c>
      <c r="AY31" s="149">
        <v>8.8249999999999995E-2</v>
      </c>
      <c r="AZ31" s="148">
        <v>0.26524999999999999</v>
      </c>
      <c r="BA31" s="149">
        <v>0.26524999999999999</v>
      </c>
      <c r="BB31" s="150">
        <f>AVERAGE(BA$24:BA31)</f>
        <v>0.39609375000000002</v>
      </c>
      <c r="BD31" s="147" t="s">
        <v>352</v>
      </c>
      <c r="BE31" s="147" t="s">
        <v>48</v>
      </c>
      <c r="BF31" s="134">
        <f t="shared" si="27"/>
        <v>192</v>
      </c>
      <c r="BG31" s="148">
        <f t="shared" si="25"/>
        <v>0.26524999999999999</v>
      </c>
      <c r="BH31" s="150">
        <f>AVERAGE(BG$24:BG31)</f>
        <v>0.39609375000000002</v>
      </c>
      <c r="BI31" s="134">
        <v>25</v>
      </c>
      <c r="BK31" s="147" t="s">
        <v>342</v>
      </c>
      <c r="BL31" s="147" t="s">
        <v>47</v>
      </c>
      <c r="BM31" s="134">
        <f t="shared" ref="BM31:BM35" si="28">BM30+24</f>
        <v>72</v>
      </c>
      <c r="BN31" s="149">
        <v>0.43099999999999999</v>
      </c>
      <c r="BO31" s="150">
        <f>AVERAGE(BN$29:BN31)</f>
        <v>0.52800000000000002</v>
      </c>
      <c r="BP31" s="134">
        <v>24</v>
      </c>
    </row>
    <row r="32" spans="1:68" s="134" customFormat="1" ht="17.100000000000001" customHeight="1">
      <c r="A32" s="16">
        <v>11</v>
      </c>
      <c r="B32" s="581"/>
      <c r="C32" s="458"/>
      <c r="D32" s="581"/>
      <c r="E32" s="583"/>
      <c r="F32" s="608"/>
      <c r="G32" s="609"/>
      <c r="H32" s="605"/>
      <c r="I32" s="605"/>
      <c r="J32" s="610"/>
      <c r="K32" s="609"/>
      <c r="L32" s="605"/>
      <c r="M32" s="605"/>
      <c r="N32" s="578" t="str">
        <f t="shared" si="18"/>
        <v/>
      </c>
      <c r="O32" s="582" t="str">
        <f>IFERROR(N32*'CO₂係数 '!$I$33,"")</f>
        <v/>
      </c>
      <c r="P32" s="581"/>
      <c r="Q32" s="942"/>
      <c r="R32" s="581"/>
      <c r="S32" s="608"/>
      <c r="T32" s="609"/>
      <c r="U32" s="621">
        <f t="shared" si="19"/>
        <v>0</v>
      </c>
      <c r="V32" s="611"/>
      <c r="W32" s="609"/>
      <c r="X32" s="578">
        <f t="shared" si="20"/>
        <v>0</v>
      </c>
      <c r="Y32" s="578" t="str">
        <f t="shared" si="21"/>
        <v/>
      </c>
      <c r="Z32" s="835" t="str">
        <f>IFERROR(Y32*'CO₂係数 '!$I$33,"")</f>
        <v/>
      </c>
      <c r="AA32" s="578" t="str">
        <f t="shared" si="24"/>
        <v/>
      </c>
      <c r="AB32" s="836" t="str">
        <f t="shared" si="22"/>
        <v/>
      </c>
      <c r="AC32" s="136"/>
      <c r="AD32" s="137" t="str">
        <f t="shared" si="0"/>
        <v/>
      </c>
      <c r="AE32" s="137">
        <f t="shared" si="13"/>
        <v>0</v>
      </c>
      <c r="AF32" s="138">
        <f t="shared" si="23"/>
        <v>0.28634999999999999</v>
      </c>
      <c r="AG32" s="139">
        <f t="shared" si="1"/>
        <v>0.82158750000000003</v>
      </c>
      <c r="AH32" s="140">
        <f t="shared" si="14"/>
        <v>0</v>
      </c>
      <c r="AI32" s="139">
        <f t="shared" si="15"/>
        <v>0.372</v>
      </c>
      <c r="AJ32" s="139">
        <f t="shared" si="3"/>
        <v>0.84299999999999997</v>
      </c>
      <c r="AK32" s="139">
        <f t="shared" si="4"/>
        <v>1</v>
      </c>
      <c r="AL32" s="139"/>
      <c r="AM32" s="141">
        <f t="shared" si="16"/>
        <v>0.28634999999999999</v>
      </c>
      <c r="AN32" s="139">
        <f t="shared" si="5"/>
        <v>2.2209169812499998</v>
      </c>
      <c r="AP32" s="139">
        <f t="shared" si="17"/>
        <v>0.372</v>
      </c>
      <c r="AQ32" s="139">
        <f t="shared" si="7"/>
        <v>1.6766514999999997</v>
      </c>
      <c r="AU32" s="134" t="s">
        <v>353</v>
      </c>
      <c r="AV32" s="134">
        <v>0.79500000000000004</v>
      </c>
      <c r="AX32" s="147" t="s">
        <v>354</v>
      </c>
      <c r="AY32" s="148">
        <v>0.24475</v>
      </c>
      <c r="AZ32" s="149">
        <v>9.9250000000000005E-2</v>
      </c>
      <c r="BA32" s="149">
        <v>0.24475</v>
      </c>
      <c r="BB32" s="150">
        <f>AVERAGE(BA$24:BA32)</f>
        <v>0.37927777777777777</v>
      </c>
      <c r="BD32" s="147" t="s">
        <v>354</v>
      </c>
      <c r="BE32" s="147" t="s">
        <v>47</v>
      </c>
      <c r="BF32" s="134">
        <f t="shared" si="27"/>
        <v>216</v>
      </c>
      <c r="BG32" s="148">
        <f t="shared" si="25"/>
        <v>0.24475</v>
      </c>
      <c r="BH32" s="150">
        <f>AVERAGE(BG$24:BG32)</f>
        <v>0.37927777777777777</v>
      </c>
      <c r="BI32" s="134">
        <v>22</v>
      </c>
      <c r="BK32" s="147" t="s">
        <v>348</v>
      </c>
      <c r="BL32" s="147" t="s">
        <v>47</v>
      </c>
      <c r="BM32" s="134">
        <f t="shared" si="28"/>
        <v>96</v>
      </c>
      <c r="BN32" s="149">
        <v>0.31225000000000003</v>
      </c>
      <c r="BO32" s="150">
        <f>AVERAGE(BN$29:BN32)</f>
        <v>0.47406250000000005</v>
      </c>
      <c r="BP32" s="134">
        <v>26</v>
      </c>
    </row>
    <row r="33" spans="1:83" s="134" customFormat="1" ht="17.100000000000001" customHeight="1">
      <c r="A33" s="16">
        <v>12</v>
      </c>
      <c r="B33" s="581"/>
      <c r="C33" s="458"/>
      <c r="D33" s="581"/>
      <c r="E33" s="583"/>
      <c r="F33" s="608"/>
      <c r="G33" s="609"/>
      <c r="H33" s="605"/>
      <c r="I33" s="605"/>
      <c r="J33" s="610"/>
      <c r="K33" s="609"/>
      <c r="L33" s="605"/>
      <c r="M33" s="605"/>
      <c r="N33" s="578" t="str">
        <f t="shared" si="18"/>
        <v/>
      </c>
      <c r="O33" s="582" t="str">
        <f>IFERROR(N33*'CO₂係数 '!$I$33,"")</f>
        <v/>
      </c>
      <c r="P33" s="581"/>
      <c r="Q33" s="942"/>
      <c r="R33" s="581"/>
      <c r="S33" s="608"/>
      <c r="T33" s="609"/>
      <c r="U33" s="621">
        <f t="shared" si="19"/>
        <v>0</v>
      </c>
      <c r="V33" s="611"/>
      <c r="W33" s="609"/>
      <c r="X33" s="578">
        <f t="shared" si="20"/>
        <v>0</v>
      </c>
      <c r="Y33" s="578" t="str">
        <f t="shared" si="21"/>
        <v/>
      </c>
      <c r="Z33" s="835" t="str">
        <f>IFERROR(Y33*'CO₂係数 '!$I$33,"")</f>
        <v/>
      </c>
      <c r="AA33" s="578" t="str">
        <f t="shared" si="24"/>
        <v/>
      </c>
      <c r="AB33" s="836" t="str">
        <f t="shared" si="22"/>
        <v/>
      </c>
      <c r="AC33" s="136"/>
      <c r="AD33" s="137" t="str">
        <f t="shared" si="0"/>
        <v/>
      </c>
      <c r="AE33" s="137">
        <f t="shared" si="13"/>
        <v>0</v>
      </c>
      <c r="AF33" s="138">
        <f t="shared" si="23"/>
        <v>0.28634999999999999</v>
      </c>
      <c r="AG33" s="139">
        <f t="shared" si="1"/>
        <v>0.82158750000000003</v>
      </c>
      <c r="AH33" s="140">
        <f t="shared" si="14"/>
        <v>0</v>
      </c>
      <c r="AI33" s="139">
        <f t="shared" si="15"/>
        <v>0.372</v>
      </c>
      <c r="AJ33" s="139">
        <f t="shared" si="3"/>
        <v>0.84299999999999997</v>
      </c>
      <c r="AK33" s="139">
        <f t="shared" si="4"/>
        <v>1</v>
      </c>
      <c r="AL33" s="139"/>
      <c r="AM33" s="141">
        <f t="shared" si="16"/>
        <v>0.28634999999999999</v>
      </c>
      <c r="AN33" s="139">
        <f t="shared" si="5"/>
        <v>2.2209169812499998</v>
      </c>
      <c r="AP33" s="139">
        <f t="shared" si="17"/>
        <v>0.372</v>
      </c>
      <c r="AQ33" s="139">
        <f t="shared" si="7"/>
        <v>1.6766514999999997</v>
      </c>
      <c r="AU33" s="134" t="s">
        <v>355</v>
      </c>
      <c r="AV33" s="134">
        <v>0.8</v>
      </c>
      <c r="AX33" s="147" t="s">
        <v>356</v>
      </c>
      <c r="AY33" s="148">
        <v>0.20774999999999999</v>
      </c>
      <c r="AZ33" s="149">
        <v>6.3750000000000001E-2</v>
      </c>
      <c r="BA33" s="149">
        <v>0.20774999999999999</v>
      </c>
      <c r="BB33" s="150">
        <f>AVERAGE(BA$24:BA33)</f>
        <v>0.36212499999999997</v>
      </c>
      <c r="BD33" s="147" t="s">
        <v>356</v>
      </c>
      <c r="BE33" s="147" t="s">
        <v>47</v>
      </c>
      <c r="BF33" s="134">
        <f t="shared" si="27"/>
        <v>240</v>
      </c>
      <c r="BG33" s="148">
        <f t="shared" si="25"/>
        <v>0.20774999999999999</v>
      </c>
      <c r="BH33" s="150">
        <f>AVERAGE(BG$24:BG33)</f>
        <v>0.36212499999999997</v>
      </c>
      <c r="BI33" s="134">
        <v>26</v>
      </c>
      <c r="BK33" s="147" t="s">
        <v>354</v>
      </c>
      <c r="BL33" s="147" t="s">
        <v>47</v>
      </c>
      <c r="BM33" s="134">
        <f t="shared" si="28"/>
        <v>120</v>
      </c>
      <c r="BN33" s="149">
        <v>0.24475</v>
      </c>
      <c r="BO33" s="150">
        <f>AVERAGE(BN$29:BN33)</f>
        <v>0.42820000000000003</v>
      </c>
      <c r="BP33" s="134">
        <v>22</v>
      </c>
    </row>
    <row r="34" spans="1:83" s="134" customFormat="1" ht="17.100000000000001" customHeight="1">
      <c r="A34" s="16">
        <v>13</v>
      </c>
      <c r="B34" s="581"/>
      <c r="C34" s="458"/>
      <c r="D34" s="581"/>
      <c r="E34" s="583"/>
      <c r="F34" s="608"/>
      <c r="G34" s="609"/>
      <c r="H34" s="605"/>
      <c r="I34" s="605"/>
      <c r="J34" s="610"/>
      <c r="K34" s="609"/>
      <c r="L34" s="605"/>
      <c r="M34" s="605"/>
      <c r="N34" s="578" t="str">
        <f t="shared" si="18"/>
        <v/>
      </c>
      <c r="O34" s="582" t="str">
        <f>IFERROR(N34*'CO₂係数 '!$I$33,"")</f>
        <v/>
      </c>
      <c r="P34" s="581"/>
      <c r="Q34" s="942"/>
      <c r="R34" s="581"/>
      <c r="S34" s="608"/>
      <c r="T34" s="609"/>
      <c r="U34" s="621">
        <f t="shared" si="19"/>
        <v>0</v>
      </c>
      <c r="V34" s="611"/>
      <c r="W34" s="609"/>
      <c r="X34" s="578">
        <f t="shared" si="20"/>
        <v>0</v>
      </c>
      <c r="Y34" s="578" t="str">
        <f t="shared" si="21"/>
        <v/>
      </c>
      <c r="Z34" s="835" t="str">
        <f>IFERROR(Y34*'CO₂係数 '!$I$33,"")</f>
        <v/>
      </c>
      <c r="AA34" s="578" t="str">
        <f t="shared" si="24"/>
        <v/>
      </c>
      <c r="AB34" s="836" t="str">
        <f t="shared" si="22"/>
        <v/>
      </c>
      <c r="AC34" s="136"/>
      <c r="AD34" s="137" t="str">
        <f t="shared" si="0"/>
        <v/>
      </c>
      <c r="AE34" s="137">
        <f t="shared" si="13"/>
        <v>0</v>
      </c>
      <c r="AF34" s="138">
        <f t="shared" si="23"/>
        <v>0.28634999999999999</v>
      </c>
      <c r="AG34" s="139">
        <f t="shared" si="1"/>
        <v>0.82158750000000003</v>
      </c>
      <c r="AH34" s="140">
        <f t="shared" si="14"/>
        <v>0</v>
      </c>
      <c r="AI34" s="139">
        <f t="shared" si="15"/>
        <v>0.372</v>
      </c>
      <c r="AJ34" s="139">
        <f t="shared" si="3"/>
        <v>0.84299999999999997</v>
      </c>
      <c r="AK34" s="139">
        <f t="shared" si="4"/>
        <v>1</v>
      </c>
      <c r="AL34" s="139"/>
      <c r="AM34" s="141">
        <f t="shared" si="16"/>
        <v>0.28634999999999999</v>
      </c>
      <c r="AN34" s="139">
        <f t="shared" si="5"/>
        <v>2.2209169812499998</v>
      </c>
      <c r="AP34" s="139">
        <f t="shared" si="17"/>
        <v>0.372</v>
      </c>
      <c r="AQ34" s="139">
        <f t="shared" si="7"/>
        <v>1.6766514999999997</v>
      </c>
      <c r="AU34" s="134" t="s">
        <v>357</v>
      </c>
      <c r="AV34" s="134">
        <v>0.80500000000000005</v>
      </c>
      <c r="AX34" s="147" t="s">
        <v>358</v>
      </c>
      <c r="AY34" s="149">
        <v>0.12975000000000003</v>
      </c>
      <c r="AZ34" s="148">
        <v>0.15925</v>
      </c>
      <c r="BA34" s="149">
        <v>0.15925</v>
      </c>
      <c r="BB34" s="150">
        <f>AVERAGE(BA$24:BA34)</f>
        <v>0.3436818181818182</v>
      </c>
      <c r="BD34" s="147" t="s">
        <v>358</v>
      </c>
      <c r="BE34" s="147" t="s">
        <v>48</v>
      </c>
      <c r="BF34" s="134">
        <f t="shared" si="27"/>
        <v>264</v>
      </c>
      <c r="BG34" s="148">
        <f t="shared" si="25"/>
        <v>0.15925</v>
      </c>
      <c r="BH34" s="150">
        <f>AVERAGE(BG$24:BG34)</f>
        <v>0.3436818181818182</v>
      </c>
      <c r="BI34" s="134">
        <v>25</v>
      </c>
      <c r="BK34" s="147" t="s">
        <v>356</v>
      </c>
      <c r="BL34" s="147" t="s">
        <v>47</v>
      </c>
      <c r="BM34" s="134">
        <f t="shared" si="28"/>
        <v>144</v>
      </c>
      <c r="BN34" s="149">
        <v>0.20774999999999999</v>
      </c>
      <c r="BO34" s="150">
        <f>AVERAGE(BN$29:BN34)</f>
        <v>0.3914583333333333</v>
      </c>
      <c r="BP34" s="134">
        <v>26</v>
      </c>
    </row>
    <row r="35" spans="1:83" s="134" customFormat="1" ht="17.100000000000001" customHeight="1">
      <c r="A35" s="16">
        <v>14</v>
      </c>
      <c r="B35" s="581"/>
      <c r="C35" s="458"/>
      <c r="D35" s="581"/>
      <c r="E35" s="583"/>
      <c r="F35" s="608"/>
      <c r="G35" s="609"/>
      <c r="H35" s="605"/>
      <c r="I35" s="605"/>
      <c r="J35" s="610"/>
      <c r="K35" s="609"/>
      <c r="L35" s="605"/>
      <c r="M35" s="605"/>
      <c r="N35" s="578" t="str">
        <f t="shared" si="18"/>
        <v/>
      </c>
      <c r="O35" s="582" t="str">
        <f>IFERROR(N35*'CO₂係数 '!$I$33,"")</f>
        <v/>
      </c>
      <c r="P35" s="581"/>
      <c r="Q35" s="942"/>
      <c r="R35" s="581"/>
      <c r="S35" s="608"/>
      <c r="T35" s="609"/>
      <c r="U35" s="621">
        <f t="shared" si="19"/>
        <v>0</v>
      </c>
      <c r="V35" s="611"/>
      <c r="W35" s="609"/>
      <c r="X35" s="578">
        <f t="shared" si="20"/>
        <v>0</v>
      </c>
      <c r="Y35" s="578" t="str">
        <f t="shared" si="21"/>
        <v/>
      </c>
      <c r="Z35" s="835" t="str">
        <f>IFERROR(Y35*'CO₂係数 '!$I$33,"")</f>
        <v/>
      </c>
      <c r="AA35" s="578" t="str">
        <f t="shared" si="24"/>
        <v/>
      </c>
      <c r="AB35" s="836" t="str">
        <f t="shared" si="22"/>
        <v/>
      </c>
      <c r="AC35" s="136"/>
      <c r="AD35" s="137" t="str">
        <f t="shared" si="0"/>
        <v/>
      </c>
      <c r="AE35" s="137">
        <f t="shared" si="13"/>
        <v>0</v>
      </c>
      <c r="AF35" s="138">
        <f t="shared" si="23"/>
        <v>0.28634999999999999</v>
      </c>
      <c r="AG35" s="139">
        <f t="shared" si="1"/>
        <v>0.82158750000000003</v>
      </c>
      <c r="AH35" s="140">
        <f t="shared" si="14"/>
        <v>0</v>
      </c>
      <c r="AI35" s="139">
        <f t="shared" si="15"/>
        <v>0.372</v>
      </c>
      <c r="AJ35" s="139">
        <f t="shared" si="3"/>
        <v>0.84299999999999997</v>
      </c>
      <c r="AK35" s="139">
        <f t="shared" si="4"/>
        <v>1</v>
      </c>
      <c r="AL35" s="139"/>
      <c r="AM35" s="141">
        <f t="shared" si="16"/>
        <v>0.28634999999999999</v>
      </c>
      <c r="AN35" s="139">
        <f t="shared" si="5"/>
        <v>2.2209169812499998</v>
      </c>
      <c r="AP35" s="139">
        <f t="shared" si="17"/>
        <v>0.372</v>
      </c>
      <c r="AQ35" s="139">
        <f t="shared" si="7"/>
        <v>1.6766514999999997</v>
      </c>
      <c r="AU35" s="134" t="s">
        <v>359</v>
      </c>
      <c r="AV35" s="134">
        <v>0.81</v>
      </c>
      <c r="AX35" s="147" t="s">
        <v>360</v>
      </c>
      <c r="AY35" s="148">
        <v>0.15200000000000002</v>
      </c>
      <c r="AZ35" s="149">
        <v>0.13724999999999998</v>
      </c>
      <c r="BA35" s="149">
        <v>0.15200000000000002</v>
      </c>
      <c r="BB35" s="150">
        <f>AVERAGE(BA$24:BA35)</f>
        <v>0.32770833333333332</v>
      </c>
      <c r="BD35" s="147" t="s">
        <v>360</v>
      </c>
      <c r="BE35" s="147" t="s">
        <v>47</v>
      </c>
      <c r="BF35" s="134">
        <f t="shared" si="27"/>
        <v>288</v>
      </c>
      <c r="BG35" s="148">
        <f t="shared" si="25"/>
        <v>0.15200000000000002</v>
      </c>
      <c r="BH35" s="150">
        <f>AVERAGE(BG$24:BG35)</f>
        <v>0.32770833333333332</v>
      </c>
      <c r="BI35" s="134">
        <v>25</v>
      </c>
      <c r="BK35" s="147" t="s">
        <v>360</v>
      </c>
      <c r="BL35" s="147" t="s">
        <v>47</v>
      </c>
      <c r="BM35" s="134">
        <f t="shared" si="28"/>
        <v>168</v>
      </c>
      <c r="BN35" s="149">
        <v>0.15200000000000002</v>
      </c>
      <c r="BO35" s="150">
        <f>AVERAGE(BN$29:BN35)</f>
        <v>0.35725000000000001</v>
      </c>
      <c r="BP35" s="134">
        <v>25</v>
      </c>
    </row>
    <row r="36" spans="1:83" s="134" customFormat="1" ht="17.100000000000001" customHeight="1">
      <c r="A36" s="16">
        <v>15</v>
      </c>
      <c r="B36" s="581"/>
      <c r="C36" s="458"/>
      <c r="D36" s="581"/>
      <c r="E36" s="583"/>
      <c r="F36" s="608"/>
      <c r="G36" s="609"/>
      <c r="H36" s="605"/>
      <c r="I36" s="605"/>
      <c r="J36" s="610"/>
      <c r="K36" s="609"/>
      <c r="L36" s="605"/>
      <c r="M36" s="605"/>
      <c r="N36" s="578" t="str">
        <f t="shared" si="18"/>
        <v/>
      </c>
      <c r="O36" s="582" t="str">
        <f>IFERROR(N36*'CO₂係数 '!$I$33,"")</f>
        <v/>
      </c>
      <c r="P36" s="581"/>
      <c r="Q36" s="942"/>
      <c r="R36" s="581"/>
      <c r="S36" s="608"/>
      <c r="T36" s="609"/>
      <c r="U36" s="621">
        <f t="shared" si="19"/>
        <v>0</v>
      </c>
      <c r="V36" s="611"/>
      <c r="W36" s="609"/>
      <c r="X36" s="578">
        <f t="shared" si="20"/>
        <v>0</v>
      </c>
      <c r="Y36" s="578" t="str">
        <f t="shared" si="21"/>
        <v/>
      </c>
      <c r="Z36" s="835" t="str">
        <f>IFERROR(Y36*'CO₂係数 '!$I$33,"")</f>
        <v/>
      </c>
      <c r="AA36" s="578" t="str">
        <f t="shared" si="24"/>
        <v/>
      </c>
      <c r="AB36" s="836" t="str">
        <f t="shared" si="22"/>
        <v/>
      </c>
      <c r="AC36" s="136"/>
      <c r="AD36" s="137" t="str">
        <f t="shared" si="0"/>
        <v/>
      </c>
      <c r="AE36" s="137">
        <f t="shared" si="13"/>
        <v>0</v>
      </c>
      <c r="AF36" s="138">
        <f t="shared" si="23"/>
        <v>0.28634999999999999</v>
      </c>
      <c r="AG36" s="139">
        <f t="shared" si="1"/>
        <v>0.82158750000000003</v>
      </c>
      <c r="AH36" s="140">
        <f t="shared" si="14"/>
        <v>0</v>
      </c>
      <c r="AI36" s="139">
        <f t="shared" si="15"/>
        <v>0.372</v>
      </c>
      <c r="AJ36" s="139">
        <f t="shared" si="3"/>
        <v>0.84299999999999997</v>
      </c>
      <c r="AK36" s="139">
        <f t="shared" si="4"/>
        <v>1</v>
      </c>
      <c r="AL36" s="139"/>
      <c r="AM36" s="141">
        <f t="shared" si="16"/>
        <v>0.28634999999999999</v>
      </c>
      <c r="AN36" s="139">
        <f t="shared" si="5"/>
        <v>2.2209169812499998</v>
      </c>
      <c r="AP36" s="139">
        <f t="shared" si="17"/>
        <v>0.372</v>
      </c>
      <c r="AQ36" s="139">
        <f t="shared" si="7"/>
        <v>1.6766514999999997</v>
      </c>
      <c r="AU36" s="134" t="s">
        <v>361</v>
      </c>
      <c r="AV36" s="134">
        <v>0.81499999999999995</v>
      </c>
      <c r="AX36" s="147" t="s">
        <v>362</v>
      </c>
      <c r="AY36" s="149">
        <f>_xlfn.AGGREGATE(1,5,AY24:AY35)</f>
        <v>0.2265625</v>
      </c>
      <c r="AZ36" s="149">
        <f>_xlfn.AGGREGATE(1,5,AZ24:AZ35)</f>
        <v>0.14433333333333331</v>
      </c>
      <c r="BA36" s="149">
        <f>_xlfn.AGGREGATE(1,5,BA24:BA35)</f>
        <v>0.32770833333333332</v>
      </c>
      <c r="BD36" s="147" t="s">
        <v>362</v>
      </c>
      <c r="BF36" s="156">
        <f>_xlfn.AGGREGATE(1,5,BF24:BF35)</f>
        <v>156</v>
      </c>
      <c r="BG36" s="149">
        <f>_xlfn.AGGREGATE(1,5,BG24:BG35)</f>
        <v>0.32770833333333332</v>
      </c>
      <c r="BI36" s="156">
        <f>SUM(BI24:BI35)</f>
        <v>291</v>
      </c>
      <c r="BK36" s="147" t="s">
        <v>362</v>
      </c>
      <c r="BM36" s="156">
        <f>_xlfn.AGGREGATE(1,5,BM23:BM27)+_xlfn.AGGREGATE(1,5,BM29:BM35)</f>
        <v>168</v>
      </c>
      <c r="BN36" s="149">
        <f>_xlfn.AGGREGATE(1,5,BN23:BN27,BN29:BN35)</f>
        <v>0.32770833333333332</v>
      </c>
      <c r="BP36" s="156">
        <f>SUM(BP23:BP35)</f>
        <v>291</v>
      </c>
    </row>
    <row r="37" spans="1:83" s="134" customFormat="1" ht="17.100000000000001" customHeight="1">
      <c r="A37" s="16">
        <v>16</v>
      </c>
      <c r="B37" s="581"/>
      <c r="C37" s="458"/>
      <c r="D37" s="581"/>
      <c r="E37" s="583"/>
      <c r="F37" s="608"/>
      <c r="G37" s="609"/>
      <c r="H37" s="605"/>
      <c r="I37" s="605"/>
      <c r="J37" s="610"/>
      <c r="K37" s="609"/>
      <c r="L37" s="605"/>
      <c r="M37" s="605"/>
      <c r="N37" s="578" t="str">
        <f t="shared" si="18"/>
        <v/>
      </c>
      <c r="O37" s="582" t="str">
        <f>IFERROR(N37*'CO₂係数 '!$I$33,"")</f>
        <v/>
      </c>
      <c r="P37" s="581"/>
      <c r="Q37" s="942"/>
      <c r="R37" s="581"/>
      <c r="S37" s="608"/>
      <c r="T37" s="609"/>
      <c r="U37" s="621">
        <f t="shared" si="19"/>
        <v>0</v>
      </c>
      <c r="V37" s="611"/>
      <c r="W37" s="609"/>
      <c r="X37" s="578">
        <f t="shared" si="20"/>
        <v>0</v>
      </c>
      <c r="Y37" s="578" t="str">
        <f t="shared" si="21"/>
        <v/>
      </c>
      <c r="Z37" s="835" t="str">
        <f>IFERROR(Y37*'CO₂係数 '!$I$33,"")</f>
        <v/>
      </c>
      <c r="AA37" s="578" t="str">
        <f t="shared" si="24"/>
        <v/>
      </c>
      <c r="AB37" s="836" t="str">
        <f t="shared" si="22"/>
        <v/>
      </c>
      <c r="AC37" s="136"/>
      <c r="AD37" s="137" t="str">
        <f t="shared" si="0"/>
        <v/>
      </c>
      <c r="AE37" s="137">
        <f t="shared" si="13"/>
        <v>0</v>
      </c>
      <c r="AF37" s="138">
        <f t="shared" si="23"/>
        <v>0.28634999999999999</v>
      </c>
      <c r="AG37" s="139">
        <f t="shared" si="1"/>
        <v>0.82158750000000003</v>
      </c>
      <c r="AH37" s="140">
        <f t="shared" si="14"/>
        <v>0</v>
      </c>
      <c r="AI37" s="139">
        <f t="shared" si="15"/>
        <v>0.372</v>
      </c>
      <c r="AJ37" s="139">
        <f t="shared" si="3"/>
        <v>0.84299999999999997</v>
      </c>
      <c r="AK37" s="139">
        <f t="shared" si="4"/>
        <v>1</v>
      </c>
      <c r="AL37" s="139"/>
      <c r="AM37" s="141">
        <f t="shared" si="16"/>
        <v>0.28634999999999999</v>
      </c>
      <c r="AN37" s="139">
        <f t="shared" si="5"/>
        <v>2.2209169812499998</v>
      </c>
      <c r="AP37" s="139">
        <f t="shared" si="17"/>
        <v>0.372</v>
      </c>
      <c r="AQ37" s="139">
        <f t="shared" si="7"/>
        <v>1.6766514999999997</v>
      </c>
      <c r="AU37" s="134" t="s">
        <v>363</v>
      </c>
      <c r="AV37" s="134">
        <v>0.82</v>
      </c>
      <c r="BV37" s="102"/>
      <c r="BW37" s="102" t="s">
        <v>432</v>
      </c>
      <c r="BX37" s="102"/>
      <c r="BY37" s="102" t="s">
        <v>433</v>
      </c>
      <c r="BZ37" s="102"/>
      <c r="CA37" s="102"/>
      <c r="CB37" s="102"/>
      <c r="CC37" s="102"/>
      <c r="CD37" s="102"/>
      <c r="CE37" s="102"/>
    </row>
    <row r="38" spans="1:83" s="134" customFormat="1" ht="17.100000000000001" customHeight="1">
      <c r="A38" s="16">
        <v>17</v>
      </c>
      <c r="B38" s="581"/>
      <c r="C38" s="458"/>
      <c r="D38" s="581"/>
      <c r="E38" s="583"/>
      <c r="F38" s="608"/>
      <c r="G38" s="609"/>
      <c r="H38" s="605"/>
      <c r="I38" s="605"/>
      <c r="J38" s="610"/>
      <c r="K38" s="609"/>
      <c r="L38" s="605"/>
      <c r="M38" s="605"/>
      <c r="N38" s="578" t="str">
        <f t="shared" si="18"/>
        <v/>
      </c>
      <c r="O38" s="582" t="str">
        <f>IFERROR(N38*'CO₂係数 '!$I$33,"")</f>
        <v/>
      </c>
      <c r="P38" s="581"/>
      <c r="Q38" s="942"/>
      <c r="R38" s="581"/>
      <c r="S38" s="608"/>
      <c r="T38" s="609"/>
      <c r="U38" s="621">
        <f t="shared" si="19"/>
        <v>0</v>
      </c>
      <c r="V38" s="611"/>
      <c r="W38" s="609"/>
      <c r="X38" s="578">
        <f t="shared" si="20"/>
        <v>0</v>
      </c>
      <c r="Y38" s="578" t="str">
        <f t="shared" si="21"/>
        <v/>
      </c>
      <c r="Z38" s="835" t="str">
        <f>IFERROR(Y38*'CO₂係数 '!$I$33,"")</f>
        <v/>
      </c>
      <c r="AA38" s="578" t="str">
        <f t="shared" si="24"/>
        <v/>
      </c>
      <c r="AB38" s="836" t="str">
        <f t="shared" si="22"/>
        <v/>
      </c>
      <c r="AC38" s="136"/>
      <c r="AD38" s="137" t="str">
        <f t="shared" si="0"/>
        <v/>
      </c>
      <c r="AE38" s="137">
        <f t="shared" si="13"/>
        <v>0</v>
      </c>
      <c r="AF38" s="138">
        <f t="shared" si="23"/>
        <v>0.28634999999999999</v>
      </c>
      <c r="AG38" s="139">
        <f t="shared" si="1"/>
        <v>0.82158750000000003</v>
      </c>
      <c r="AH38" s="140">
        <f t="shared" si="14"/>
        <v>0</v>
      </c>
      <c r="AI38" s="139">
        <f t="shared" si="15"/>
        <v>0.372</v>
      </c>
      <c r="AJ38" s="139">
        <f t="shared" si="3"/>
        <v>0.84299999999999997</v>
      </c>
      <c r="AK38" s="139">
        <f t="shared" si="4"/>
        <v>1</v>
      </c>
      <c r="AL38" s="139"/>
      <c r="AM38" s="141">
        <f t="shared" si="16"/>
        <v>0.28634999999999999</v>
      </c>
      <c r="AN38" s="139">
        <f t="shared" si="5"/>
        <v>2.2209169812499998</v>
      </c>
      <c r="AP38" s="139">
        <f t="shared" si="17"/>
        <v>0.372</v>
      </c>
      <c r="AQ38" s="139">
        <f t="shared" si="7"/>
        <v>1.6766514999999997</v>
      </c>
      <c r="AU38" s="134" t="s">
        <v>364</v>
      </c>
      <c r="AV38" s="134">
        <v>0.82499999999999996</v>
      </c>
      <c r="BV38" s="102"/>
      <c r="BW38" s="157" t="s">
        <v>332</v>
      </c>
      <c r="BX38" s="158" t="e">
        <f>INDEX(BZ42:CB68,Y35,S35)</f>
        <v>#VALUE!</v>
      </c>
      <c r="BY38" s="102"/>
      <c r="BZ38" s="102"/>
      <c r="CA38" s="102"/>
      <c r="CB38" s="102"/>
      <c r="CC38" s="102"/>
      <c r="CD38" s="102"/>
      <c r="CE38" s="102"/>
    </row>
    <row r="39" spans="1:83" s="134" customFormat="1" ht="17.100000000000001" customHeight="1">
      <c r="A39" s="16">
        <v>18</v>
      </c>
      <c r="B39" s="581"/>
      <c r="C39" s="458"/>
      <c r="D39" s="581"/>
      <c r="E39" s="583"/>
      <c r="F39" s="608"/>
      <c r="G39" s="609"/>
      <c r="H39" s="605"/>
      <c r="I39" s="605"/>
      <c r="J39" s="610"/>
      <c r="K39" s="609"/>
      <c r="L39" s="605"/>
      <c r="M39" s="605"/>
      <c r="N39" s="578" t="str">
        <f t="shared" si="18"/>
        <v/>
      </c>
      <c r="O39" s="582" t="str">
        <f>IFERROR(N39*'CO₂係数 '!$I$33,"")</f>
        <v/>
      </c>
      <c r="P39" s="581"/>
      <c r="Q39" s="942"/>
      <c r="R39" s="581"/>
      <c r="S39" s="608"/>
      <c r="T39" s="609"/>
      <c r="U39" s="621">
        <f t="shared" si="19"/>
        <v>0</v>
      </c>
      <c r="V39" s="611"/>
      <c r="W39" s="609"/>
      <c r="X39" s="578">
        <f t="shared" si="20"/>
        <v>0</v>
      </c>
      <c r="Y39" s="578" t="str">
        <f t="shared" si="21"/>
        <v/>
      </c>
      <c r="Z39" s="835" t="str">
        <f>IFERROR(Y39*'CO₂係数 '!$I$33,"")</f>
        <v/>
      </c>
      <c r="AA39" s="578" t="str">
        <f t="shared" si="24"/>
        <v/>
      </c>
      <c r="AB39" s="836" t="str">
        <f t="shared" si="22"/>
        <v/>
      </c>
      <c r="AC39" s="136"/>
      <c r="AD39" s="137" t="str">
        <f t="shared" si="0"/>
        <v/>
      </c>
      <c r="AE39" s="137">
        <f t="shared" si="13"/>
        <v>0</v>
      </c>
      <c r="AF39" s="138">
        <f t="shared" si="23"/>
        <v>0.28634999999999999</v>
      </c>
      <c r="AG39" s="139">
        <f t="shared" si="1"/>
        <v>0.82158750000000003</v>
      </c>
      <c r="AH39" s="140">
        <f t="shared" si="14"/>
        <v>0</v>
      </c>
      <c r="AI39" s="139">
        <f t="shared" si="15"/>
        <v>0.372</v>
      </c>
      <c r="AJ39" s="139">
        <f t="shared" si="3"/>
        <v>0.84299999999999997</v>
      </c>
      <c r="AK39" s="139">
        <f t="shared" si="4"/>
        <v>1</v>
      </c>
      <c r="AL39" s="139"/>
      <c r="AM39" s="141">
        <f t="shared" si="16"/>
        <v>0.28634999999999999</v>
      </c>
      <c r="AN39" s="139">
        <f t="shared" si="5"/>
        <v>2.2209169812499998</v>
      </c>
      <c r="AP39" s="139">
        <f t="shared" si="17"/>
        <v>0.372</v>
      </c>
      <c r="AQ39" s="139">
        <f t="shared" si="7"/>
        <v>1.6766514999999997</v>
      </c>
      <c r="AU39" s="134" t="s">
        <v>365</v>
      </c>
      <c r="AV39" s="134">
        <v>0.83</v>
      </c>
      <c r="BK39" s="134" t="s">
        <v>366</v>
      </c>
      <c r="BV39" s="102"/>
      <c r="BW39" s="159" t="s">
        <v>333</v>
      </c>
      <c r="BX39" s="158" t="e">
        <f>INDEX(CC42:CE68,Y35,S35)</f>
        <v>#VALUE!</v>
      </c>
      <c r="BY39" s="102"/>
      <c r="BZ39" s="102"/>
      <c r="CA39" s="102"/>
      <c r="CB39" s="102"/>
      <c r="CC39" s="102"/>
      <c r="CD39" s="102"/>
      <c r="CE39" s="102"/>
    </row>
    <row r="40" spans="1:83" s="134" customFormat="1" ht="17.100000000000001" customHeight="1">
      <c r="A40" s="16">
        <v>19</v>
      </c>
      <c r="B40" s="581"/>
      <c r="C40" s="458"/>
      <c r="D40" s="581"/>
      <c r="E40" s="583"/>
      <c r="F40" s="608"/>
      <c r="G40" s="609"/>
      <c r="H40" s="605"/>
      <c r="I40" s="605"/>
      <c r="J40" s="610"/>
      <c r="K40" s="609"/>
      <c r="L40" s="605"/>
      <c r="M40" s="605"/>
      <c r="N40" s="578" t="str">
        <f t="shared" si="18"/>
        <v/>
      </c>
      <c r="O40" s="582" t="str">
        <f>IFERROR(N40*'CO₂係数 '!$I$33,"")</f>
        <v/>
      </c>
      <c r="P40" s="581"/>
      <c r="Q40" s="942"/>
      <c r="R40" s="581"/>
      <c r="S40" s="608"/>
      <c r="T40" s="609"/>
      <c r="U40" s="621">
        <f t="shared" si="19"/>
        <v>0</v>
      </c>
      <c r="V40" s="611"/>
      <c r="W40" s="609"/>
      <c r="X40" s="578">
        <f t="shared" si="20"/>
        <v>0</v>
      </c>
      <c r="Y40" s="578" t="str">
        <f t="shared" si="21"/>
        <v/>
      </c>
      <c r="Z40" s="835" t="str">
        <f>IFERROR(Y40*'CO₂係数 '!$I$33,"")</f>
        <v/>
      </c>
      <c r="AA40" s="578" t="str">
        <f t="shared" ref="AA40:AA41" si="29">IFERROR(N40-Y40,"")</f>
        <v/>
      </c>
      <c r="AB40" s="836" t="str">
        <f t="shared" ref="AB40:AB41" si="30">IFERROR(O40-Z40,"")</f>
        <v/>
      </c>
      <c r="AC40" s="136"/>
      <c r="AD40" s="137" t="str">
        <f t="shared" si="0"/>
        <v/>
      </c>
      <c r="AE40" s="137">
        <f t="shared" si="13"/>
        <v>0</v>
      </c>
      <c r="AF40" s="138">
        <f t="shared" si="23"/>
        <v>0.28634999999999999</v>
      </c>
      <c r="AG40" s="139">
        <f t="shared" si="1"/>
        <v>0.82158750000000003</v>
      </c>
      <c r="AH40" s="140">
        <f t="shared" si="14"/>
        <v>0</v>
      </c>
      <c r="AI40" s="139">
        <f t="shared" si="15"/>
        <v>0.372</v>
      </c>
      <c r="AJ40" s="139">
        <f t="shared" si="3"/>
        <v>0.84299999999999997</v>
      </c>
      <c r="AK40" s="139">
        <f t="shared" si="4"/>
        <v>1</v>
      </c>
      <c r="AL40" s="139"/>
      <c r="AM40" s="141">
        <f t="shared" si="16"/>
        <v>0.28634999999999999</v>
      </c>
      <c r="AN40" s="139">
        <f t="shared" si="5"/>
        <v>2.2209169812499998</v>
      </c>
      <c r="AP40" s="139">
        <f t="shared" si="17"/>
        <v>0.372</v>
      </c>
      <c r="AQ40" s="139">
        <f t="shared" si="7"/>
        <v>1.6766514999999997</v>
      </c>
      <c r="AU40" s="134" t="s">
        <v>367</v>
      </c>
      <c r="AV40" s="134">
        <v>0.83499999999999996</v>
      </c>
      <c r="AZ40" s="134" t="s">
        <v>368</v>
      </c>
      <c r="BA40" s="134" t="s">
        <v>369</v>
      </c>
      <c r="BF40" s="134" t="s">
        <v>370</v>
      </c>
      <c r="BL40" s="134" t="s">
        <v>369</v>
      </c>
      <c r="BN40" s="134" t="s">
        <v>371</v>
      </c>
      <c r="BR40" s="134" t="s">
        <v>423</v>
      </c>
      <c r="BS40" s="134" t="s">
        <v>424</v>
      </c>
      <c r="BT40" s="134" t="s">
        <v>425</v>
      </c>
      <c r="BU40" s="134" t="s">
        <v>426</v>
      </c>
      <c r="BV40" s="160"/>
      <c r="BW40" s="102"/>
      <c r="BX40" s="102"/>
      <c r="BY40" s="102"/>
      <c r="BZ40" s="102" t="s">
        <v>332</v>
      </c>
      <c r="CA40" s="161"/>
      <c r="CB40" s="161"/>
      <c r="CC40" s="102" t="s">
        <v>333</v>
      </c>
      <c r="CD40" s="102"/>
      <c r="CE40" s="102"/>
    </row>
    <row r="41" spans="1:83" s="134" customFormat="1" ht="17.100000000000001" customHeight="1">
      <c r="A41" s="16">
        <v>20</v>
      </c>
      <c r="B41" s="581"/>
      <c r="C41" s="458"/>
      <c r="D41" s="581"/>
      <c r="E41" s="583"/>
      <c r="F41" s="608"/>
      <c r="G41" s="609"/>
      <c r="H41" s="605"/>
      <c r="I41" s="605"/>
      <c r="J41" s="610"/>
      <c r="K41" s="609"/>
      <c r="L41" s="605"/>
      <c r="M41" s="605"/>
      <c r="N41" s="578" t="str">
        <f t="shared" si="18"/>
        <v/>
      </c>
      <c r="O41" s="582" t="str">
        <f>IFERROR(N41*'CO₂係数 '!$I$33,"")</f>
        <v/>
      </c>
      <c r="P41" s="581"/>
      <c r="Q41" s="942"/>
      <c r="R41" s="581"/>
      <c r="S41" s="608"/>
      <c r="T41" s="609"/>
      <c r="U41" s="621">
        <f t="shared" si="19"/>
        <v>0</v>
      </c>
      <c r="V41" s="611"/>
      <c r="W41" s="609"/>
      <c r="X41" s="578">
        <f t="shared" si="20"/>
        <v>0</v>
      </c>
      <c r="Y41" s="578" t="str">
        <f t="shared" si="21"/>
        <v/>
      </c>
      <c r="Z41" s="835" t="str">
        <f>IFERROR(Y41*'CO₂係数 '!$I$33,"")</f>
        <v/>
      </c>
      <c r="AA41" s="578" t="str">
        <f t="shared" si="29"/>
        <v/>
      </c>
      <c r="AB41" s="836" t="str">
        <f t="shared" si="30"/>
        <v/>
      </c>
      <c r="AC41" s="136"/>
      <c r="AD41" s="137" t="str">
        <f t="shared" si="0"/>
        <v/>
      </c>
      <c r="AE41" s="137">
        <f t="shared" si="13"/>
        <v>0</v>
      </c>
      <c r="AF41" s="138">
        <f t="shared" si="23"/>
        <v>0.28634999999999999</v>
      </c>
      <c r="AG41" s="139">
        <f t="shared" si="1"/>
        <v>0.82158750000000003</v>
      </c>
      <c r="AH41" s="140">
        <f t="shared" si="14"/>
        <v>0</v>
      </c>
      <c r="AI41" s="139">
        <f t="shared" si="15"/>
        <v>0.372</v>
      </c>
      <c r="AJ41" s="139">
        <f t="shared" si="3"/>
        <v>0.84299999999999997</v>
      </c>
      <c r="AK41" s="139">
        <f t="shared" si="4"/>
        <v>1</v>
      </c>
      <c r="AL41" s="139"/>
      <c r="AM41" s="141">
        <f t="shared" si="16"/>
        <v>0.28634999999999999</v>
      </c>
      <c r="AN41" s="139">
        <f t="shared" si="5"/>
        <v>2.2209169812499998</v>
      </c>
      <c r="AP41" s="139">
        <f t="shared" si="17"/>
        <v>0.372</v>
      </c>
      <c r="AQ41" s="139">
        <f t="shared" si="7"/>
        <v>1.6766514999999997</v>
      </c>
      <c r="AU41" s="134" t="s">
        <v>372</v>
      </c>
      <c r="AV41" s="134">
        <v>0.84</v>
      </c>
      <c r="BA41" s="134" t="s">
        <v>332</v>
      </c>
      <c r="BB41" s="134" t="s">
        <v>333</v>
      </c>
      <c r="BC41" s="162" t="s">
        <v>332</v>
      </c>
      <c r="BD41" s="163" t="s">
        <v>333</v>
      </c>
      <c r="BE41" s="134" t="s">
        <v>373</v>
      </c>
      <c r="BF41" s="134" t="s">
        <v>332</v>
      </c>
      <c r="BG41" s="134" t="s">
        <v>333</v>
      </c>
      <c r="BH41" s="162" t="s">
        <v>332</v>
      </c>
      <c r="BI41" s="163" t="s">
        <v>333</v>
      </c>
      <c r="BJ41" s="134" t="s">
        <v>373</v>
      </c>
      <c r="BL41" s="134" t="s">
        <v>332</v>
      </c>
      <c r="BM41" s="134" t="s">
        <v>333</v>
      </c>
      <c r="BN41" s="134" t="s">
        <v>332</v>
      </c>
      <c r="BO41" s="134" t="s">
        <v>333</v>
      </c>
      <c r="BQ41" s="134" t="s">
        <v>378</v>
      </c>
      <c r="BR41" s="134" t="s">
        <v>431</v>
      </c>
      <c r="BS41" s="164">
        <v>2.0950000000000002</v>
      </c>
      <c r="BT41" s="134">
        <f>2000</f>
        <v>2000</v>
      </c>
      <c r="BU41" s="134" t="e">
        <f>VLOOKUP(BT41,$BQ$42:$BS$66,3,FALSE)</f>
        <v>#N/A</v>
      </c>
      <c r="BV41" s="102"/>
      <c r="BW41" s="158" t="s">
        <v>434</v>
      </c>
      <c r="BX41" s="158" t="s">
        <v>435</v>
      </c>
      <c r="BY41" s="158" t="s">
        <v>436</v>
      </c>
      <c r="BZ41" s="158" t="s">
        <v>434</v>
      </c>
      <c r="CA41" s="158" t="s">
        <v>435</v>
      </c>
      <c r="CB41" s="158" t="s">
        <v>436</v>
      </c>
      <c r="CC41" s="158" t="s">
        <v>434</v>
      </c>
      <c r="CD41" s="158" t="s">
        <v>435</v>
      </c>
      <c r="CE41" s="158" t="s">
        <v>436</v>
      </c>
    </row>
    <row r="42" spans="1:83" s="134" customFormat="1" ht="15" customHeight="1">
      <c r="A42" s="133"/>
      <c r="B42" s="133"/>
      <c r="C42" s="133"/>
      <c r="D42" s="130"/>
      <c r="E42" s="130"/>
      <c r="F42" s="130"/>
      <c r="G42" s="130"/>
      <c r="H42" s="130"/>
      <c r="I42" s="130"/>
      <c r="J42" s="172"/>
      <c r="K42" s="172"/>
      <c r="L42" s="172"/>
      <c r="M42" s="172"/>
      <c r="N42" s="172"/>
      <c r="O42" s="130"/>
      <c r="P42" s="130"/>
      <c r="Q42" s="130"/>
      <c r="R42" s="130"/>
      <c r="S42" s="130"/>
      <c r="T42" s="130"/>
      <c r="U42" s="130"/>
      <c r="V42" s="130"/>
      <c r="W42" s="130"/>
      <c r="X42" s="130"/>
      <c r="Y42" s="130"/>
      <c r="Z42" s="173"/>
      <c r="AA42" s="174"/>
      <c r="AB42" s="174"/>
      <c r="AC42" s="136"/>
      <c r="AD42" s="137"/>
      <c r="AE42" s="137"/>
      <c r="AF42" s="138"/>
      <c r="AG42" s="139"/>
      <c r="AH42" s="139"/>
      <c r="AI42" s="139"/>
      <c r="AJ42" s="139"/>
      <c r="AK42" s="139"/>
      <c r="AL42" s="139"/>
      <c r="AM42" s="139"/>
      <c r="AN42" s="139"/>
      <c r="AU42" s="134" t="s">
        <v>374</v>
      </c>
      <c r="AV42" s="134">
        <v>0.84499999999999997</v>
      </c>
      <c r="BA42" s="134" t="s">
        <v>375</v>
      </c>
      <c r="BB42" s="134" t="s">
        <v>375</v>
      </c>
      <c r="BC42" s="165" t="s">
        <v>376</v>
      </c>
      <c r="BD42" s="166" t="s">
        <v>376</v>
      </c>
      <c r="BE42" s="134" t="s">
        <v>376</v>
      </c>
      <c r="BF42" s="134" t="s">
        <v>375</v>
      </c>
      <c r="BG42" s="134" t="s">
        <v>375</v>
      </c>
      <c r="BH42" s="165" t="s">
        <v>376</v>
      </c>
      <c r="BI42" s="166" t="s">
        <v>376</v>
      </c>
      <c r="BJ42" s="134" t="s">
        <v>376</v>
      </c>
      <c r="BL42" s="134" t="s">
        <v>375</v>
      </c>
      <c r="BM42" s="134" t="s">
        <v>376</v>
      </c>
      <c r="BN42" s="134" t="s">
        <v>375</v>
      </c>
      <c r="BO42" s="134" t="s">
        <v>376</v>
      </c>
      <c r="BQ42" s="134" t="s">
        <v>380</v>
      </c>
      <c r="BR42" s="134">
        <v>1996</v>
      </c>
      <c r="BS42" s="164">
        <f t="shared" ref="BS42:BS66" si="31">0.5107*LN(BR42-1995)+2.095</f>
        <v>2.0950000000000002</v>
      </c>
      <c r="BT42" s="134" t="s">
        <v>427</v>
      </c>
      <c r="BU42" s="134" t="e">
        <f>BU41*BX38</f>
        <v>#N/A</v>
      </c>
      <c r="BV42" s="102">
        <v>1</v>
      </c>
      <c r="BW42" s="158" t="s">
        <v>437</v>
      </c>
      <c r="BX42" s="158" t="s">
        <v>438</v>
      </c>
      <c r="BY42" s="158" t="s">
        <v>438</v>
      </c>
      <c r="BZ42" s="167">
        <v>1.1002983030955058</v>
      </c>
      <c r="CA42" s="167">
        <v>1.4063362479652073</v>
      </c>
      <c r="CB42" s="167">
        <v>1.0912164758318603</v>
      </c>
      <c r="CC42" s="168">
        <v>1.0932738504677566</v>
      </c>
      <c r="CD42" s="168">
        <v>1.1865962092206437</v>
      </c>
      <c r="CE42" s="168">
        <v>1.0922306900440442</v>
      </c>
    </row>
    <row r="43" spans="1:83" s="134" customFormat="1" ht="15" customHeight="1">
      <c r="A43" s="133"/>
      <c r="B43" s="133"/>
      <c r="C43" s="175"/>
      <c r="D43" s="175"/>
      <c r="E43" s="175"/>
      <c r="F43" s="175"/>
      <c r="G43" s="175"/>
      <c r="H43" s="175"/>
      <c r="I43" s="175"/>
      <c r="J43" s="175"/>
      <c r="K43" s="175"/>
      <c r="L43" s="175"/>
      <c r="M43" s="175"/>
      <c r="N43" s="133"/>
      <c r="O43" s="133"/>
      <c r="P43" s="175"/>
      <c r="Q43" s="175"/>
      <c r="R43" s="175"/>
      <c r="S43" s="175"/>
      <c r="T43" s="175"/>
      <c r="U43" s="175"/>
      <c r="V43" s="175"/>
      <c r="W43" s="175"/>
      <c r="X43" s="175"/>
      <c r="Y43" s="175"/>
      <c r="Z43" s="175"/>
      <c r="AC43" s="136"/>
      <c r="AD43" s="137"/>
      <c r="AE43" s="137"/>
      <c r="AF43" s="138"/>
      <c r="AG43" s="139"/>
      <c r="AH43" s="139"/>
      <c r="AI43" s="139"/>
      <c r="AJ43" s="139"/>
      <c r="AK43" s="139"/>
      <c r="AL43" s="139"/>
      <c r="AM43" s="139"/>
      <c r="AN43" s="139"/>
      <c r="AU43" s="134" t="s">
        <v>377</v>
      </c>
      <c r="AV43" s="134">
        <v>0.85</v>
      </c>
      <c r="AY43" s="134" t="s">
        <v>378</v>
      </c>
      <c r="AZ43" s="134">
        <v>1995</v>
      </c>
      <c r="BA43" s="134">
        <v>1.05</v>
      </c>
      <c r="BB43" s="169">
        <v>1.0416666666666667</v>
      </c>
      <c r="BC43" s="170">
        <v>0.03</v>
      </c>
      <c r="BD43" s="171">
        <v>0.15</v>
      </c>
      <c r="BE43" s="169">
        <f>(BC43+BD43)/2</f>
        <v>0.09</v>
      </c>
      <c r="BF43" s="169">
        <v>0.7</v>
      </c>
      <c r="BG43" s="169">
        <v>0.64</v>
      </c>
      <c r="BH43" s="170">
        <v>0.95499999999999996</v>
      </c>
      <c r="BI43" s="171">
        <v>0.86</v>
      </c>
      <c r="BJ43" s="169">
        <f>(BH43+BI43)/2</f>
        <v>0.90749999999999997</v>
      </c>
      <c r="BL43" s="134">
        <v>0.25</v>
      </c>
      <c r="BM43" s="134">
        <v>0.25</v>
      </c>
      <c r="BN43" s="134">
        <v>0.75</v>
      </c>
      <c r="BO43" s="134">
        <v>0.75</v>
      </c>
      <c r="BQ43" s="134" t="s">
        <v>382</v>
      </c>
      <c r="BR43" s="134">
        <v>1997</v>
      </c>
      <c r="BS43" s="164">
        <f t="shared" si="31"/>
        <v>2.4489902651119642</v>
      </c>
      <c r="BT43" s="134" t="s">
        <v>428</v>
      </c>
      <c r="BU43" s="134" t="e">
        <f>BU41*BX39</f>
        <v>#N/A</v>
      </c>
      <c r="BV43" s="102">
        <v>2</v>
      </c>
      <c r="BW43" s="158" t="s">
        <v>439</v>
      </c>
      <c r="BX43" s="158" t="s">
        <v>440</v>
      </c>
      <c r="BY43" s="158" t="s">
        <v>441</v>
      </c>
      <c r="BZ43" s="167">
        <v>1.0478545440174878</v>
      </c>
      <c r="CA43" s="167">
        <v>0.94431731759920801</v>
      </c>
      <c r="CB43" s="167">
        <v>0.87781268741300877</v>
      </c>
      <c r="CC43" s="168">
        <v>1.0359592739743704</v>
      </c>
      <c r="CD43" s="168">
        <v>0.91858540786661846</v>
      </c>
      <c r="CE43" s="168">
        <v>1.0068089047932733</v>
      </c>
    </row>
    <row r="44" spans="1:83" s="134" customFormat="1" ht="15" customHeight="1">
      <c r="A44" s="133"/>
      <c r="B44" s="133"/>
      <c r="C44" s="176"/>
      <c r="D44" s="176"/>
      <c r="E44" s="176"/>
      <c r="F44" s="176"/>
      <c r="G44" s="176"/>
      <c r="H44" s="176"/>
      <c r="I44" s="176"/>
      <c r="J44" s="175"/>
      <c r="K44" s="175"/>
      <c r="L44" s="175"/>
      <c r="M44" s="175"/>
      <c r="N44" s="133"/>
      <c r="O44" s="133"/>
      <c r="P44" s="177"/>
      <c r="Q44" s="177"/>
      <c r="R44" s="177"/>
      <c r="S44" s="177"/>
      <c r="T44" s="177"/>
      <c r="U44" s="177"/>
      <c r="V44" s="177"/>
      <c r="W44" s="175"/>
      <c r="X44" s="175"/>
      <c r="Y44" s="175"/>
      <c r="Z44" s="175"/>
      <c r="AA44" s="175"/>
      <c r="AB44" s="175"/>
      <c r="AC44" s="136"/>
      <c r="AD44" s="137"/>
      <c r="AE44" s="137"/>
      <c r="AF44" s="138"/>
      <c r="AG44" s="139"/>
      <c r="AH44" s="139"/>
      <c r="AI44" s="139"/>
      <c r="AJ44" s="139"/>
      <c r="AK44" s="139"/>
      <c r="AL44" s="139"/>
      <c r="AM44" s="139"/>
      <c r="AN44" s="139"/>
      <c r="AU44" s="134" t="s">
        <v>379</v>
      </c>
      <c r="AV44" s="134">
        <v>0.85499999999999998</v>
      </c>
      <c r="AY44" s="134" t="s">
        <v>380</v>
      </c>
      <c r="AZ44" s="134">
        <v>1996</v>
      </c>
      <c r="BA44" s="134">
        <v>1.05</v>
      </c>
      <c r="BB44" s="169">
        <v>1.0416666666666667</v>
      </c>
      <c r="BC44" s="170">
        <v>-4.9875000000000003E-2</v>
      </c>
      <c r="BD44" s="171">
        <v>7.4999999999999997E-2</v>
      </c>
      <c r="BE44" s="169">
        <f t="shared" ref="BE44:BE67" si="32">(BC44+BD44)/2</f>
        <v>1.2562499999999997E-2</v>
      </c>
      <c r="BF44" s="169">
        <v>0.76100000000000001</v>
      </c>
      <c r="BG44" s="169">
        <v>0.69550000000000001</v>
      </c>
      <c r="BH44" s="170">
        <v>1.0365</v>
      </c>
      <c r="BI44" s="171">
        <v>0.9345</v>
      </c>
      <c r="BJ44" s="169">
        <f t="shared" ref="BJ44:BJ67" si="33">(BH44+BI44)/2</f>
        <v>0.98550000000000004</v>
      </c>
      <c r="BL44" s="134">
        <v>0.25</v>
      </c>
      <c r="BM44" s="134">
        <v>0.25</v>
      </c>
      <c r="BN44" s="134">
        <v>0.75</v>
      </c>
      <c r="BO44" s="134">
        <v>0.75</v>
      </c>
      <c r="BQ44" s="134" t="s">
        <v>384</v>
      </c>
      <c r="BR44" s="134">
        <v>1998</v>
      </c>
      <c r="BS44" s="164">
        <f t="shared" si="31"/>
        <v>2.6560612958228038</v>
      </c>
      <c r="BT44" s="134" t="s">
        <v>429</v>
      </c>
      <c r="BU44" s="134" t="e">
        <f>BU42/BS42</f>
        <v>#N/A</v>
      </c>
      <c r="BV44" s="102">
        <v>3</v>
      </c>
      <c r="BW44" s="158" t="s">
        <v>442</v>
      </c>
      <c r="BX44" s="158" t="s">
        <v>441</v>
      </c>
      <c r="BY44" s="158" t="s">
        <v>443</v>
      </c>
      <c r="BZ44" s="167">
        <v>1.0244615397624421</v>
      </c>
      <c r="CA44" s="167">
        <v>0.82939764403674943</v>
      </c>
      <c r="CB44" s="167">
        <v>0.96057788365480679</v>
      </c>
      <c r="CC44" s="168">
        <v>1.0999840219463783</v>
      </c>
      <c r="CD44" s="168">
        <v>0.88547097094105631</v>
      </c>
      <c r="CE44" s="168">
        <v>0.96088428808340476</v>
      </c>
    </row>
    <row r="45" spans="1:83" s="134" customFormat="1" ht="15" customHeight="1">
      <c r="A45" s="133"/>
      <c r="B45" s="133"/>
      <c r="C45" s="176"/>
      <c r="D45" s="176"/>
      <c r="E45" s="176"/>
      <c r="F45" s="176"/>
      <c r="G45" s="176"/>
      <c r="H45" s="176"/>
      <c r="I45" s="176"/>
      <c r="J45" s="175"/>
      <c r="K45" s="175"/>
      <c r="L45" s="175"/>
      <c r="M45" s="175"/>
      <c r="N45" s="133"/>
      <c r="O45" s="133"/>
      <c r="P45" s="177"/>
      <c r="Q45" s="177"/>
      <c r="R45" s="177"/>
      <c r="S45" s="177"/>
      <c r="T45" s="177"/>
      <c r="U45" s="177"/>
      <c r="V45" s="177"/>
      <c r="W45" s="175"/>
      <c r="X45" s="175"/>
      <c r="Y45" s="175"/>
      <c r="Z45" s="175"/>
      <c r="AA45" s="175"/>
      <c r="AB45" s="175"/>
      <c r="AC45" s="136"/>
      <c r="AD45" s="137"/>
      <c r="AE45" s="137"/>
      <c r="AF45" s="138"/>
      <c r="AG45" s="139"/>
      <c r="AH45" s="139"/>
      <c r="AI45" s="139"/>
      <c r="AJ45" s="139"/>
      <c r="AK45" s="139"/>
      <c r="AL45" s="139"/>
      <c r="AM45" s="139"/>
      <c r="AN45" s="139"/>
      <c r="AU45" s="134" t="s">
        <v>381</v>
      </c>
      <c r="AV45" s="134">
        <v>0.86</v>
      </c>
      <c r="AY45" s="134" t="s">
        <v>382</v>
      </c>
      <c r="AZ45" s="134">
        <v>1997</v>
      </c>
      <c r="BA45" s="134">
        <v>1.05</v>
      </c>
      <c r="BB45" s="169">
        <v>1.0416666666666667</v>
      </c>
      <c r="BC45" s="170">
        <v>-0.12975</v>
      </c>
      <c r="BD45" s="171">
        <v>0</v>
      </c>
      <c r="BE45" s="169">
        <f t="shared" si="32"/>
        <v>-6.4875000000000002E-2</v>
      </c>
      <c r="BF45" s="169">
        <v>0.82199999999999995</v>
      </c>
      <c r="BG45" s="169">
        <v>0.751</v>
      </c>
      <c r="BH45" s="170">
        <v>1.1179999999999999</v>
      </c>
      <c r="BI45" s="171">
        <v>1.0089999999999999</v>
      </c>
      <c r="BJ45" s="169">
        <f t="shared" si="33"/>
        <v>1.0634999999999999</v>
      </c>
      <c r="BQ45" s="134" t="s">
        <v>386</v>
      </c>
      <c r="BR45" s="134">
        <v>1999</v>
      </c>
      <c r="BS45" s="164">
        <f t="shared" si="31"/>
        <v>2.8029805302239286</v>
      </c>
      <c r="BT45" s="134" t="s">
        <v>430</v>
      </c>
      <c r="BU45" s="134" t="e">
        <f>BU43/BS42</f>
        <v>#N/A</v>
      </c>
      <c r="BV45" s="102">
        <v>4</v>
      </c>
      <c r="BW45" s="158" t="s">
        <v>444</v>
      </c>
      <c r="BX45" s="158" t="s">
        <v>445</v>
      </c>
      <c r="BY45" s="158" t="s">
        <v>446</v>
      </c>
      <c r="BZ45" s="167">
        <v>1.026571784058572</v>
      </c>
      <c r="CA45" s="167">
        <v>0.77959944180679974</v>
      </c>
      <c r="CB45" s="167">
        <v>0.96333025581427612</v>
      </c>
      <c r="CC45" s="168">
        <v>1.0296194190424959</v>
      </c>
      <c r="CD45" s="168">
        <v>0.85991341627357476</v>
      </c>
      <c r="CE45" s="168">
        <v>0.96426768346398017</v>
      </c>
    </row>
    <row r="46" spans="1:83" s="134" customFormat="1" ht="15" customHeight="1">
      <c r="A46" s="133"/>
      <c r="B46" s="133"/>
      <c r="C46" s="133"/>
      <c r="D46" s="178"/>
      <c r="E46" s="178"/>
      <c r="F46" s="178"/>
      <c r="G46" s="179"/>
      <c r="H46" s="180"/>
      <c r="I46" s="180"/>
      <c r="J46" s="180"/>
      <c r="K46" s="180"/>
      <c r="L46" s="180"/>
      <c r="M46" s="180"/>
      <c r="N46" s="133"/>
      <c r="O46" s="133"/>
      <c r="R46" s="133"/>
      <c r="S46" s="133"/>
      <c r="T46" s="133"/>
      <c r="U46" s="133"/>
      <c r="V46" s="133"/>
      <c r="W46" s="178"/>
      <c r="X46" s="178"/>
      <c r="Y46" s="178"/>
      <c r="Z46" s="178"/>
      <c r="AA46" s="181"/>
      <c r="AB46" s="181"/>
      <c r="AC46" s="136"/>
      <c r="AD46" s="137"/>
      <c r="AE46" s="137"/>
      <c r="AF46" s="138"/>
      <c r="AG46" s="139"/>
      <c r="AH46" s="139"/>
      <c r="AI46" s="139"/>
      <c r="AJ46" s="139"/>
      <c r="AK46" s="139"/>
      <c r="AL46" s="139"/>
      <c r="AM46" s="139"/>
      <c r="AN46" s="139"/>
      <c r="AU46" s="134" t="s">
        <v>383</v>
      </c>
      <c r="AV46" s="134">
        <v>0.86499999999999999</v>
      </c>
      <c r="AY46" s="134" t="s">
        <v>384</v>
      </c>
      <c r="AZ46" s="134">
        <v>1998</v>
      </c>
      <c r="BA46" s="134">
        <v>1.05</v>
      </c>
      <c r="BB46" s="169">
        <v>1.0416666666666667</v>
      </c>
      <c r="BC46" s="170">
        <v>-0.20962500000000001</v>
      </c>
      <c r="BD46" s="171">
        <v>-7.4999999999999983E-2</v>
      </c>
      <c r="BE46" s="169">
        <f t="shared" si="32"/>
        <v>-0.14231250000000001</v>
      </c>
      <c r="BF46" s="169">
        <v>0.88300000000000001</v>
      </c>
      <c r="BG46" s="169">
        <v>0.80649999999999999</v>
      </c>
      <c r="BH46" s="170">
        <v>1.1995</v>
      </c>
      <c r="BI46" s="171">
        <v>1.0834999999999999</v>
      </c>
      <c r="BJ46" s="169">
        <f t="shared" si="33"/>
        <v>1.1415</v>
      </c>
      <c r="BQ46" s="134" t="s">
        <v>388</v>
      </c>
      <c r="BR46" s="134">
        <v>2000</v>
      </c>
      <c r="BS46" s="164">
        <f t="shared" si="31"/>
        <v>2.9169399418800954</v>
      </c>
      <c r="BV46" s="102">
        <v>5</v>
      </c>
      <c r="BW46" s="158" t="s">
        <v>447</v>
      </c>
      <c r="BX46" s="158" t="s">
        <v>443</v>
      </c>
      <c r="BY46" s="158" t="s">
        <v>448</v>
      </c>
      <c r="BZ46" s="167">
        <v>1.0070012274111901</v>
      </c>
      <c r="CA46" s="167">
        <v>1.0405430891680392</v>
      </c>
      <c r="CB46" s="167">
        <v>0.81503578007074506</v>
      </c>
      <c r="CC46" s="168">
        <v>1.0242846033997888</v>
      </c>
      <c r="CD46" s="168">
        <v>1.1474479838879943</v>
      </c>
      <c r="CE46" s="168">
        <v>0.89853610497777014</v>
      </c>
    </row>
    <row r="47" spans="1:83" s="134" customFormat="1" ht="15" customHeight="1">
      <c r="A47" s="182"/>
      <c r="B47" s="183"/>
      <c r="C47" s="175"/>
      <c r="D47" s="175"/>
      <c r="E47" s="175"/>
      <c r="F47" s="175"/>
      <c r="G47" s="175"/>
      <c r="H47" s="175"/>
      <c r="I47" s="175"/>
      <c r="J47" s="175"/>
      <c r="K47" s="175"/>
      <c r="L47" s="175"/>
      <c r="M47" s="175"/>
      <c r="P47" s="175"/>
      <c r="Q47" s="175"/>
      <c r="R47" s="175"/>
      <c r="S47" s="175"/>
      <c r="T47" s="175"/>
      <c r="U47" s="175"/>
      <c r="V47" s="175"/>
      <c r="W47" s="175"/>
      <c r="X47" s="175"/>
      <c r="Y47" s="175"/>
      <c r="Z47" s="175"/>
      <c r="AC47" s="136"/>
      <c r="AD47" s="137"/>
      <c r="AE47" s="137"/>
      <c r="AF47" s="138"/>
      <c r="AG47" s="139"/>
      <c r="AH47" s="139"/>
      <c r="AI47" s="139"/>
      <c r="AJ47" s="139"/>
      <c r="AK47" s="139"/>
      <c r="AL47" s="139"/>
      <c r="AM47" s="139"/>
      <c r="AN47" s="139"/>
      <c r="AU47" s="134" t="s">
        <v>385</v>
      </c>
      <c r="AV47" s="134">
        <v>0.87</v>
      </c>
      <c r="AY47" s="134" t="s">
        <v>386</v>
      </c>
      <c r="AZ47" s="134">
        <v>1999</v>
      </c>
      <c r="BA47" s="134">
        <v>1.05</v>
      </c>
      <c r="BB47" s="169">
        <v>1.0416666666666667</v>
      </c>
      <c r="BC47" s="170">
        <v>-0.28949999999999998</v>
      </c>
      <c r="BD47" s="171">
        <v>-0.15</v>
      </c>
      <c r="BE47" s="169">
        <f t="shared" si="32"/>
        <v>-0.21975</v>
      </c>
      <c r="BF47" s="169">
        <v>0.94399999999999995</v>
      </c>
      <c r="BG47" s="169">
        <v>0.86199999999999988</v>
      </c>
      <c r="BH47" s="170">
        <v>1.2809999999999999</v>
      </c>
      <c r="BI47" s="171">
        <v>1.1579999999999999</v>
      </c>
      <c r="BJ47" s="169">
        <f t="shared" si="33"/>
        <v>1.2195</v>
      </c>
      <c r="BQ47" s="134" t="s">
        <v>390</v>
      </c>
      <c r="BR47" s="134">
        <v>2001</v>
      </c>
      <c r="BS47" s="164">
        <f t="shared" si="31"/>
        <v>3.0100515609347678</v>
      </c>
      <c r="BV47" s="102">
        <v>6</v>
      </c>
      <c r="BW47" s="158" t="s">
        <v>438</v>
      </c>
      <c r="BX47" s="158" t="s">
        <v>446</v>
      </c>
      <c r="BY47" s="158" t="s">
        <v>449</v>
      </c>
      <c r="BZ47" s="167">
        <v>0.99756730066718591</v>
      </c>
      <c r="CA47" s="167">
        <v>0.92065166355179529</v>
      </c>
      <c r="CB47" s="167">
        <v>0.87438819058304895</v>
      </c>
      <c r="CC47" s="168">
        <v>0.98058992289761526</v>
      </c>
      <c r="CD47" s="168">
        <v>0.86895353167542522</v>
      </c>
      <c r="CE47" s="168">
        <v>0.91728752836220262</v>
      </c>
    </row>
    <row r="48" spans="1:83" s="134" customFormat="1" ht="15" customHeight="1">
      <c r="A48" s="182"/>
      <c r="B48" s="186"/>
      <c r="C48" s="187"/>
      <c r="D48" s="187"/>
      <c r="E48" s="187"/>
      <c r="F48" s="187"/>
      <c r="G48" s="187"/>
      <c r="H48" s="187"/>
      <c r="I48" s="187"/>
      <c r="J48" s="188"/>
      <c r="K48" s="188"/>
      <c r="L48" s="188"/>
      <c r="M48" s="188"/>
      <c r="N48" s="175"/>
      <c r="O48" s="175"/>
      <c r="P48" s="187"/>
      <c r="Q48" s="187"/>
      <c r="R48" s="187"/>
      <c r="S48" s="187"/>
      <c r="T48" s="187"/>
      <c r="U48" s="187"/>
      <c r="V48" s="187"/>
      <c r="W48" s="188"/>
      <c r="X48" s="188"/>
      <c r="Y48" s="188"/>
      <c r="Z48" s="188"/>
      <c r="AA48" s="175"/>
      <c r="AB48" s="175"/>
      <c r="AC48" s="136"/>
      <c r="AD48" s="137"/>
      <c r="AE48" s="137"/>
      <c r="AF48" s="138"/>
      <c r="AG48" s="139"/>
      <c r="AH48" s="139"/>
      <c r="AI48" s="139"/>
      <c r="AJ48" s="139"/>
      <c r="AK48" s="139"/>
      <c r="AL48" s="139"/>
      <c r="AM48" s="139"/>
      <c r="AN48" s="139"/>
      <c r="AU48" s="134" t="s">
        <v>387</v>
      </c>
      <c r="AV48" s="134">
        <v>0.875</v>
      </c>
      <c r="AY48" s="134" t="s">
        <v>388</v>
      </c>
      <c r="AZ48" s="134">
        <v>2000</v>
      </c>
      <c r="BA48" s="134">
        <v>1.05</v>
      </c>
      <c r="BB48" s="169">
        <v>1.0416666666666667</v>
      </c>
      <c r="BC48" s="170">
        <v>-0.36937500000000001</v>
      </c>
      <c r="BD48" s="171">
        <v>-0.22500000000000001</v>
      </c>
      <c r="BE48" s="169">
        <f t="shared" si="32"/>
        <v>-0.29718749999999999</v>
      </c>
      <c r="BF48" s="169">
        <v>1.0049999999999999</v>
      </c>
      <c r="BG48" s="169">
        <v>0.91749999999999998</v>
      </c>
      <c r="BH48" s="170">
        <v>1.3625</v>
      </c>
      <c r="BI48" s="171">
        <v>1.2324999999999999</v>
      </c>
      <c r="BJ48" s="169">
        <f t="shared" si="33"/>
        <v>1.2974999999999999</v>
      </c>
      <c r="BQ48" s="134" t="s">
        <v>391</v>
      </c>
      <c r="BR48" s="134">
        <v>2002</v>
      </c>
      <c r="BS48" s="164">
        <f t="shared" si="31"/>
        <v>3.0887763131225485</v>
      </c>
      <c r="BV48" s="102">
        <v>7</v>
      </c>
      <c r="BW48" s="158" t="s">
        <v>450</v>
      </c>
      <c r="BX48" s="158" t="s">
        <v>451</v>
      </c>
      <c r="BY48" s="158" t="s">
        <v>452</v>
      </c>
      <c r="BZ48" s="167">
        <v>0.96898232216336655</v>
      </c>
      <c r="CA48" s="167">
        <v>0.99013412622880081</v>
      </c>
      <c r="CB48" s="167">
        <v>0.86717471175387884</v>
      </c>
      <c r="CC48" s="168">
        <v>1.0115036041972765</v>
      </c>
      <c r="CD48" s="168">
        <v>0.95241433223564409</v>
      </c>
      <c r="CE48" s="168">
        <v>1.0086067778375472</v>
      </c>
    </row>
    <row r="49" spans="1:83" s="134" customFormat="1" ht="15" customHeight="1">
      <c r="A49" s="189"/>
      <c r="B49" s="189"/>
      <c r="C49" s="187"/>
      <c r="D49" s="187"/>
      <c r="E49" s="187"/>
      <c r="F49" s="187"/>
      <c r="G49" s="187"/>
      <c r="H49" s="187"/>
      <c r="I49" s="187"/>
      <c r="J49" s="188"/>
      <c r="K49" s="188"/>
      <c r="L49" s="188"/>
      <c r="M49" s="188"/>
      <c r="N49" s="175"/>
      <c r="O49" s="175"/>
      <c r="P49" s="187"/>
      <c r="Q49" s="187"/>
      <c r="R49" s="187"/>
      <c r="S49" s="187"/>
      <c r="T49" s="187"/>
      <c r="U49" s="187"/>
      <c r="V49" s="187"/>
      <c r="W49" s="188"/>
      <c r="X49" s="188"/>
      <c r="Y49" s="188"/>
      <c r="Z49" s="188"/>
      <c r="AA49" s="175"/>
      <c r="AB49" s="175"/>
      <c r="AC49" s="136"/>
      <c r="AD49" s="137"/>
      <c r="AE49" s="137"/>
      <c r="AF49" s="138"/>
      <c r="AG49" s="139"/>
      <c r="AH49" s="139"/>
      <c r="AI49" s="139"/>
      <c r="AJ49" s="139"/>
      <c r="AK49" s="139"/>
      <c r="AL49" s="139"/>
      <c r="AM49" s="139"/>
      <c r="AN49" s="139"/>
      <c r="AU49" s="134" t="s">
        <v>389</v>
      </c>
      <c r="AY49" s="134" t="s">
        <v>390</v>
      </c>
      <c r="AZ49" s="134">
        <v>2001</v>
      </c>
      <c r="BA49" s="134">
        <v>1.05</v>
      </c>
      <c r="BB49" s="169">
        <v>1.0416666666666667</v>
      </c>
      <c r="BC49" s="170">
        <v>-0.44925000000000004</v>
      </c>
      <c r="BD49" s="171">
        <v>-0.29999999999999993</v>
      </c>
      <c r="BE49" s="169">
        <f t="shared" si="32"/>
        <v>-0.37462499999999999</v>
      </c>
      <c r="BF49" s="169">
        <v>1.0660000000000001</v>
      </c>
      <c r="BG49" s="169">
        <v>0.97299999999999986</v>
      </c>
      <c r="BH49" s="170">
        <v>1.444</v>
      </c>
      <c r="BI49" s="171">
        <v>1.3069999999999999</v>
      </c>
      <c r="BJ49" s="169">
        <f t="shared" si="33"/>
        <v>1.3754999999999999</v>
      </c>
      <c r="BQ49" s="134" t="s">
        <v>392</v>
      </c>
      <c r="BR49" s="134">
        <v>2003</v>
      </c>
      <c r="BS49" s="164">
        <f t="shared" si="31"/>
        <v>3.1569707953358925</v>
      </c>
      <c r="BV49" s="102">
        <v>8</v>
      </c>
      <c r="BW49" s="158" t="s">
        <v>441</v>
      </c>
      <c r="BX49" s="158" t="s">
        <v>453</v>
      </c>
      <c r="BY49" s="158" t="s">
        <v>454</v>
      </c>
      <c r="BZ49" s="167">
        <v>0.85299594597835315</v>
      </c>
      <c r="CA49" s="184">
        <v>1</v>
      </c>
      <c r="CB49" s="167">
        <v>0.90375240544522284</v>
      </c>
      <c r="CC49" s="168">
        <v>0.93393727944070482</v>
      </c>
      <c r="CD49" s="185">
        <v>1</v>
      </c>
      <c r="CE49" s="168">
        <v>0.99019533335792309</v>
      </c>
    </row>
    <row r="50" spans="1:83" s="134" customFormat="1" ht="15" customHeight="1">
      <c r="B50" s="175"/>
      <c r="AC50" s="136"/>
      <c r="AD50" s="137"/>
      <c r="AE50" s="137"/>
      <c r="AF50" s="138"/>
      <c r="AG50" s="139"/>
      <c r="AH50" s="139"/>
      <c r="AI50" s="139"/>
      <c r="AJ50" s="139"/>
      <c r="AK50" s="139"/>
      <c r="AL50" s="139"/>
      <c r="AM50" s="139"/>
      <c r="AN50" s="139"/>
      <c r="AU50" s="134" t="s">
        <v>378</v>
      </c>
      <c r="AV50" s="134">
        <v>0.88</v>
      </c>
      <c r="AY50" s="134" t="s">
        <v>391</v>
      </c>
      <c r="AZ50" s="134">
        <v>2002</v>
      </c>
      <c r="BA50" s="134">
        <v>1.05</v>
      </c>
      <c r="BB50" s="169">
        <v>1.0416666666666667</v>
      </c>
      <c r="BC50" s="170">
        <v>-0.52912499999999996</v>
      </c>
      <c r="BD50" s="171">
        <v>-0.375</v>
      </c>
      <c r="BE50" s="169">
        <f t="shared" si="32"/>
        <v>-0.45206249999999998</v>
      </c>
      <c r="BF50" s="169">
        <v>1.127</v>
      </c>
      <c r="BG50" s="169">
        <v>1.0284999999999997</v>
      </c>
      <c r="BH50" s="170">
        <v>1.5255000000000001</v>
      </c>
      <c r="BI50" s="171">
        <v>1.3815</v>
      </c>
      <c r="BJ50" s="169">
        <f t="shared" si="33"/>
        <v>1.4535</v>
      </c>
      <c r="BQ50" s="134" t="s">
        <v>393</v>
      </c>
      <c r="BR50" s="134">
        <v>2004</v>
      </c>
      <c r="BS50" s="164">
        <f t="shared" si="31"/>
        <v>3.2171225916456079</v>
      </c>
      <c r="BV50" s="102">
        <v>9</v>
      </c>
      <c r="BW50" s="158" t="s">
        <v>445</v>
      </c>
      <c r="BX50" s="158" t="s">
        <v>455</v>
      </c>
      <c r="BY50" s="158" t="s">
        <v>456</v>
      </c>
      <c r="BZ50" s="167">
        <v>0.84698769689871134</v>
      </c>
      <c r="CA50" s="167">
        <v>0.97273709737195613</v>
      </c>
      <c r="CB50" s="167">
        <v>0.83867105526456465</v>
      </c>
      <c r="CC50" s="168">
        <v>0.88585287890374276</v>
      </c>
      <c r="CD50" s="168">
        <v>1.06262347094386</v>
      </c>
      <c r="CE50" s="168">
        <v>0.94431731759920812</v>
      </c>
    </row>
    <row r="51" spans="1:83" s="134" customFormat="1" ht="15" customHeight="1">
      <c r="A51" s="130"/>
      <c r="B51" s="130"/>
      <c r="P51" s="190"/>
      <c r="Q51" s="190"/>
      <c r="R51" s="190"/>
      <c r="S51" s="190"/>
      <c r="T51" s="190"/>
      <c r="U51" s="190"/>
      <c r="V51" s="190"/>
      <c r="W51" s="190"/>
      <c r="AC51" s="136"/>
      <c r="AD51" s="137"/>
      <c r="AE51" s="137"/>
      <c r="AF51" s="138"/>
      <c r="AG51" s="139"/>
      <c r="AH51" s="139"/>
      <c r="AI51" s="139"/>
      <c r="AJ51" s="139"/>
      <c r="AK51" s="139"/>
      <c r="AL51" s="139"/>
      <c r="AM51" s="139"/>
      <c r="AN51" s="139"/>
      <c r="AU51" s="134" t="s">
        <v>380</v>
      </c>
      <c r="AV51" s="134">
        <v>0.88500000000000001</v>
      </c>
      <c r="AY51" s="134" t="s">
        <v>392</v>
      </c>
      <c r="AZ51" s="134">
        <v>2003</v>
      </c>
      <c r="BA51" s="134">
        <v>1.05</v>
      </c>
      <c r="BB51" s="169">
        <v>1.0416666666666667</v>
      </c>
      <c r="BC51" s="170">
        <v>-0.60899999999999999</v>
      </c>
      <c r="BD51" s="171">
        <v>-0.44999999999999996</v>
      </c>
      <c r="BE51" s="169">
        <f t="shared" si="32"/>
        <v>-0.52949999999999997</v>
      </c>
      <c r="BF51" s="169">
        <v>1.1880000000000002</v>
      </c>
      <c r="BG51" s="169">
        <v>1.0839999999999999</v>
      </c>
      <c r="BH51" s="170">
        <v>1.607</v>
      </c>
      <c r="BI51" s="171">
        <v>1.456</v>
      </c>
      <c r="BJ51" s="169">
        <f t="shared" si="33"/>
        <v>1.5314999999999999</v>
      </c>
      <c r="BQ51" s="134" t="s">
        <v>394</v>
      </c>
      <c r="BR51" s="134">
        <v>2005</v>
      </c>
      <c r="BS51" s="164">
        <f t="shared" si="31"/>
        <v>3.2709302069920598</v>
      </c>
      <c r="BV51" s="102">
        <v>10</v>
      </c>
      <c r="BW51" s="158" t="s">
        <v>457</v>
      </c>
      <c r="BX51" s="158" t="s">
        <v>448</v>
      </c>
      <c r="BY51" s="158" t="s">
        <v>458</v>
      </c>
      <c r="BZ51" s="167">
        <v>0.87305015161763111</v>
      </c>
      <c r="CA51" s="167">
        <v>1.0552119733261172</v>
      </c>
      <c r="CB51" s="167">
        <v>0.83261457766171532</v>
      </c>
      <c r="CC51" s="168">
        <v>1.0172023975875697</v>
      </c>
      <c r="CD51" s="168">
        <v>1.1464697673629407</v>
      </c>
      <c r="CE51" s="168">
        <v>1.3277381184509318</v>
      </c>
    </row>
    <row r="52" spans="1:83" s="134" customFormat="1" ht="15" customHeight="1">
      <c r="A52" s="130"/>
      <c r="B52" s="130"/>
      <c r="O52" s="147"/>
      <c r="P52" s="191"/>
      <c r="Q52" s="191"/>
      <c r="R52" s="191"/>
      <c r="S52" s="191"/>
      <c r="T52" s="191"/>
      <c r="U52" s="191"/>
      <c r="V52" s="175"/>
      <c r="W52" s="175"/>
      <c r="AC52" s="136"/>
      <c r="AD52" s="137"/>
      <c r="AE52" s="137"/>
      <c r="AF52" s="138"/>
      <c r="AG52" s="139"/>
      <c r="AH52" s="139"/>
      <c r="AI52" s="139"/>
      <c r="AJ52" s="139"/>
      <c r="AK52" s="139"/>
      <c r="AL52" s="139"/>
      <c r="AM52" s="139"/>
      <c r="AN52" s="139"/>
      <c r="AU52" s="134" t="s">
        <v>382</v>
      </c>
      <c r="AV52" s="134">
        <v>0.89</v>
      </c>
      <c r="AY52" s="134" t="s">
        <v>393</v>
      </c>
      <c r="AZ52" s="134">
        <v>2004</v>
      </c>
      <c r="BA52" s="134">
        <v>1.05</v>
      </c>
      <c r="BB52" s="169">
        <v>1.0416666666666667</v>
      </c>
      <c r="BC52" s="170">
        <v>-0.68887500000000002</v>
      </c>
      <c r="BD52" s="171">
        <v>-0.52499999999999991</v>
      </c>
      <c r="BE52" s="169">
        <f t="shared" si="32"/>
        <v>-0.60693749999999991</v>
      </c>
      <c r="BF52" s="169">
        <v>1.2490000000000001</v>
      </c>
      <c r="BG52" s="169">
        <v>1.1395</v>
      </c>
      <c r="BH52" s="170">
        <v>1.6884999999999999</v>
      </c>
      <c r="BI52" s="171">
        <v>1.5305</v>
      </c>
      <c r="BJ52" s="169">
        <f t="shared" si="33"/>
        <v>1.6094999999999999</v>
      </c>
      <c r="BQ52" s="134" t="s">
        <v>395</v>
      </c>
      <c r="BR52" s="134">
        <v>2006</v>
      </c>
      <c r="BS52" s="164">
        <f t="shared" si="31"/>
        <v>3.3196051158181281</v>
      </c>
      <c r="BV52" s="102">
        <v>11</v>
      </c>
      <c r="BW52" s="158" t="s">
        <v>459</v>
      </c>
      <c r="BX52" s="158" t="s">
        <v>460</v>
      </c>
      <c r="BY52" s="158" t="s">
        <v>461</v>
      </c>
      <c r="BZ52" s="167">
        <v>0.75892157850831221</v>
      </c>
      <c r="CA52" s="167">
        <v>0.97662239442028276</v>
      </c>
      <c r="CB52" s="167">
        <v>0.94396222209246494</v>
      </c>
      <c r="CC52" s="168">
        <v>0.9534547703920383</v>
      </c>
      <c r="CD52" s="168">
        <v>1.1002090004169007</v>
      </c>
      <c r="CE52" s="168">
        <v>1.0085279865885948</v>
      </c>
    </row>
    <row r="53" spans="1:83" s="134" customFormat="1" ht="15" customHeight="1">
      <c r="A53" s="130"/>
      <c r="B53" s="130"/>
      <c r="P53" s="191"/>
      <c r="Q53" s="191"/>
      <c r="R53" s="191"/>
      <c r="S53" s="191"/>
      <c r="T53" s="191"/>
      <c r="U53" s="191"/>
      <c r="V53" s="175"/>
      <c r="W53" s="175"/>
      <c r="AC53" s="136"/>
      <c r="AD53" s="137"/>
      <c r="AE53" s="137"/>
      <c r="AF53" s="138"/>
      <c r="AG53" s="139"/>
      <c r="AH53" s="139"/>
      <c r="AI53" s="139"/>
      <c r="AJ53" s="139"/>
      <c r="AK53" s="139"/>
      <c r="AL53" s="139"/>
      <c r="AM53" s="139"/>
      <c r="AN53" s="139"/>
      <c r="AU53" s="134" t="s">
        <v>384</v>
      </c>
      <c r="AV53" s="134">
        <v>0.89500000000000002</v>
      </c>
      <c r="AY53" s="134" t="s">
        <v>394</v>
      </c>
      <c r="AZ53" s="134">
        <v>2005</v>
      </c>
      <c r="BA53" s="134">
        <v>1.05</v>
      </c>
      <c r="BB53" s="169">
        <v>1.0416666666666667</v>
      </c>
      <c r="BC53" s="170">
        <v>-0.77</v>
      </c>
      <c r="BD53" s="171">
        <v>-0.60499999999999998</v>
      </c>
      <c r="BE53" s="169">
        <f t="shared" si="32"/>
        <v>-0.6875</v>
      </c>
      <c r="BF53" s="169">
        <v>1.31</v>
      </c>
      <c r="BG53" s="169">
        <v>1.1950000000000001</v>
      </c>
      <c r="BH53" s="170">
        <v>1.77</v>
      </c>
      <c r="BI53" s="171">
        <v>1.605</v>
      </c>
      <c r="BJ53" s="169">
        <f t="shared" si="33"/>
        <v>1.6875</v>
      </c>
      <c r="BQ53" s="134" t="s">
        <v>396</v>
      </c>
      <c r="BR53" s="134">
        <v>2007</v>
      </c>
      <c r="BS53" s="164">
        <f t="shared" si="31"/>
        <v>3.3640418260467322</v>
      </c>
      <c r="BV53" s="102">
        <v>12</v>
      </c>
      <c r="BW53" s="158" t="s">
        <v>451</v>
      </c>
      <c r="BX53" s="158" t="s">
        <v>449</v>
      </c>
      <c r="BY53" s="158"/>
      <c r="BZ53" s="167">
        <v>0.66684745642151877</v>
      </c>
      <c r="CA53" s="167">
        <v>0.99813526943057451</v>
      </c>
      <c r="CB53" s="158"/>
      <c r="CC53" s="168">
        <v>0.87465738234328949</v>
      </c>
      <c r="CD53" s="168">
        <v>1.0382716830680632</v>
      </c>
      <c r="CE53" s="168"/>
    </row>
    <row r="54" spans="1:83" s="134" customFormat="1" ht="15" customHeight="1">
      <c r="A54" s="130"/>
      <c r="B54" s="130"/>
      <c r="P54" s="192"/>
      <c r="Q54" s="192"/>
      <c r="S54" s="193"/>
      <c r="AC54" s="136"/>
      <c r="AD54" s="137"/>
      <c r="AE54" s="137"/>
      <c r="AF54" s="138"/>
      <c r="AG54" s="139"/>
      <c r="AH54" s="139"/>
      <c r="AI54" s="139"/>
      <c r="AJ54" s="139"/>
      <c r="AK54" s="139"/>
      <c r="AL54" s="139"/>
      <c r="AM54" s="139"/>
      <c r="AN54" s="139"/>
      <c r="AU54" s="134" t="s">
        <v>386</v>
      </c>
      <c r="AV54" s="134">
        <v>0.9</v>
      </c>
      <c r="AY54" s="134" t="s">
        <v>395</v>
      </c>
      <c r="AZ54" s="134">
        <v>2006</v>
      </c>
      <c r="BA54" s="134">
        <v>1.05</v>
      </c>
      <c r="BB54" s="169">
        <v>1.0416666666666667</v>
      </c>
      <c r="BC54" s="170">
        <v>-0.84087500000000004</v>
      </c>
      <c r="BD54" s="171">
        <v>-0.63575000000000004</v>
      </c>
      <c r="BE54" s="169">
        <f t="shared" si="32"/>
        <v>-0.73831250000000004</v>
      </c>
      <c r="BF54" s="169">
        <v>1.363</v>
      </c>
      <c r="BG54" s="169">
        <v>1.218</v>
      </c>
      <c r="BH54" s="170">
        <v>1.841</v>
      </c>
      <c r="BI54" s="171">
        <v>1.6359999999999999</v>
      </c>
      <c r="BJ54" s="169">
        <f t="shared" si="33"/>
        <v>1.7384999999999999</v>
      </c>
      <c r="BQ54" s="134" t="s">
        <v>397</v>
      </c>
      <c r="BR54" s="134">
        <v>2008</v>
      </c>
      <c r="BS54" s="164">
        <f t="shared" si="31"/>
        <v>3.4049196368556069</v>
      </c>
      <c r="BV54" s="102">
        <v>13</v>
      </c>
      <c r="BW54" s="158"/>
      <c r="BX54" s="158" t="s">
        <v>462</v>
      </c>
      <c r="BY54" s="158"/>
      <c r="BZ54" s="158"/>
      <c r="CA54" s="167">
        <v>0.92542839255438514</v>
      </c>
      <c r="CB54" s="158"/>
      <c r="CC54" s="168"/>
      <c r="CD54" s="168">
        <v>0.99829826316357539</v>
      </c>
      <c r="CE54" s="168"/>
    </row>
    <row r="55" spans="1:83" s="134" customFormat="1" ht="15" customHeight="1">
      <c r="A55" s="130"/>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6"/>
      <c r="AD55" s="137"/>
      <c r="AE55" s="137"/>
      <c r="AF55" s="138"/>
      <c r="AG55" s="139"/>
      <c r="AH55" s="139"/>
      <c r="AI55" s="139"/>
      <c r="AJ55" s="139"/>
      <c r="AK55" s="139"/>
      <c r="AL55" s="139"/>
      <c r="AM55" s="139"/>
      <c r="AN55" s="139"/>
      <c r="AU55" s="134" t="s">
        <v>388</v>
      </c>
      <c r="AV55" s="134">
        <v>0.90500000000000003</v>
      </c>
      <c r="AY55" s="134" t="s">
        <v>396</v>
      </c>
      <c r="AZ55" s="134">
        <v>2007</v>
      </c>
      <c r="BA55" s="134">
        <v>1.05</v>
      </c>
      <c r="BB55" s="169">
        <v>1.0416666666666667</v>
      </c>
      <c r="BC55" s="170">
        <v>-0.91175000000000006</v>
      </c>
      <c r="BD55" s="171">
        <v>-0.66649999999999998</v>
      </c>
      <c r="BE55" s="169">
        <f t="shared" si="32"/>
        <v>-0.78912500000000008</v>
      </c>
      <c r="BF55" s="169">
        <v>1.4159999999999999</v>
      </c>
      <c r="BG55" s="169">
        <v>1.2410000000000001</v>
      </c>
      <c r="BH55" s="170">
        <v>1.9119999999999999</v>
      </c>
      <c r="BI55" s="171">
        <v>1.667</v>
      </c>
      <c r="BJ55" s="169">
        <f t="shared" si="33"/>
        <v>1.7894999999999999</v>
      </c>
      <c r="BQ55" s="134" t="s">
        <v>398</v>
      </c>
      <c r="BR55" s="134">
        <v>2009</v>
      </c>
      <c r="BS55" s="164">
        <f t="shared" si="31"/>
        <v>3.4427665782345125</v>
      </c>
      <c r="BV55" s="102">
        <v>14</v>
      </c>
      <c r="BW55" s="158"/>
      <c r="BX55" s="158" t="s">
        <v>463</v>
      </c>
      <c r="BY55" s="158"/>
      <c r="BZ55" s="158"/>
      <c r="CA55" s="167">
        <v>0.96057788365480667</v>
      </c>
      <c r="CB55" s="158"/>
      <c r="CC55" s="168"/>
      <c r="CD55" s="168">
        <v>0.92807391252490223</v>
      </c>
      <c r="CE55" s="168"/>
    </row>
    <row r="56" spans="1:83" s="134" customFormat="1" ht="15" customHeight="1">
      <c r="A56" s="130"/>
      <c r="B56" s="130"/>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6"/>
      <c r="AD56" s="137"/>
      <c r="AE56" s="137"/>
      <c r="AF56" s="138"/>
      <c r="AG56" s="139"/>
      <c r="AH56" s="139"/>
      <c r="AI56" s="139"/>
      <c r="AJ56" s="139"/>
      <c r="AK56" s="139"/>
      <c r="AL56" s="139"/>
      <c r="AM56" s="139"/>
      <c r="AN56" s="139"/>
      <c r="AU56" s="134" t="s">
        <v>390</v>
      </c>
      <c r="AV56" s="134">
        <v>0.91</v>
      </c>
      <c r="AY56" s="134" t="s">
        <v>397</v>
      </c>
      <c r="AZ56" s="130">
        <v>2008</v>
      </c>
      <c r="BA56" s="130">
        <v>1.05</v>
      </c>
      <c r="BB56" s="194">
        <v>1.0416666666666667</v>
      </c>
      <c r="BC56" s="170">
        <v>-0.98262499999999997</v>
      </c>
      <c r="BD56" s="171">
        <v>-0.69724999999999993</v>
      </c>
      <c r="BE56" s="169">
        <f t="shared" si="32"/>
        <v>-0.8399375</v>
      </c>
      <c r="BF56" s="194">
        <v>1.4689999999999999</v>
      </c>
      <c r="BG56" s="194">
        <v>1.264</v>
      </c>
      <c r="BH56" s="170">
        <v>1.9830000000000001</v>
      </c>
      <c r="BI56" s="171">
        <v>1.698</v>
      </c>
      <c r="BJ56" s="169">
        <f t="shared" si="33"/>
        <v>1.8405</v>
      </c>
      <c r="BQ56" s="134" t="s">
        <v>399</v>
      </c>
      <c r="BR56" s="134">
        <v>2010</v>
      </c>
      <c r="BS56" s="164">
        <f t="shared" si="31"/>
        <v>3.478001237702899</v>
      </c>
      <c r="BV56" s="102">
        <v>15</v>
      </c>
      <c r="BW56" s="158"/>
      <c r="BX56" s="158" t="s">
        <v>464</v>
      </c>
      <c r="BY56" s="158"/>
      <c r="BZ56" s="158"/>
      <c r="CA56" s="167">
        <v>0.96863403758777755</v>
      </c>
      <c r="CB56" s="158"/>
      <c r="CC56" s="168"/>
      <c r="CD56" s="168">
        <v>1.118978775210592</v>
      </c>
      <c r="CE56" s="168"/>
    </row>
    <row r="57" spans="1:83" s="134" customFormat="1" ht="15" customHeight="1">
      <c r="A57" s="130"/>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6"/>
      <c r="AD57" s="137"/>
      <c r="AE57" s="137"/>
      <c r="AF57" s="138"/>
      <c r="AG57" s="139"/>
      <c r="AH57" s="139"/>
      <c r="AI57" s="139"/>
      <c r="AJ57" s="139"/>
      <c r="AK57" s="139"/>
      <c r="AL57" s="139"/>
      <c r="AM57" s="139"/>
      <c r="AN57" s="139"/>
      <c r="AU57" s="134" t="s">
        <v>391</v>
      </c>
      <c r="AV57" s="134">
        <v>0.91500000000000004</v>
      </c>
      <c r="AY57" s="134" t="s">
        <v>398</v>
      </c>
      <c r="AZ57" s="130">
        <v>2009</v>
      </c>
      <c r="BA57" s="130">
        <v>1.05</v>
      </c>
      <c r="BB57" s="194">
        <v>1.0416666666666667</v>
      </c>
      <c r="BC57" s="170">
        <v>-1.0535000000000001</v>
      </c>
      <c r="BD57" s="171">
        <v>-0.72799999999999998</v>
      </c>
      <c r="BE57" s="169">
        <f t="shared" si="32"/>
        <v>-0.89075000000000004</v>
      </c>
      <c r="BF57" s="194">
        <v>1.522</v>
      </c>
      <c r="BG57" s="194">
        <v>1.2870000000000001</v>
      </c>
      <c r="BH57" s="170">
        <v>2.0539999999999998</v>
      </c>
      <c r="BI57" s="171">
        <v>1.7290000000000001</v>
      </c>
      <c r="BJ57" s="169">
        <f t="shared" si="33"/>
        <v>1.8915</v>
      </c>
      <c r="BQ57" s="134" t="s">
        <v>400</v>
      </c>
      <c r="BR57" s="134">
        <v>2011</v>
      </c>
      <c r="BS57" s="164">
        <f t="shared" si="31"/>
        <v>3.5109610604478565</v>
      </c>
      <c r="BV57" s="102">
        <v>16</v>
      </c>
      <c r="BW57" s="158"/>
      <c r="BX57" s="158" t="s">
        <v>465</v>
      </c>
      <c r="BY57" s="158"/>
      <c r="BZ57" s="158"/>
      <c r="CA57" s="167">
        <v>0.99259714644330033</v>
      </c>
      <c r="CB57" s="158"/>
      <c r="CC57" s="168"/>
      <c r="CD57" s="168">
        <v>1.0492658286996588</v>
      </c>
      <c r="CE57" s="168"/>
    </row>
    <row r="58" spans="1:83" s="134" customFormat="1" ht="15" customHeight="1">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6"/>
      <c r="AD58" s="137"/>
      <c r="AE58" s="137"/>
      <c r="AF58" s="138"/>
      <c r="AG58" s="139"/>
      <c r="AH58" s="139"/>
      <c r="AI58" s="139"/>
      <c r="AJ58" s="139"/>
      <c r="AK58" s="139"/>
      <c r="AL58" s="139"/>
      <c r="AM58" s="139"/>
      <c r="AN58" s="139"/>
      <c r="AU58" s="134" t="s">
        <v>392</v>
      </c>
      <c r="AV58" s="134">
        <v>0.92</v>
      </c>
      <c r="AY58" s="134" t="s">
        <v>399</v>
      </c>
      <c r="AZ58" s="130">
        <v>2010</v>
      </c>
      <c r="BA58" s="130">
        <v>1.05</v>
      </c>
      <c r="BB58" s="194">
        <v>1.0416666666666667</v>
      </c>
      <c r="BC58" s="170">
        <v>-1.1243750000000001</v>
      </c>
      <c r="BD58" s="171">
        <v>-0.75875000000000004</v>
      </c>
      <c r="BE58" s="169">
        <f t="shared" si="32"/>
        <v>-0.94156250000000008</v>
      </c>
      <c r="BF58" s="194">
        <v>1.575</v>
      </c>
      <c r="BG58" s="194">
        <v>1.31</v>
      </c>
      <c r="BH58" s="170">
        <v>2.125</v>
      </c>
      <c r="BI58" s="171">
        <v>1.76</v>
      </c>
      <c r="BJ58" s="169">
        <f t="shared" si="33"/>
        <v>1.9424999999999999</v>
      </c>
      <c r="BQ58" s="134" t="s">
        <v>401</v>
      </c>
      <c r="BR58" s="134">
        <v>2012</v>
      </c>
      <c r="BS58" s="164">
        <f t="shared" si="31"/>
        <v>3.5419220548095098</v>
      </c>
      <c r="BV58" s="102">
        <v>17</v>
      </c>
      <c r="BW58" s="158"/>
      <c r="BX58" s="158" t="s">
        <v>466</v>
      </c>
      <c r="BY58" s="158"/>
      <c r="BZ58" s="158"/>
      <c r="CA58" s="167">
        <v>0.95217632782109107</v>
      </c>
      <c r="CB58" s="158"/>
      <c r="CC58" s="168"/>
      <c r="CD58" s="168">
        <v>1.0220548682087143</v>
      </c>
      <c r="CE58" s="168"/>
    </row>
    <row r="59" spans="1:83" s="134" customFormat="1" ht="15" customHeight="1">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6"/>
      <c r="AD59" s="137"/>
      <c r="AE59" s="137"/>
      <c r="AF59" s="138"/>
      <c r="AG59" s="139"/>
      <c r="AH59" s="139"/>
      <c r="AI59" s="139"/>
      <c r="AJ59" s="139"/>
      <c r="AK59" s="139"/>
      <c r="AL59" s="139"/>
      <c r="AM59" s="139"/>
      <c r="AN59" s="139"/>
      <c r="AU59" s="134" t="s">
        <v>393</v>
      </c>
      <c r="AV59" s="134">
        <v>0.92500000000000004</v>
      </c>
      <c r="AY59" s="134" t="s">
        <v>400</v>
      </c>
      <c r="AZ59" s="130">
        <v>2011</v>
      </c>
      <c r="BA59" s="130">
        <v>1.05</v>
      </c>
      <c r="BB59" s="194">
        <v>1.0416666666666667</v>
      </c>
      <c r="BC59" s="170">
        <v>-1.1952499999999999</v>
      </c>
      <c r="BD59" s="171">
        <v>-0.78949999999999998</v>
      </c>
      <c r="BE59" s="169">
        <f t="shared" si="32"/>
        <v>-0.99237500000000001</v>
      </c>
      <c r="BF59" s="194">
        <v>1.6279999999999999</v>
      </c>
      <c r="BG59" s="194">
        <v>1.3330000000000002</v>
      </c>
      <c r="BH59" s="170">
        <v>2.1959999999999997</v>
      </c>
      <c r="BI59" s="171">
        <v>1.7909999999999999</v>
      </c>
      <c r="BJ59" s="169">
        <f t="shared" si="33"/>
        <v>1.9934999999999998</v>
      </c>
      <c r="BQ59" s="134" t="s">
        <v>402</v>
      </c>
      <c r="BR59" s="134">
        <v>2013</v>
      </c>
      <c r="BS59" s="164">
        <f t="shared" si="31"/>
        <v>3.5711128567575718</v>
      </c>
      <c r="BV59" s="102">
        <v>18</v>
      </c>
      <c r="BW59" s="158"/>
      <c r="BX59" s="158" t="s">
        <v>467</v>
      </c>
      <c r="BY59" s="158"/>
      <c r="BZ59" s="158"/>
      <c r="CA59" s="167">
        <v>0.97646481113760109</v>
      </c>
      <c r="CB59" s="158"/>
      <c r="CC59" s="168"/>
      <c r="CD59" s="168">
        <v>0.99247899418208807</v>
      </c>
      <c r="CE59" s="168"/>
    </row>
    <row r="60" spans="1:83" s="134" customFormat="1" ht="15" customHeight="1">
      <c r="A60" s="130"/>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6"/>
      <c r="AD60" s="137"/>
      <c r="AE60" s="137"/>
      <c r="AF60" s="138"/>
      <c r="AG60" s="139"/>
      <c r="AH60" s="139"/>
      <c r="AI60" s="139"/>
      <c r="AJ60" s="139"/>
      <c r="AK60" s="139"/>
      <c r="AL60" s="139"/>
      <c r="AM60" s="139"/>
      <c r="AN60" s="139"/>
      <c r="AU60" s="134" t="s">
        <v>394</v>
      </c>
      <c r="AV60" s="134">
        <v>0.93</v>
      </c>
      <c r="AY60" s="134" t="s">
        <v>401</v>
      </c>
      <c r="AZ60" s="130">
        <v>2012</v>
      </c>
      <c r="BA60" s="130">
        <v>1.05</v>
      </c>
      <c r="BB60" s="194">
        <v>1.0416666666666667</v>
      </c>
      <c r="BC60" s="170">
        <v>-1.2661249999999999</v>
      </c>
      <c r="BD60" s="171">
        <v>-0.82024999999999992</v>
      </c>
      <c r="BE60" s="169">
        <f t="shared" si="32"/>
        <v>-1.0431874999999999</v>
      </c>
      <c r="BF60" s="194">
        <v>1.6809999999999998</v>
      </c>
      <c r="BG60" s="194">
        <v>1.3560000000000001</v>
      </c>
      <c r="BH60" s="170">
        <v>2.2669999999999999</v>
      </c>
      <c r="BI60" s="171">
        <v>1.8220000000000001</v>
      </c>
      <c r="BJ60" s="169">
        <f t="shared" si="33"/>
        <v>2.0445000000000002</v>
      </c>
      <c r="BQ60" s="134" t="s">
        <v>403</v>
      </c>
      <c r="BR60" s="134">
        <v>2014</v>
      </c>
      <c r="BS60" s="164">
        <f t="shared" si="31"/>
        <v>3.5987249866603013</v>
      </c>
      <c r="BV60" s="102">
        <v>19</v>
      </c>
      <c r="BW60" s="158"/>
      <c r="BX60" s="158" t="s">
        <v>468</v>
      </c>
      <c r="BY60" s="158"/>
      <c r="BZ60" s="158"/>
      <c r="CA60" s="167">
        <v>0.94704861768783755</v>
      </c>
      <c r="CB60" s="158"/>
      <c r="CC60" s="168"/>
      <c r="CD60" s="168">
        <v>0.97370053233861553</v>
      </c>
      <c r="CE60" s="168"/>
    </row>
    <row r="61" spans="1:83" s="134" customFormat="1" ht="15" customHeight="1">
      <c r="A61" s="130"/>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6"/>
      <c r="AD61" s="137"/>
      <c r="AE61" s="137"/>
      <c r="AF61" s="138"/>
      <c r="AG61" s="139"/>
      <c r="AH61" s="139"/>
      <c r="AI61" s="139"/>
      <c r="AJ61" s="139"/>
      <c r="AK61" s="139"/>
      <c r="AL61" s="139"/>
      <c r="AM61" s="139"/>
      <c r="AN61" s="139"/>
      <c r="AU61" s="134" t="s">
        <v>395</v>
      </c>
      <c r="AV61" s="134">
        <v>0.93500000000000005</v>
      </c>
      <c r="AY61" s="134" t="s">
        <v>402</v>
      </c>
      <c r="AZ61" s="130">
        <v>2013</v>
      </c>
      <c r="BA61" s="130">
        <v>1.05</v>
      </c>
      <c r="BB61" s="194">
        <v>1.0416666666666667</v>
      </c>
      <c r="BC61" s="170">
        <v>-1.337</v>
      </c>
      <c r="BD61" s="171">
        <v>-0.85099999999999998</v>
      </c>
      <c r="BE61" s="169">
        <f t="shared" si="32"/>
        <v>-1.0939999999999999</v>
      </c>
      <c r="BF61" s="194">
        <v>1.734</v>
      </c>
      <c r="BG61" s="194">
        <v>1.379</v>
      </c>
      <c r="BH61" s="170">
        <v>2.3380000000000001</v>
      </c>
      <c r="BI61" s="171">
        <v>1.853</v>
      </c>
      <c r="BJ61" s="169">
        <f t="shared" si="33"/>
        <v>2.0954999999999999</v>
      </c>
      <c r="BQ61" s="134" t="s">
        <v>404</v>
      </c>
      <c r="BR61" s="134">
        <v>2015</v>
      </c>
      <c r="BS61" s="164">
        <f t="shared" si="31"/>
        <v>3.6249204721040234</v>
      </c>
      <c r="BV61" s="102">
        <v>20</v>
      </c>
      <c r="BW61" s="158"/>
      <c r="BX61" s="158" t="s">
        <v>469</v>
      </c>
      <c r="BY61" s="158"/>
      <c r="BZ61" s="158"/>
      <c r="CA61" s="167">
        <v>0.96298534702236271</v>
      </c>
      <c r="CB61" s="158"/>
      <c r="CC61" s="168"/>
      <c r="CD61" s="168">
        <v>0.93610075921114799</v>
      </c>
      <c r="CE61" s="168"/>
    </row>
    <row r="62" spans="1:83" s="134" customFormat="1" ht="15" customHeight="1">
      <c r="A62" s="130"/>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6"/>
      <c r="AD62" s="137"/>
      <c r="AE62" s="137"/>
      <c r="AF62" s="138"/>
      <c r="AG62" s="139"/>
      <c r="AH62" s="139"/>
      <c r="AI62" s="139"/>
      <c r="AJ62" s="139"/>
      <c r="AK62" s="139"/>
      <c r="AL62" s="139"/>
      <c r="AM62" s="139"/>
      <c r="AN62" s="139"/>
      <c r="AU62" s="134" t="s">
        <v>396</v>
      </c>
      <c r="AV62" s="134">
        <v>0.94</v>
      </c>
      <c r="AY62" s="134" t="s">
        <v>403</v>
      </c>
      <c r="AZ62" s="130">
        <v>2014</v>
      </c>
      <c r="BA62" s="130">
        <v>1.05</v>
      </c>
      <c r="BB62" s="194">
        <v>1.0416666666666667</v>
      </c>
      <c r="BC62" s="170">
        <v>-1.407875</v>
      </c>
      <c r="BD62" s="171">
        <v>-0.88175000000000003</v>
      </c>
      <c r="BE62" s="169">
        <f t="shared" si="32"/>
        <v>-1.1448125</v>
      </c>
      <c r="BF62" s="194">
        <v>1.7869999999999999</v>
      </c>
      <c r="BG62" s="194">
        <v>1.4020000000000001</v>
      </c>
      <c r="BH62" s="170">
        <v>2.4089999999999998</v>
      </c>
      <c r="BI62" s="171">
        <v>1.8840000000000001</v>
      </c>
      <c r="BJ62" s="169">
        <f t="shared" si="33"/>
        <v>2.1465000000000001</v>
      </c>
      <c r="BQ62" s="134" t="s">
        <v>405</v>
      </c>
      <c r="BR62" s="134">
        <v>2016</v>
      </c>
      <c r="BS62" s="164">
        <f t="shared" si="31"/>
        <v>3.6498376089453526</v>
      </c>
      <c r="BV62" s="102">
        <v>21</v>
      </c>
      <c r="BW62" s="158"/>
      <c r="BX62" s="158" t="s">
        <v>470</v>
      </c>
      <c r="BY62" s="158"/>
      <c r="BZ62" s="158"/>
      <c r="CA62" s="167">
        <v>0.79882184328592509</v>
      </c>
      <c r="CB62" s="158"/>
      <c r="CC62" s="168"/>
      <c r="CD62" s="168">
        <v>0.97653825464476351</v>
      </c>
      <c r="CE62" s="168"/>
    </row>
    <row r="63" spans="1:83" s="134" customFormat="1" ht="1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6"/>
      <c r="AD63" s="137"/>
      <c r="AE63" s="137"/>
      <c r="AF63" s="138"/>
      <c r="AG63" s="139"/>
      <c r="AH63" s="139"/>
      <c r="AI63" s="139"/>
      <c r="AJ63" s="139"/>
      <c r="AK63" s="139"/>
      <c r="AL63" s="139"/>
      <c r="AM63" s="139"/>
      <c r="AN63" s="139"/>
      <c r="AU63" s="134" t="s">
        <v>397</v>
      </c>
      <c r="AV63" s="134">
        <v>0.94499999999999995</v>
      </c>
      <c r="AY63" s="134" t="s">
        <v>404</v>
      </c>
      <c r="AZ63" s="130">
        <v>2015</v>
      </c>
      <c r="BA63" s="130">
        <v>1.05</v>
      </c>
      <c r="BB63" s="194">
        <v>1.0416666666666667</v>
      </c>
      <c r="BC63" s="170">
        <v>-1.47875</v>
      </c>
      <c r="BD63" s="171">
        <v>-0.91249999999999998</v>
      </c>
      <c r="BE63" s="169">
        <f t="shared" si="32"/>
        <v>-1.1956249999999999</v>
      </c>
      <c r="BF63" s="194">
        <v>1.8399999999999999</v>
      </c>
      <c r="BG63" s="194">
        <v>1.425</v>
      </c>
      <c r="BH63" s="170">
        <v>2.48</v>
      </c>
      <c r="BI63" s="171">
        <v>1.915</v>
      </c>
      <c r="BJ63" s="169">
        <f t="shared" si="33"/>
        <v>2.1974999999999998</v>
      </c>
      <c r="BQ63" s="134" t="s">
        <v>406</v>
      </c>
      <c r="BR63" s="134">
        <v>2017</v>
      </c>
      <c r="BS63" s="164">
        <f t="shared" si="31"/>
        <v>3.6735953809300925</v>
      </c>
      <c r="BV63" s="102">
        <v>22</v>
      </c>
      <c r="BW63" s="158"/>
      <c r="BX63" s="158" t="s">
        <v>471</v>
      </c>
      <c r="BY63" s="158"/>
      <c r="BZ63" s="158"/>
      <c r="CA63" s="167">
        <v>0.8419151042877232</v>
      </c>
      <c r="CB63" s="158"/>
      <c r="CC63" s="168"/>
      <c r="CD63" s="168">
        <v>0.9736526477821672</v>
      </c>
      <c r="CE63" s="168"/>
    </row>
    <row r="64" spans="1:83" s="134" customFormat="1" ht="15" customHeight="1">
      <c r="A64" s="130"/>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6"/>
      <c r="AD64" s="137"/>
      <c r="AE64" s="137"/>
      <c r="AF64" s="138"/>
      <c r="AG64" s="139"/>
      <c r="AH64" s="139"/>
      <c r="AI64" s="139"/>
      <c r="AJ64" s="139"/>
      <c r="AK64" s="139"/>
      <c r="AL64" s="139"/>
      <c r="AM64" s="139"/>
      <c r="AN64" s="139"/>
      <c r="AU64" s="134" t="s">
        <v>398</v>
      </c>
      <c r="AV64" s="134">
        <v>0.95</v>
      </c>
      <c r="AY64" s="195" t="s">
        <v>389</v>
      </c>
      <c r="AZ64" s="195">
        <v>2009</v>
      </c>
      <c r="BA64" s="195">
        <v>1.05</v>
      </c>
      <c r="BB64" s="195">
        <v>1.0416666666666667</v>
      </c>
      <c r="BC64" s="196">
        <v>-1.5496249999999998</v>
      </c>
      <c r="BD64" s="197">
        <v>-0.94324999999999992</v>
      </c>
      <c r="BE64" s="169">
        <f t="shared" si="32"/>
        <v>-1.2464374999999999</v>
      </c>
      <c r="BF64" s="195">
        <v>1.8929999999999998</v>
      </c>
      <c r="BG64" s="195">
        <v>1.448</v>
      </c>
      <c r="BH64" s="196">
        <v>2.5510000000000002</v>
      </c>
      <c r="BI64" s="197">
        <v>1.9460000000000002</v>
      </c>
      <c r="BJ64" s="169">
        <f t="shared" si="33"/>
        <v>2.2484999999999999</v>
      </c>
      <c r="BQ64" s="134" t="s">
        <v>407</v>
      </c>
      <c r="BR64" s="134">
        <v>2018</v>
      </c>
      <c r="BS64" s="164">
        <f t="shared" si="31"/>
        <v>3.6962968960750171</v>
      </c>
      <c r="BV64" s="102">
        <v>23</v>
      </c>
      <c r="BW64" s="158"/>
      <c r="BX64" s="158" t="s">
        <v>472</v>
      </c>
      <c r="BY64" s="158"/>
      <c r="BZ64" s="158"/>
      <c r="CA64" s="167">
        <v>0.80962993050905141</v>
      </c>
      <c r="CB64" s="158"/>
      <c r="CC64" s="168"/>
      <c r="CD64" s="168">
        <v>0.94147331158529979</v>
      </c>
      <c r="CE64" s="168"/>
    </row>
    <row r="65" spans="1:83" s="134" customFormat="1" ht="15" customHeight="1">
      <c r="A65" s="130"/>
      <c r="B65" s="130"/>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6"/>
      <c r="AD65" s="137"/>
      <c r="AE65" s="137"/>
      <c r="AF65" s="138"/>
      <c r="AG65" s="139"/>
      <c r="AH65" s="139"/>
      <c r="AI65" s="139"/>
      <c r="AJ65" s="139"/>
      <c r="AK65" s="139"/>
      <c r="AL65" s="139"/>
      <c r="AM65" s="139"/>
      <c r="AN65" s="139"/>
      <c r="AU65" s="134" t="s">
        <v>399</v>
      </c>
      <c r="AV65" s="134">
        <v>0.95499999999999996</v>
      </c>
      <c r="AZ65" s="130">
        <v>2016</v>
      </c>
      <c r="BA65" s="130">
        <v>1.05</v>
      </c>
      <c r="BB65" s="194">
        <v>1.0416666666666667</v>
      </c>
      <c r="BC65" s="170">
        <v>-1.6204999999999998</v>
      </c>
      <c r="BD65" s="171">
        <v>-0.97399999999999998</v>
      </c>
      <c r="BE65" s="169">
        <f t="shared" si="32"/>
        <v>-1.29725</v>
      </c>
      <c r="BF65" s="194">
        <v>1.9459999999999997</v>
      </c>
      <c r="BG65" s="194">
        <v>1.4710000000000001</v>
      </c>
      <c r="BH65" s="170">
        <v>2.6219999999999999</v>
      </c>
      <c r="BI65" s="171">
        <v>1.9770000000000001</v>
      </c>
      <c r="BJ65" s="169">
        <f t="shared" si="33"/>
        <v>2.2995000000000001</v>
      </c>
      <c r="BR65" s="134">
        <v>2019</v>
      </c>
      <c r="BS65" s="164">
        <f t="shared" si="31"/>
        <v>3.7180320911586962</v>
      </c>
      <c r="BV65" s="102">
        <v>24</v>
      </c>
      <c r="BW65" s="158"/>
      <c r="BX65" s="158" t="s">
        <v>473</v>
      </c>
      <c r="BY65" s="158"/>
      <c r="BZ65" s="158"/>
      <c r="CA65" s="167">
        <v>0.780155504176134</v>
      </c>
      <c r="CB65" s="158"/>
      <c r="CC65" s="168"/>
      <c r="CD65" s="168">
        <v>0.92814032633148691</v>
      </c>
      <c r="CE65" s="168"/>
    </row>
    <row r="66" spans="1:83" s="134" customFormat="1" ht="15" customHeight="1">
      <c r="A66" s="130"/>
      <c r="B66" s="130"/>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6"/>
      <c r="AD66" s="137"/>
      <c r="AE66" s="137"/>
      <c r="AF66" s="138"/>
      <c r="AG66" s="139"/>
      <c r="AH66" s="139"/>
      <c r="AI66" s="139"/>
      <c r="AJ66" s="139"/>
      <c r="AK66" s="139"/>
      <c r="AL66" s="139"/>
      <c r="AM66" s="139"/>
      <c r="AN66" s="139"/>
      <c r="AU66" s="134" t="s">
        <v>400</v>
      </c>
      <c r="AV66" s="134">
        <v>0.96</v>
      </c>
      <c r="AZ66" s="130">
        <v>2017</v>
      </c>
      <c r="BA66" s="130">
        <v>1.05</v>
      </c>
      <c r="BB66" s="194">
        <v>1.0416666666666667</v>
      </c>
      <c r="BC66" s="170">
        <v>-1.6913749999999999</v>
      </c>
      <c r="BD66" s="171">
        <v>-1.00475</v>
      </c>
      <c r="BE66" s="169">
        <f t="shared" si="32"/>
        <v>-1.3480624999999999</v>
      </c>
      <c r="BF66" s="194">
        <v>1.9989999999999997</v>
      </c>
      <c r="BG66" s="194">
        <v>1.494</v>
      </c>
      <c r="BH66" s="170">
        <v>2.6930000000000001</v>
      </c>
      <c r="BI66" s="171">
        <v>2.008</v>
      </c>
      <c r="BJ66" s="169">
        <f t="shared" si="33"/>
        <v>2.3505000000000003</v>
      </c>
      <c r="BR66" s="134">
        <v>2020</v>
      </c>
      <c r="BS66" s="164">
        <f t="shared" si="31"/>
        <v>3.7388798837601902</v>
      </c>
      <c r="BV66" s="102">
        <v>25</v>
      </c>
      <c r="BW66" s="158"/>
      <c r="BX66" s="158" t="s">
        <v>474</v>
      </c>
      <c r="BY66" s="158"/>
      <c r="BZ66" s="158"/>
      <c r="CA66" s="167">
        <v>0.7451755703503955</v>
      </c>
      <c r="CB66" s="158"/>
      <c r="CC66" s="168"/>
      <c r="CD66" s="168">
        <v>0.93344811097140146</v>
      </c>
      <c r="CE66" s="168"/>
    </row>
    <row r="67" spans="1:83" s="134" customFormat="1" ht="15" customHeight="1">
      <c r="A67" s="130"/>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6"/>
      <c r="AD67" s="137"/>
      <c r="AE67" s="137"/>
      <c r="AF67" s="138"/>
      <c r="AG67" s="139"/>
      <c r="AH67" s="139"/>
      <c r="AI67" s="139"/>
      <c r="AJ67" s="139"/>
      <c r="AK67" s="139"/>
      <c r="AL67" s="139"/>
      <c r="AM67" s="139"/>
      <c r="AN67" s="139"/>
      <c r="AU67" s="134" t="s">
        <v>401</v>
      </c>
      <c r="AV67" s="134">
        <v>0.96499999999999997</v>
      </c>
      <c r="AZ67" s="130">
        <v>2018</v>
      </c>
      <c r="BA67" s="130">
        <v>1.05</v>
      </c>
      <c r="BB67" s="194">
        <v>1.0416666666666667</v>
      </c>
      <c r="BC67" s="198">
        <v>-1.7036249999999999</v>
      </c>
      <c r="BD67" s="199">
        <v>-1.0661250000000002</v>
      </c>
      <c r="BE67" s="169">
        <f t="shared" si="32"/>
        <v>-1.3848750000000001</v>
      </c>
      <c r="BF67" s="194">
        <v>2.0110000000000001</v>
      </c>
      <c r="BG67" s="194">
        <v>1.5427499999999998</v>
      </c>
      <c r="BH67" s="198">
        <v>2.7087499999999998</v>
      </c>
      <c r="BI67" s="199">
        <v>2.0732499999999998</v>
      </c>
      <c r="BJ67" s="169">
        <f t="shared" si="33"/>
        <v>2.391</v>
      </c>
      <c r="BV67" s="102">
        <v>26</v>
      </c>
      <c r="BW67" s="158"/>
      <c r="BX67" s="158" t="s">
        <v>475</v>
      </c>
      <c r="BY67" s="158"/>
      <c r="BZ67" s="158"/>
      <c r="CA67" s="167">
        <v>0.71275927142585815</v>
      </c>
      <c r="CB67" s="158"/>
      <c r="CC67" s="168"/>
      <c r="CD67" s="168">
        <v>0.94950037923045139</v>
      </c>
      <c r="CE67" s="168"/>
    </row>
    <row r="68" spans="1:83" s="134" customFormat="1" ht="15" customHeight="1">
      <c r="A68" s="130"/>
      <c r="B68" s="130"/>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6"/>
      <c r="AD68" s="137"/>
      <c r="AE68" s="137"/>
      <c r="AF68" s="138"/>
      <c r="AG68" s="139"/>
      <c r="AH68" s="139"/>
      <c r="AI68" s="139"/>
      <c r="AJ68" s="139"/>
      <c r="AK68" s="139"/>
      <c r="AL68" s="139"/>
      <c r="AM68" s="139"/>
      <c r="AN68" s="139"/>
      <c r="AU68" s="134" t="s">
        <v>402</v>
      </c>
      <c r="AV68" s="134">
        <v>0.97</v>
      </c>
      <c r="AZ68" s="130"/>
      <c r="BA68" s="130"/>
      <c r="BB68" s="130"/>
      <c r="BC68" s="130"/>
      <c r="BD68" s="130"/>
      <c r="BE68" s="130"/>
      <c r="BF68" s="130"/>
      <c r="BG68" s="130"/>
      <c r="BH68" s="130"/>
      <c r="BV68" s="102">
        <v>27</v>
      </c>
      <c r="BW68" s="158"/>
      <c r="BX68" s="158" t="s">
        <v>476</v>
      </c>
      <c r="BY68" s="158"/>
      <c r="BZ68" s="158"/>
      <c r="CA68" s="167">
        <v>0.71006322910179942</v>
      </c>
      <c r="CB68" s="158"/>
      <c r="CC68" s="168"/>
      <c r="CD68" s="168">
        <v>0.95485753895141123</v>
      </c>
      <c r="CE68" s="168"/>
    </row>
    <row r="69" spans="1:83" s="134" customFormat="1" ht="15" customHeight="1">
      <c r="A69" s="130"/>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6"/>
      <c r="AD69" s="137"/>
      <c r="AE69" s="137"/>
      <c r="AF69" s="138"/>
      <c r="AG69" s="139"/>
      <c r="AH69" s="139"/>
      <c r="AI69" s="139"/>
      <c r="AJ69" s="139"/>
      <c r="AK69" s="139"/>
      <c r="AL69" s="139"/>
      <c r="AM69" s="139"/>
      <c r="AN69" s="139"/>
      <c r="AU69" s="134" t="s">
        <v>403</v>
      </c>
      <c r="AV69" s="134">
        <v>0.97499999999999998</v>
      </c>
      <c r="AZ69" s="130"/>
      <c r="BA69" s="130"/>
      <c r="BB69" s="130"/>
      <c r="BC69" s="130"/>
      <c r="BD69" s="130"/>
      <c r="BE69" s="130"/>
      <c r="BF69" s="130"/>
      <c r="BG69" s="130"/>
      <c r="BH69" s="130"/>
    </row>
    <row r="70" spans="1:83" ht="15" customHeight="1">
      <c r="AC70" s="200"/>
      <c r="AF70" s="201"/>
      <c r="AR70" s="134"/>
      <c r="AS70" s="134"/>
      <c r="AU70" s="130" t="s">
        <v>404</v>
      </c>
      <c r="AV70" s="130">
        <v>0.98</v>
      </c>
    </row>
    <row r="71" spans="1:83">
      <c r="AC71" s="203"/>
      <c r="AR71" s="134"/>
      <c r="AU71" s="130" t="s">
        <v>405</v>
      </c>
      <c r="AV71" s="130">
        <v>0.98499999999999999</v>
      </c>
    </row>
    <row r="72" spans="1:83" ht="16.5" customHeight="1">
      <c r="AC72" s="203"/>
      <c r="AR72" s="202"/>
      <c r="AU72" s="130" t="s">
        <v>406</v>
      </c>
      <c r="AV72" s="130">
        <v>0.99</v>
      </c>
    </row>
    <row r="73" spans="1:83" ht="13.5" customHeight="1">
      <c r="AC73" s="203"/>
      <c r="AU73" s="130" t="s">
        <v>407</v>
      </c>
      <c r="AV73" s="130">
        <v>0.995</v>
      </c>
    </row>
    <row r="74" spans="1:83" ht="13.5" customHeight="1">
      <c r="AC74" s="133"/>
    </row>
    <row r="75" spans="1:83" ht="13.5" customHeight="1">
      <c r="AC75" s="203"/>
    </row>
    <row r="76" spans="1:83" ht="13.5" customHeight="1">
      <c r="AC76" s="204"/>
    </row>
    <row r="77" spans="1:83" ht="13.5" customHeight="1">
      <c r="AC77" s="204"/>
      <c r="AU77" s="130" t="s">
        <v>408</v>
      </c>
      <c r="AV77" s="130">
        <v>0.70499999999999996</v>
      </c>
    </row>
    <row r="78" spans="1:83" ht="13.5" customHeight="1"/>
    <row r="79" spans="1:83" ht="13.5" customHeight="1">
      <c r="AC79" s="203"/>
    </row>
    <row r="80" spans="1:83" ht="13.5" customHeight="1">
      <c r="AC80" s="205"/>
    </row>
    <row r="81" spans="29:48" ht="13.5" customHeight="1">
      <c r="AC81" s="205"/>
    </row>
    <row r="82" spans="29:48" ht="13.5" customHeight="1"/>
    <row r="83" spans="29:48" ht="13.5" customHeight="1"/>
    <row r="85" spans="29:48" ht="13.5" customHeight="1"/>
    <row r="86" spans="29:48" ht="14.25" customHeight="1"/>
    <row r="89" spans="29:48">
      <c r="AU89" s="130" t="s">
        <v>409</v>
      </c>
      <c r="AV89" s="130">
        <v>1</v>
      </c>
    </row>
  </sheetData>
  <sheetProtection algorithmName="SHA-512" hashValue="4B/fAN4Tvht7SUvpsOIiYWBgXgBixZlk1Xl/VcLfSA2fgZLT9UI8ueeJdAvMCL17zJb/jwPeLax6kuvKGLLCkA==" saltValue="EDPzMdhT8BY0IqYsMoUqMA==" spinCount="100000" sheet="1" formatCells="0"/>
  <sortState ref="BR27:BU33">
    <sortCondition descending="1" ref="BS27:BS33"/>
    <sortCondition descending="1" ref="BU27:BU33"/>
  </sortState>
  <mergeCells count="23">
    <mergeCell ref="G7:H7"/>
    <mergeCell ref="G8:H8"/>
    <mergeCell ref="Q18:Q19"/>
    <mergeCell ref="AA16:AB17"/>
    <mergeCell ref="S5:AB5"/>
    <mergeCell ref="P7:AB12"/>
    <mergeCell ref="P5:R5"/>
    <mergeCell ref="T3:AB3"/>
    <mergeCell ref="A16:A18"/>
    <mergeCell ref="B5:C5"/>
    <mergeCell ref="B6:C6"/>
    <mergeCell ref="B7:C7"/>
    <mergeCell ref="B8:C8"/>
    <mergeCell ref="I5:J5"/>
    <mergeCell ref="I6:J6"/>
    <mergeCell ref="I7:J7"/>
    <mergeCell ref="I8:J8"/>
    <mergeCell ref="E5:F5"/>
    <mergeCell ref="G5:H5"/>
    <mergeCell ref="E6:F6"/>
    <mergeCell ref="E7:F7"/>
    <mergeCell ref="E8:F8"/>
    <mergeCell ref="G6:H6"/>
  </mergeCells>
  <phoneticPr fontId="3"/>
  <conditionalFormatting sqref="A15">
    <cfRule type="expression" dxfId="106" priority="19">
      <formula>$AE$19&lt;&gt;2</formula>
    </cfRule>
  </conditionalFormatting>
  <conditionalFormatting sqref="A15">
    <cfRule type="expression" dxfId="105" priority="18">
      <formula>$AE$19=2</formula>
    </cfRule>
  </conditionalFormatting>
  <conditionalFormatting sqref="E8 G8 K6:K8">
    <cfRule type="expression" dxfId="104" priority="11">
      <formula>$E$3="なし"</formula>
    </cfRule>
  </conditionalFormatting>
  <conditionalFormatting sqref="C20">
    <cfRule type="expression" dxfId="103" priority="6">
      <formula>$F$3="なし"</formula>
    </cfRule>
  </conditionalFormatting>
  <conditionalFormatting sqref="Y20">
    <cfRule type="expression" dxfId="102" priority="5">
      <formula>$F$3="なし"</formula>
    </cfRule>
  </conditionalFormatting>
  <conditionalFormatting sqref="S21">
    <cfRule type="expression" dxfId="101" priority="2">
      <formula>$S$21-$F$21&gt;0</formula>
    </cfRule>
  </conditionalFormatting>
  <conditionalFormatting sqref="V21">
    <cfRule type="expression" dxfId="100" priority="1">
      <formula>$V$21-$J$21&gt;0</formula>
    </cfRule>
  </conditionalFormatting>
  <conditionalFormatting sqref="P7:Q12">
    <cfRule type="expression" dxfId="99" priority="147">
      <formula>OR(F21&lt;S21,J21&lt;V21)</formula>
    </cfRule>
  </conditionalFormatting>
  <conditionalFormatting sqref="R7:AB12">
    <cfRule type="expression" dxfId="98" priority="148">
      <formula>OR(G21&lt;T21,K21&lt;W21)</formula>
    </cfRule>
  </conditionalFormatting>
  <dataValidations count="6">
    <dataValidation type="whole" allowBlank="1" showInputMessage="1" showErrorMessage="1" sqref="R20" xr:uid="{83F7C48E-8FE0-4A79-8ED4-45BDBC704C5D}">
      <formula1>0</formula1>
      <formula2>D20</formula2>
    </dataValidation>
    <dataValidation type="list" allowBlank="1" showInputMessage="1" showErrorMessage="1" sqref="C20" xr:uid="{226C7C00-41D4-486F-AD2C-F6BABABF39FC}">
      <formula1>$AU$49:$AU$73</formula1>
    </dataValidation>
    <dataValidation type="list" allowBlank="1" showInputMessage="1" showErrorMessage="1" sqref="E20" xr:uid="{32FF2DAA-45E1-4EA0-A2B3-7925D1C141B6}">
      <formula1>"インバータ"</formula1>
    </dataValidation>
    <dataValidation type="decimal" allowBlank="1" showInputMessage="1" showErrorMessage="1" error="最大24時間までの数値記入" sqref="R15:S15" xr:uid="{8FD1E7E3-6163-4E20-8172-2D330B5FB839}">
      <formula1>1</formula1>
      <formula2>24</formula2>
    </dataValidation>
    <dataValidation type="list" allowBlank="1" showInputMessage="1" showErrorMessage="1" sqref="E22:E41" xr:uid="{0B22266C-F647-49F8-99E2-676701973D15}">
      <formula1>"インバータ,無し"</formula1>
    </dataValidation>
    <dataValidation type="list" allowBlank="1" showInputMessage="1" showErrorMessage="1" error="対象は2009年までです。それ以降は対象となりません。" sqref="C22:C41" xr:uid="{BA1AD496-0056-4279-B750-5D2218D23E63}">
      <formula1>$AY$43:$AY$57</formula1>
    </dataValidation>
  </dataValidations>
  <printOptions horizontalCentered="1"/>
  <pageMargins left="0.59055118110236227" right="0.59055118110236227" top="0.48" bottom="0" header="0.31496062992125984" footer="0.31496062992125984"/>
  <pageSetup paperSize="9" scale="80" orientation="landscape" r:id="rId1"/>
  <headerFooter>
    <oddHeader>&amp;L&amp;10様式第1-1号（別紙）&amp;C&amp;10R5年度_《緊急予算枠》_CO₂削減量算定シート</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19A4C66-36DE-4E31-B68B-D8779DB3813F}">
          <x14:formula1>
            <xm:f>記入方法!$X$18:$X$20</xm:f>
          </x14:formula1>
          <xm:sqref>Q22:Q41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E1715-30EC-4C10-ABE3-16EAB9CC1B92}">
  <sheetPr codeName="Sheet4">
    <tabColor rgb="FF00B0F0"/>
    <pageSetUpPr fitToPage="1"/>
  </sheetPr>
  <dimension ref="A1:BX97"/>
  <sheetViews>
    <sheetView showGridLines="0" view="pageBreakPreview" topLeftCell="O15" zoomScaleNormal="100" zoomScaleSheetLayoutView="100" workbookViewId="0">
      <selection activeCell="M27" sqref="M27"/>
    </sheetView>
  </sheetViews>
  <sheetFormatPr defaultColWidth="9" defaultRowHeight="18.75"/>
  <cols>
    <col min="1" max="1" width="3.25" style="130" customWidth="1"/>
    <col min="2" max="2" width="14.125" style="130" customWidth="1"/>
    <col min="3" max="3" width="5.625" style="130" customWidth="1"/>
    <col min="4" max="4" width="4.5" style="130" customWidth="1"/>
    <col min="5" max="6" width="5.625" style="130" customWidth="1"/>
    <col min="7" max="7" width="6.375" style="130" customWidth="1"/>
    <col min="8" max="14" width="5.625" style="130" customWidth="1"/>
    <col min="15" max="16" width="7.5" style="130" customWidth="1"/>
    <col min="17" max="17" width="5.625" style="130" customWidth="1"/>
    <col min="18" max="18" width="14.25" style="130" customWidth="1"/>
    <col min="19" max="19" width="5.125" style="130" customWidth="1"/>
    <col min="20" max="20" width="4.75" style="130" customWidth="1"/>
    <col min="21" max="23" width="5.625" style="130" customWidth="1"/>
    <col min="24" max="24" width="5.625" style="130" hidden="1" customWidth="1"/>
    <col min="25" max="27" width="5.625" style="130" customWidth="1"/>
    <col min="28" max="28" width="5.625" style="130" hidden="1" customWidth="1"/>
    <col min="29" max="30" width="7.375" style="130" customWidth="1"/>
    <col min="31" max="31" width="7.125" style="130" customWidth="1"/>
    <col min="32" max="33" width="8" style="130" customWidth="1"/>
    <col min="34" max="34" width="7.375" style="130" customWidth="1"/>
    <col min="35" max="35" width="3.875" style="130" hidden="1" customWidth="1"/>
    <col min="36" max="37" width="3.25" style="130" hidden="1" customWidth="1"/>
    <col min="38" max="39" width="9" style="130" hidden="1" customWidth="1"/>
    <col min="40" max="40" width="5.25" style="130" hidden="1" customWidth="1"/>
    <col min="41" max="42" width="6.875" style="130" hidden="1" customWidth="1"/>
    <col min="43" max="43" width="10.125" style="130" hidden="1" customWidth="1"/>
    <col min="44" max="44" width="8.375" style="130" hidden="1" customWidth="1"/>
    <col min="45" max="46" width="6.875" style="130" hidden="1" customWidth="1"/>
    <col min="47" max="47" width="5" style="130" hidden="1" customWidth="1"/>
    <col min="48" max="49" width="9" style="130" hidden="1" customWidth="1"/>
    <col min="50" max="50" width="9.5" style="130" hidden="1" customWidth="1"/>
    <col min="51" max="76" width="9" style="130" hidden="1" customWidth="1"/>
    <col min="77" max="77" width="9" style="130" customWidth="1"/>
    <col min="78" max="16384" width="9" style="130"/>
  </cols>
  <sheetData>
    <row r="1" spans="1:49" hidden="1">
      <c r="B1" s="130" t="s">
        <v>936</v>
      </c>
      <c r="C1" s="130" t="s">
        <v>938</v>
      </c>
      <c r="D1" s="130" t="s">
        <v>4</v>
      </c>
      <c r="E1" s="130" t="s">
        <v>941</v>
      </c>
      <c r="F1" s="130" t="s">
        <v>943</v>
      </c>
      <c r="G1" s="130" t="s">
        <v>938</v>
      </c>
      <c r="H1" s="130" t="s">
        <v>4</v>
      </c>
      <c r="J1" s="130" t="s">
        <v>941</v>
      </c>
      <c r="W1" s="130" t="s">
        <v>945</v>
      </c>
      <c r="X1" s="130" t="s">
        <v>947</v>
      </c>
    </row>
    <row r="2" spans="1:49" hidden="1">
      <c r="B2" s="130">
        <f>E8</f>
        <v>0</v>
      </c>
      <c r="C2" s="130">
        <f>G8</f>
        <v>0</v>
      </c>
      <c r="D2" s="130">
        <f>I8</f>
        <v>0</v>
      </c>
      <c r="E2" s="130">
        <f>K8</f>
        <v>0</v>
      </c>
      <c r="F2" s="130">
        <f>E9</f>
        <v>0</v>
      </c>
      <c r="G2" s="130">
        <f>G9</f>
        <v>0</v>
      </c>
      <c r="H2" s="130">
        <f>I9</f>
        <v>0</v>
      </c>
      <c r="J2" s="130">
        <f>K9</f>
        <v>0</v>
      </c>
      <c r="W2" s="130" t="str">
        <f>U5</f>
        <v/>
      </c>
      <c r="X2" s="130">
        <f>R7</f>
        <v>0</v>
      </c>
    </row>
    <row r="3" spans="1:49" ht="28.5" customHeight="1">
      <c r="A3" s="67" t="s">
        <v>491</v>
      </c>
      <c r="Z3" s="1037">
        <f>CO２削減量算定シート!O7</f>
        <v>0</v>
      </c>
      <c r="AA3" s="1038"/>
      <c r="AB3" s="1038"/>
      <c r="AC3" s="1038"/>
      <c r="AD3" s="1038"/>
      <c r="AE3" s="1038"/>
      <c r="AF3" s="1038"/>
      <c r="AG3" s="1038"/>
      <c r="AH3" s="1039"/>
    </row>
    <row r="4" spans="1:49">
      <c r="A4" s="129" t="s">
        <v>308</v>
      </c>
      <c r="B4" s="1"/>
      <c r="C4" s="1"/>
      <c r="D4" s="1"/>
      <c r="E4" s="1"/>
      <c r="F4" s="1"/>
      <c r="G4" s="1"/>
      <c r="H4" s="6"/>
      <c r="I4" s="6"/>
      <c r="J4" s="1"/>
      <c r="P4" s="248"/>
      <c r="R4" s="105" t="s">
        <v>310</v>
      </c>
      <c r="S4" s="105"/>
      <c r="T4" s="69"/>
      <c r="U4" s="468" t="s">
        <v>719</v>
      </c>
      <c r="V4" s="105"/>
      <c r="X4" s="104"/>
      <c r="Z4" s="68"/>
      <c r="AA4" s="68"/>
      <c r="AB4" s="68"/>
      <c r="AC4" s="68"/>
      <c r="AD4" s="68"/>
    </row>
    <row r="5" spans="1:49" ht="20.100000000000001" customHeight="1">
      <c r="A5" s="1"/>
      <c r="B5" s="980" t="s">
        <v>0</v>
      </c>
      <c r="C5" s="1034"/>
      <c r="D5" s="64" t="s">
        <v>1</v>
      </c>
      <c r="E5" s="986" t="s">
        <v>2</v>
      </c>
      <c r="F5" s="987"/>
      <c r="G5" s="986" t="s">
        <v>3</v>
      </c>
      <c r="H5" s="987"/>
      <c r="I5" s="983" t="s">
        <v>4</v>
      </c>
      <c r="J5" s="983"/>
      <c r="K5" s="210" t="s">
        <v>5</v>
      </c>
      <c r="P5" s="249"/>
      <c r="R5" s="1010" t="s">
        <v>11</v>
      </c>
      <c r="S5" s="1011"/>
      <c r="T5" s="1012"/>
      <c r="U5" s="998" t="str">
        <f>IF(AF29="","",IF(OR(E29&lt;U29,J29&lt;Y29),"定格出力が増加しています。下蘭に事由を記載してください。",""))</f>
        <v/>
      </c>
      <c r="V5" s="999"/>
      <c r="W5" s="999"/>
      <c r="X5" s="999"/>
      <c r="Y5" s="999"/>
      <c r="Z5" s="999"/>
      <c r="AA5" s="999"/>
      <c r="AB5" s="999"/>
      <c r="AC5" s="999"/>
      <c r="AD5" s="999"/>
      <c r="AE5" s="999"/>
      <c r="AF5" s="999"/>
      <c r="AG5" s="999"/>
      <c r="AH5" s="1000"/>
      <c r="AM5" s="130" t="s">
        <v>1013</v>
      </c>
      <c r="AP5" s="130" t="s">
        <v>504</v>
      </c>
      <c r="AQ5" s="243" t="s">
        <v>503</v>
      </c>
      <c r="AR5" s="130" t="s">
        <v>502</v>
      </c>
    </row>
    <row r="6" spans="1:49" ht="20.100000000000001" customHeight="1">
      <c r="A6" s="1"/>
      <c r="B6" s="980" t="s">
        <v>7</v>
      </c>
      <c r="C6" s="1034"/>
      <c r="D6" s="119" t="s">
        <v>8</v>
      </c>
      <c r="E6" s="988">
        <f>O29</f>
        <v>0</v>
      </c>
      <c r="F6" s="989"/>
      <c r="G6" s="988">
        <f>AC29</f>
        <v>0</v>
      </c>
      <c r="H6" s="989"/>
      <c r="I6" s="984">
        <f>E6-G6</f>
        <v>0</v>
      </c>
      <c r="J6" s="984"/>
      <c r="K6" s="416">
        <f>IFERROR(I6/E6,0)</f>
        <v>0</v>
      </c>
      <c r="P6" s="250"/>
      <c r="R6" s="18" t="s">
        <v>6</v>
      </c>
      <c r="S6" s="17"/>
      <c r="T6" s="107"/>
      <c r="U6" s="107"/>
      <c r="V6" s="107"/>
      <c r="W6" s="107"/>
      <c r="X6" s="107"/>
      <c r="Y6" s="107"/>
      <c r="Z6" s="107"/>
      <c r="AA6" s="107"/>
      <c r="AB6" s="107"/>
      <c r="AC6" s="107"/>
      <c r="AD6" s="107"/>
      <c r="AE6" s="107"/>
      <c r="AF6" s="107"/>
      <c r="AG6" s="107"/>
      <c r="AH6" s="108"/>
      <c r="AM6" s="130" t="s">
        <v>591</v>
      </c>
      <c r="AP6" s="130">
        <v>45</v>
      </c>
      <c r="AR6" s="130">
        <v>2.2439999999999999E-3</v>
      </c>
      <c r="AT6" s="130">
        <v>2.2440000000000003E-3</v>
      </c>
      <c r="AV6" s="130">
        <v>43.5</v>
      </c>
      <c r="AW6" s="244">
        <v>2.1692999999999998</v>
      </c>
    </row>
    <row r="7" spans="1:49" ht="20.100000000000001" customHeight="1">
      <c r="A7" s="1"/>
      <c r="B7" s="980" t="s">
        <v>229</v>
      </c>
      <c r="C7" s="1034"/>
      <c r="D7" s="119" t="s">
        <v>517</v>
      </c>
      <c r="E7" s="988">
        <f>P29</f>
        <v>0</v>
      </c>
      <c r="F7" s="989"/>
      <c r="G7" s="1035">
        <f>AD29</f>
        <v>0</v>
      </c>
      <c r="H7" s="1036"/>
      <c r="I7" s="1027">
        <f>IF(AL13=TRUE,"",E7-G7)</f>
        <v>0</v>
      </c>
      <c r="J7" s="1027"/>
      <c r="K7" s="416">
        <f>IFERROR(I7/E7,0)</f>
        <v>0</v>
      </c>
      <c r="L7" s="1020" t="str">
        <f>IF(AL13=TRUE,"注：燃転や燃料単位が異なっている場合は燃料削減量等は表示されません","")</f>
        <v/>
      </c>
      <c r="M7" s="1021"/>
      <c r="N7" s="1021"/>
      <c r="O7" s="1021"/>
      <c r="P7" s="1021"/>
      <c r="R7" s="1001"/>
      <c r="S7" s="1002"/>
      <c r="T7" s="1002"/>
      <c r="U7" s="1002"/>
      <c r="V7" s="1002"/>
      <c r="W7" s="1002"/>
      <c r="X7" s="1002"/>
      <c r="Y7" s="1002"/>
      <c r="Z7" s="1002"/>
      <c r="AA7" s="1002"/>
      <c r="AB7" s="1002"/>
      <c r="AC7" s="1002"/>
      <c r="AD7" s="1002"/>
      <c r="AE7" s="1002"/>
      <c r="AF7" s="1002"/>
      <c r="AG7" s="1002"/>
      <c r="AH7" s="1003"/>
      <c r="AM7" s="130" t="s">
        <v>497</v>
      </c>
      <c r="AP7" s="130">
        <v>101.2</v>
      </c>
      <c r="AQ7" s="130">
        <v>502</v>
      </c>
      <c r="AR7" s="244">
        <v>5.9740000000000001E-3</v>
      </c>
      <c r="AV7" s="130">
        <v>43.07</v>
      </c>
      <c r="AW7" s="244">
        <v>2.1478000000000002</v>
      </c>
    </row>
    <row r="8" spans="1:49" ht="20.100000000000001" customHeight="1">
      <c r="A8" s="1"/>
      <c r="B8" s="980" t="s">
        <v>9</v>
      </c>
      <c r="C8" s="1034"/>
      <c r="D8" s="119" t="s">
        <v>479</v>
      </c>
      <c r="E8" s="1024">
        <f>Q29</f>
        <v>0</v>
      </c>
      <c r="F8" s="1025"/>
      <c r="G8" s="1024">
        <f>AE29</f>
        <v>0</v>
      </c>
      <c r="H8" s="1025"/>
      <c r="I8" s="1028">
        <f>E8-G8</f>
        <v>0</v>
      </c>
      <c r="J8" s="1028"/>
      <c r="K8" s="416">
        <f>IFERROR(I8/E8,0)</f>
        <v>0</v>
      </c>
      <c r="L8" s="1020"/>
      <c r="M8" s="1021"/>
      <c r="N8" s="1021"/>
      <c r="O8" s="1021"/>
      <c r="P8" s="1021"/>
      <c r="R8" s="1004"/>
      <c r="S8" s="1005"/>
      <c r="T8" s="1005"/>
      <c r="U8" s="1005"/>
      <c r="V8" s="1005"/>
      <c r="W8" s="1005"/>
      <c r="X8" s="1005"/>
      <c r="Y8" s="1005"/>
      <c r="Z8" s="1005"/>
      <c r="AA8" s="1005"/>
      <c r="AB8" s="1005"/>
      <c r="AC8" s="1005"/>
      <c r="AD8" s="1005"/>
      <c r="AE8" s="1005"/>
      <c r="AF8" s="1005"/>
      <c r="AG8" s="1005"/>
      <c r="AH8" s="1006"/>
      <c r="AM8" s="130" t="s">
        <v>499</v>
      </c>
      <c r="AP8" s="130">
        <v>143.1</v>
      </c>
      <c r="AQ8" s="130">
        <v>355</v>
      </c>
      <c r="AR8" s="244">
        <v>8.9519999999999999E-3</v>
      </c>
    </row>
    <row r="9" spans="1:49" ht="20.100000000000001" customHeight="1">
      <c r="A9" s="1"/>
      <c r="B9" s="980" t="s">
        <v>12</v>
      </c>
      <c r="C9" s="1034"/>
      <c r="D9" s="278" t="s">
        <v>13</v>
      </c>
      <c r="E9" s="1022">
        <f>E6*'CO₂係数 '!$C$33*0.0000258+E7*AP11*0.0000258</f>
        <v>0</v>
      </c>
      <c r="F9" s="1023"/>
      <c r="G9" s="1022">
        <f>G6*'CO₂係数 '!$C$33*0.0000258+G7*AP20*0.0000258</f>
        <v>0</v>
      </c>
      <c r="H9" s="1023"/>
      <c r="I9" s="1028">
        <f>E9-G9</f>
        <v>0</v>
      </c>
      <c r="J9" s="1028"/>
      <c r="K9" s="416">
        <f>IFERROR(I9/E9,0)</f>
        <v>0</v>
      </c>
      <c r="P9" s="251"/>
      <c r="R9" s="1004"/>
      <c r="S9" s="1005"/>
      <c r="T9" s="1005"/>
      <c r="U9" s="1005"/>
      <c r="V9" s="1005"/>
      <c r="W9" s="1005"/>
      <c r="X9" s="1005"/>
      <c r="Y9" s="1005"/>
      <c r="Z9" s="1005"/>
      <c r="AA9" s="1005"/>
      <c r="AB9" s="1005"/>
      <c r="AC9" s="1005"/>
      <c r="AD9" s="1005"/>
      <c r="AE9" s="1005"/>
      <c r="AF9" s="1005"/>
      <c r="AG9" s="1005"/>
      <c r="AH9" s="1006"/>
      <c r="AM9" s="130" t="s">
        <v>501</v>
      </c>
      <c r="AP9" s="130">
        <v>105.4</v>
      </c>
      <c r="AQ9" s="130">
        <v>482</v>
      </c>
      <c r="AR9" s="244">
        <v>6.2199999999999998E-3</v>
      </c>
    </row>
    <row r="10" spans="1:49" ht="13.5" customHeight="1">
      <c r="B10" s="280"/>
      <c r="C10" s="280"/>
      <c r="D10" s="280"/>
      <c r="E10" s="279"/>
      <c r="F10" s="281"/>
      <c r="G10" s="281"/>
      <c r="H10" s="281"/>
      <c r="I10" s="281"/>
      <c r="J10" s="281"/>
      <c r="K10" s="281"/>
      <c r="P10" s="250"/>
      <c r="R10" s="1004"/>
      <c r="S10" s="1005"/>
      <c r="T10" s="1005"/>
      <c r="U10" s="1005"/>
      <c r="V10" s="1005"/>
      <c r="W10" s="1005"/>
      <c r="X10" s="1005"/>
      <c r="Y10" s="1005"/>
      <c r="Z10" s="1005"/>
      <c r="AA10" s="1005"/>
      <c r="AB10" s="1005"/>
      <c r="AC10" s="1005"/>
      <c r="AD10" s="1005"/>
      <c r="AE10" s="1005"/>
      <c r="AF10" s="1005"/>
      <c r="AG10" s="1005"/>
      <c r="AH10" s="1006"/>
      <c r="AM10" s="130" t="s">
        <v>506</v>
      </c>
      <c r="AP10" s="130">
        <f>H21</f>
        <v>45</v>
      </c>
      <c r="AR10" s="130">
        <f>N22</f>
        <v>0</v>
      </c>
    </row>
    <row r="11" spans="1:49" ht="14.25" customHeight="1">
      <c r="R11" s="1004"/>
      <c r="S11" s="1005"/>
      <c r="T11" s="1005"/>
      <c r="U11" s="1005"/>
      <c r="V11" s="1005"/>
      <c r="W11" s="1005"/>
      <c r="X11" s="1005"/>
      <c r="Y11" s="1005"/>
      <c r="Z11" s="1005"/>
      <c r="AA11" s="1005"/>
      <c r="AB11" s="1005"/>
      <c r="AC11" s="1005"/>
      <c r="AD11" s="1005"/>
      <c r="AE11" s="1005"/>
      <c r="AF11" s="1005"/>
      <c r="AG11" s="1005"/>
      <c r="AH11" s="1006"/>
      <c r="AM11" s="130">
        <f>IF(C21="","",MATCH(C21,AM6:AM10,0))</f>
        <v>1</v>
      </c>
      <c r="AP11" s="146">
        <f>IF(AM11=5,H22,H21)</f>
        <v>45</v>
      </c>
      <c r="AR11" s="146">
        <f>IF(AM11=5,N22,N21)</f>
        <v>2.2439999999999999E-3</v>
      </c>
    </row>
    <row r="12" spans="1:49" ht="20.25" customHeight="1">
      <c r="R12" s="1007"/>
      <c r="S12" s="1008"/>
      <c r="T12" s="1008"/>
      <c r="U12" s="1008"/>
      <c r="V12" s="1008"/>
      <c r="W12" s="1008"/>
      <c r="X12" s="1008"/>
      <c r="Y12" s="1008"/>
      <c r="Z12" s="1008"/>
      <c r="AA12" s="1008"/>
      <c r="AB12" s="1008"/>
      <c r="AC12" s="1008"/>
      <c r="AD12" s="1008"/>
      <c r="AE12" s="1008"/>
      <c r="AF12" s="1008"/>
      <c r="AG12" s="1008"/>
      <c r="AH12" s="1009"/>
    </row>
    <row r="13" spans="1:49" ht="20.25" customHeight="1">
      <c r="A13" s="105" t="s">
        <v>309</v>
      </c>
      <c r="R13" s="247"/>
      <c r="S13" s="247"/>
      <c r="T13" s="247"/>
      <c r="U13" s="247"/>
      <c r="V13" s="247"/>
      <c r="W13" s="247"/>
      <c r="X13" s="247"/>
      <c r="Y13" s="247"/>
      <c r="Z13" s="247"/>
      <c r="AA13" s="247"/>
      <c r="AB13" s="247"/>
      <c r="AC13" s="247"/>
      <c r="AD13" s="247"/>
      <c r="AE13" s="247"/>
      <c r="AF13" s="247"/>
      <c r="AG13" s="247"/>
      <c r="AH13" s="247"/>
      <c r="AL13" s="922" t="b">
        <v>0</v>
      </c>
      <c r="AM13" s="130">
        <f>IF(AL13=TRUE,1,0)</f>
        <v>0</v>
      </c>
    </row>
    <row r="14" spans="1:49" ht="20.25" customHeight="1">
      <c r="R14" s="247"/>
      <c r="S14" s="247"/>
      <c r="T14" s="247"/>
      <c r="U14" s="247"/>
      <c r="V14" s="247"/>
      <c r="W14" s="247"/>
      <c r="X14" s="247"/>
      <c r="Y14" s="247"/>
      <c r="Z14" s="247"/>
      <c r="AA14" s="247"/>
      <c r="AB14" s="247"/>
      <c r="AC14" s="247"/>
      <c r="AD14" s="247"/>
      <c r="AE14" s="247"/>
      <c r="AF14" s="247"/>
      <c r="AG14" s="247"/>
      <c r="AH14" s="247"/>
      <c r="AM14" s="130" t="s">
        <v>1014</v>
      </c>
      <c r="AP14" s="130" t="s">
        <v>504</v>
      </c>
      <c r="AQ14" s="243" t="s">
        <v>503</v>
      </c>
      <c r="AR14" s="130" t="s">
        <v>502</v>
      </c>
    </row>
    <row r="15" spans="1:49" ht="20.25" customHeight="1">
      <c r="R15" s="247"/>
      <c r="S15" s="247"/>
      <c r="T15" s="247"/>
      <c r="U15" s="247"/>
      <c r="V15" s="247"/>
      <c r="W15" s="247"/>
      <c r="X15" s="247"/>
      <c r="Y15" s="247"/>
      <c r="Z15" s="247"/>
      <c r="AA15" s="247"/>
      <c r="AB15" s="247"/>
      <c r="AC15" s="247"/>
      <c r="AD15" s="247"/>
      <c r="AE15" s="247"/>
      <c r="AF15" s="247"/>
      <c r="AG15" s="247"/>
      <c r="AH15" s="247"/>
      <c r="AM15" s="130" t="s">
        <v>591</v>
      </c>
      <c r="AP15" s="130">
        <v>45</v>
      </c>
      <c r="AR15" s="130">
        <v>2.2439999999999999E-3</v>
      </c>
      <c r="AT15" s="130">
        <v>2.2440000000000003E-3</v>
      </c>
      <c r="AV15" s="130">
        <v>43.5</v>
      </c>
      <c r="AW15" s="244">
        <v>2.1692999999999998</v>
      </c>
    </row>
    <row r="16" spans="1:49" ht="20.25" customHeight="1">
      <c r="R16" s="247"/>
      <c r="S16" s="247"/>
      <c r="T16" s="247"/>
      <c r="U16" s="247"/>
      <c r="V16" s="247"/>
      <c r="W16" s="247"/>
      <c r="X16" s="247"/>
      <c r="Y16" s="247"/>
      <c r="Z16" s="247"/>
      <c r="AA16" s="247"/>
      <c r="AB16" s="247"/>
      <c r="AC16" s="247"/>
      <c r="AD16" s="247"/>
      <c r="AE16" s="247"/>
      <c r="AF16" s="247"/>
      <c r="AG16" s="247"/>
      <c r="AH16" s="247"/>
      <c r="AM16" s="130" t="s">
        <v>497</v>
      </c>
      <c r="AP16" s="130">
        <v>101.2</v>
      </c>
      <c r="AQ16" s="130">
        <v>502</v>
      </c>
      <c r="AR16" s="244">
        <v>5.9740000000000001E-3</v>
      </c>
      <c r="AV16" s="130">
        <v>43.07</v>
      </c>
      <c r="AW16" s="244">
        <v>2.1478000000000002</v>
      </c>
    </row>
    <row r="17" spans="1:76" ht="20.25" customHeight="1">
      <c r="R17" s="247"/>
      <c r="S17" s="247"/>
      <c r="T17" s="247"/>
      <c r="U17" s="247"/>
      <c r="V17" s="247"/>
      <c r="W17" s="247"/>
      <c r="X17" s="247"/>
      <c r="Y17" s="247"/>
      <c r="Z17" s="247"/>
      <c r="AA17" s="247"/>
      <c r="AB17" s="247"/>
      <c r="AC17" s="247"/>
      <c r="AD17" s="247"/>
      <c r="AE17" s="247"/>
      <c r="AF17" s="247"/>
      <c r="AG17" s="247"/>
      <c r="AH17" s="247"/>
      <c r="AM17" s="130" t="s">
        <v>499</v>
      </c>
      <c r="AP17" s="130">
        <v>143.1</v>
      </c>
      <c r="AQ17" s="130">
        <v>355</v>
      </c>
      <c r="AR17" s="244">
        <v>8.9519999999999999E-3</v>
      </c>
    </row>
    <row r="18" spans="1:76" ht="20.25" customHeight="1">
      <c r="R18" s="247"/>
      <c r="S18" s="247"/>
      <c r="T18" s="247"/>
      <c r="U18" s="247"/>
      <c r="V18" s="247"/>
      <c r="W18" s="247"/>
      <c r="X18" s="247"/>
      <c r="Y18" s="247"/>
      <c r="Z18" s="247"/>
      <c r="AA18" s="247"/>
      <c r="AB18" s="247"/>
      <c r="AC18" s="247"/>
      <c r="AD18" s="247"/>
      <c r="AE18" s="247"/>
      <c r="AF18" s="247"/>
      <c r="AG18" s="247"/>
      <c r="AH18" s="247"/>
      <c r="AM18" s="130" t="s">
        <v>501</v>
      </c>
      <c r="AP18" s="130">
        <v>105.4</v>
      </c>
      <c r="AQ18" s="130">
        <v>482</v>
      </c>
      <c r="AR18" s="244">
        <v>6.2199999999999998E-3</v>
      </c>
    </row>
    <row r="19" spans="1:76" ht="20.25" customHeight="1">
      <c r="R19" s="247"/>
      <c r="S19" s="247"/>
      <c r="T19" s="247"/>
      <c r="U19" s="247"/>
      <c r="V19" s="247"/>
      <c r="W19" s="247"/>
      <c r="X19" s="247"/>
      <c r="Y19" s="247"/>
      <c r="Z19" s="247"/>
      <c r="AA19" s="247"/>
      <c r="AB19" s="247"/>
      <c r="AC19" s="247"/>
      <c r="AD19" s="247"/>
      <c r="AE19" s="247"/>
      <c r="AF19" s="247"/>
      <c r="AG19" s="247"/>
      <c r="AH19" s="247"/>
      <c r="AM19" s="130" t="s">
        <v>506</v>
      </c>
      <c r="AP19" s="130">
        <f>V22</f>
        <v>0</v>
      </c>
      <c r="AR19" s="130">
        <f>AC22</f>
        <v>0</v>
      </c>
    </row>
    <row r="20" spans="1:76" ht="21" customHeight="1">
      <c r="B20" s="913" t="s">
        <v>1015</v>
      </c>
      <c r="C20" s="908"/>
      <c r="D20" s="908"/>
      <c r="E20" s="908"/>
      <c r="F20" s="908"/>
      <c r="G20" s="908"/>
      <c r="H20" s="908"/>
      <c r="I20" s="909"/>
      <c r="J20" s="912" t="str">
        <f>IF(AL13=TRUE,"《燃転あり》","")</f>
        <v/>
      </c>
      <c r="R20" s="914" t="str">
        <f>IF(AL13=TRUE,"↓燃転後の燃料種類を選択する。","")</f>
        <v/>
      </c>
      <c r="S20" s="914"/>
      <c r="T20" s="247"/>
      <c r="U20" s="247"/>
      <c r="V20" s="247"/>
      <c r="W20" s="247"/>
      <c r="X20" s="247"/>
      <c r="Y20" s="247"/>
      <c r="Z20" s="247"/>
      <c r="AA20" s="247"/>
      <c r="AB20" s="247"/>
      <c r="AC20" s="247"/>
      <c r="AD20" s="247"/>
      <c r="AE20" s="247"/>
      <c r="AF20" s="247"/>
      <c r="AG20" s="247"/>
      <c r="AH20" s="247"/>
      <c r="AM20" s="130">
        <f>IF(R21="","",MATCH(R21,AM15:AM19,0))</f>
        <v>1</v>
      </c>
      <c r="AP20" s="146">
        <f>IF(AL13=TRUE,IF(AM20=5,V22,V21),AP11)</f>
        <v>45</v>
      </c>
      <c r="AR20" s="146">
        <f>IF(AL13=TRUE,IF(AM20=5,AC22,AC21),AR11)</f>
        <v>2.2439999999999999E-3</v>
      </c>
    </row>
    <row r="21" spans="1:76" ht="21.75" customHeight="1" thickBot="1">
      <c r="A21" s="207"/>
      <c r="B21" s="907" t="s">
        <v>230</v>
      </c>
      <c r="C21" s="1029" t="s">
        <v>591</v>
      </c>
      <c r="D21" s="1030"/>
      <c r="E21" s="1031"/>
      <c r="F21" s="1032" t="s">
        <v>515</v>
      </c>
      <c r="G21" s="1033"/>
      <c r="H21" s="1018">
        <f>IFERROR(INDEX(AP6:AP9,AM11,1),0)</f>
        <v>45</v>
      </c>
      <c r="I21" s="1019"/>
      <c r="J21" s="244" t="s">
        <v>504</v>
      </c>
      <c r="K21" s="1014" t="s">
        <v>502</v>
      </c>
      <c r="L21" s="1015"/>
      <c r="M21" s="1016"/>
      <c r="N21" s="1018">
        <f>IFERROR(INDEX(AR6:AR9,AM11,1),0)</f>
        <v>2.2439999999999999E-3</v>
      </c>
      <c r="O21" s="1019"/>
      <c r="P21" s="246" t="s">
        <v>516</v>
      </c>
      <c r="R21" s="911" t="s">
        <v>591</v>
      </c>
      <c r="S21" s="911"/>
      <c r="T21" s="1043" t="str">
        <f>IF(AL13=TRUE,"高位発熱量","")</f>
        <v/>
      </c>
      <c r="U21" s="1043"/>
      <c r="V21" s="1040">
        <f>IFERROR(INDEX(AP15:AP18,AM20,1),0)</f>
        <v>45</v>
      </c>
      <c r="W21" s="1040"/>
      <c r="X21" s="134"/>
      <c r="Y21" s="917" t="s">
        <v>504</v>
      </c>
      <c r="Z21" s="1044" t="str">
        <f>IF(AL13=TRUE,"CO₂排出係数","")</f>
        <v/>
      </c>
      <c r="AA21" s="1044"/>
      <c r="AB21" s="1044"/>
      <c r="AC21" s="1040">
        <f>IFERROR(INDEX(AR15:AR18,AM20,1),0)</f>
        <v>2.2439999999999999E-3</v>
      </c>
      <c r="AD21" s="1040"/>
      <c r="AE21" s="916" t="s">
        <v>516</v>
      </c>
      <c r="AF21" s="209"/>
      <c r="AG21" s="209"/>
      <c r="AH21" s="209"/>
      <c r="AI21" s="209"/>
      <c r="AJ21" s="209"/>
    </row>
    <row r="22" spans="1:76" ht="21.75" customHeight="1">
      <c r="A22" s="207"/>
      <c r="B22" s="207"/>
      <c r="C22" s="207"/>
      <c r="D22" s="207"/>
      <c r="E22" s="207"/>
      <c r="F22" s="207"/>
      <c r="G22" s="910" t="str">
        <f>IF(C21="","",IF(AM11=5,"発熱量値を記入（単位に注意！）⇒",""))</f>
        <v/>
      </c>
      <c r="H22" s="1026"/>
      <c r="I22" s="1026"/>
      <c r="J22" s="245" t="str">
        <f>IF(C21="","",IF(AM11=5,"MJ/m³",""))</f>
        <v/>
      </c>
      <c r="K22" s="1017" t="str">
        <f>IF(C21="","",IF(AM11=5,"CO₂排出係数値を記入（単位に注意！）⇒",""))</f>
        <v/>
      </c>
      <c r="L22" s="1017"/>
      <c r="M22" s="1017"/>
      <c r="N22" s="1013"/>
      <c r="O22" s="1013"/>
      <c r="P22" s="252" t="str">
        <f>IF(C21="","",IF(AM11=5,"t-CO₂/m³",""))</f>
        <v/>
      </c>
      <c r="T22" s="282"/>
      <c r="U22" s="910" t="str">
        <f>IF(R21="","",IF(AM20=5,"発熱量値を記入（単位に注意！）⇒",""))</f>
        <v/>
      </c>
      <c r="V22" s="1041"/>
      <c r="W22" s="1041"/>
      <c r="X22" s="245" t="str">
        <f>IF(P21="","",IF(AZ11=5,"MJ/m³",""))</f>
        <v/>
      </c>
      <c r="Y22" s="245" t="str">
        <f>IF(R21="","",IF(AM20=5,"MJ/m³",""))</f>
        <v/>
      </c>
      <c r="Z22" s="1042" t="str">
        <f>IF(R21="","",IF(AM20=5,"CO₂排出係数値を記入（単位に注意！）⇒",""))</f>
        <v/>
      </c>
      <c r="AA22" s="1042"/>
      <c r="AB22" s="915"/>
      <c r="AC22" s="1041"/>
      <c r="AD22" s="1041"/>
      <c r="AE22" s="252" t="str">
        <f>IF(R21="","",IF(AM20=5,"t-CO₂/m³",""))</f>
        <v/>
      </c>
      <c r="AF22" s="209"/>
      <c r="AG22" s="209"/>
      <c r="AH22" s="209"/>
      <c r="AI22" s="209"/>
      <c r="AJ22" s="209"/>
    </row>
    <row r="23" spans="1:76" ht="14.25" customHeight="1">
      <c r="A23" s="132" t="s">
        <v>321</v>
      </c>
      <c r="B23" s="206"/>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131"/>
      <c r="BA23" s="130" t="s">
        <v>319</v>
      </c>
      <c r="BB23" s="130">
        <v>0.71</v>
      </c>
    </row>
    <row r="24" spans="1:76" s="134" customFormat="1" ht="19.5" customHeight="1">
      <c r="A24" s="977" t="s">
        <v>0</v>
      </c>
      <c r="B24" s="213" t="s">
        <v>2</v>
      </c>
      <c r="C24" s="214"/>
      <c r="D24" s="214"/>
      <c r="E24" s="214"/>
      <c r="F24" s="215"/>
      <c r="G24" s="215"/>
      <c r="H24" s="215"/>
      <c r="I24" s="215"/>
      <c r="J24" s="215"/>
      <c r="K24" s="215"/>
      <c r="L24" s="215"/>
      <c r="M24" s="215"/>
      <c r="N24" s="215"/>
      <c r="O24" s="215"/>
      <c r="P24" s="215"/>
      <c r="Q24" s="216"/>
      <c r="R24" s="217" t="s">
        <v>46</v>
      </c>
      <c r="S24" s="218"/>
      <c r="T24" s="218"/>
      <c r="U24" s="219"/>
      <c r="V24" s="219"/>
      <c r="W24" s="219"/>
      <c r="X24" s="219"/>
      <c r="Y24" s="219"/>
      <c r="Z24" s="219"/>
      <c r="AA24" s="219"/>
      <c r="AB24" s="219"/>
      <c r="AC24" s="219"/>
      <c r="AD24" s="219"/>
      <c r="AE24" s="219"/>
      <c r="AF24" s="994" t="s">
        <v>14</v>
      </c>
      <c r="AG24" s="1045"/>
      <c r="AH24" s="995"/>
      <c r="AJ24" s="130"/>
      <c r="AK24" s="130"/>
      <c r="AL24" s="130"/>
      <c r="AM24" s="130"/>
      <c r="AN24" s="130"/>
      <c r="AO24" s="130"/>
      <c r="AP24" s="130"/>
      <c r="AQ24" s="130"/>
      <c r="AR24" s="130"/>
      <c r="AS24" s="130"/>
      <c r="AT24" s="130"/>
      <c r="AU24" s="130"/>
      <c r="AV24" s="130"/>
      <c r="AW24" s="130"/>
      <c r="AX24" s="130"/>
      <c r="AY24" s="130"/>
      <c r="AZ24" s="130"/>
      <c r="BA24" s="130" t="s">
        <v>320</v>
      </c>
      <c r="BB24" s="130">
        <v>0.71499999999999997</v>
      </c>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30"/>
    </row>
    <row r="25" spans="1:76" s="134" customFormat="1" ht="18" customHeight="1">
      <c r="A25" s="978"/>
      <c r="B25" s="220"/>
      <c r="C25" s="221"/>
      <c r="D25" s="221"/>
      <c r="E25" s="223" t="s">
        <v>47</v>
      </c>
      <c r="F25" s="224"/>
      <c r="G25" s="224"/>
      <c r="H25" s="219"/>
      <c r="I25" s="219"/>
      <c r="J25" s="223" t="s">
        <v>48</v>
      </c>
      <c r="K25" s="224"/>
      <c r="L25" s="224"/>
      <c r="M25" s="219"/>
      <c r="N25" s="219"/>
      <c r="O25" s="223" t="s">
        <v>49</v>
      </c>
      <c r="P25" s="219"/>
      <c r="Q25" s="219"/>
      <c r="R25" s="220"/>
      <c r="S25" s="221"/>
      <c r="T25" s="222"/>
      <c r="U25" s="223" t="s">
        <v>47</v>
      </c>
      <c r="V25" s="224"/>
      <c r="W25" s="224"/>
      <c r="X25" s="219"/>
      <c r="Y25" s="223" t="s">
        <v>48</v>
      </c>
      <c r="Z25" s="224"/>
      <c r="AA25" s="224"/>
      <c r="AB25" s="219"/>
      <c r="AC25" s="223" t="s">
        <v>49</v>
      </c>
      <c r="AD25" s="219"/>
      <c r="AE25" s="219"/>
      <c r="AF25" s="996"/>
      <c r="AG25" s="1046"/>
      <c r="AH25" s="997"/>
      <c r="AI25" s="133"/>
      <c r="AJ25" s="130"/>
      <c r="AK25" s="133"/>
      <c r="AL25" s="130"/>
      <c r="AM25" s="130"/>
      <c r="AN25" s="130"/>
      <c r="AO25" s="130"/>
      <c r="AP25" s="130"/>
      <c r="AQ25" s="130" t="s">
        <v>906</v>
      </c>
      <c r="AR25" s="130"/>
      <c r="AS25" s="130"/>
      <c r="AT25" s="130"/>
      <c r="AU25" s="130"/>
      <c r="AV25" s="130"/>
      <c r="AW25" s="130"/>
      <c r="AX25" s="130"/>
      <c r="AY25" s="130"/>
      <c r="AZ25" s="130"/>
      <c r="BA25" s="130" t="s">
        <v>322</v>
      </c>
      <c r="BB25" s="130">
        <v>0.72</v>
      </c>
      <c r="BC25" s="130"/>
      <c r="BD25" s="130"/>
      <c r="BE25" s="130"/>
      <c r="BF25" s="130"/>
      <c r="BG25" s="130"/>
      <c r="BH25" s="130"/>
      <c r="BI25" s="130"/>
      <c r="BJ25" s="130"/>
      <c r="BK25" s="130"/>
      <c r="BL25" s="130"/>
      <c r="BM25" s="130"/>
      <c r="BN25" s="130"/>
      <c r="BO25" s="130"/>
      <c r="BP25" s="130"/>
      <c r="BQ25" s="130"/>
      <c r="BR25" s="130"/>
      <c r="BS25" s="130"/>
      <c r="BT25" s="130"/>
      <c r="BU25" s="130"/>
      <c r="BV25" s="130"/>
      <c r="BW25" s="130"/>
      <c r="BX25" s="130"/>
    </row>
    <row r="26" spans="1:76" s="134" customFormat="1" ht="48" customHeight="1">
      <c r="A26" s="979"/>
      <c r="B26" s="225" t="s">
        <v>15</v>
      </c>
      <c r="C26" s="242" t="s">
        <v>410</v>
      </c>
      <c r="D26" s="226" t="s">
        <v>418</v>
      </c>
      <c r="E26" s="226" t="s">
        <v>50</v>
      </c>
      <c r="F26" s="226" t="s">
        <v>492</v>
      </c>
      <c r="G26" s="226" t="s">
        <v>592</v>
      </c>
      <c r="H26" s="226" t="s">
        <v>414</v>
      </c>
      <c r="I26" s="226" t="s">
        <v>974</v>
      </c>
      <c r="J26" s="226" t="s">
        <v>51</v>
      </c>
      <c r="K26" s="226" t="s">
        <v>493</v>
      </c>
      <c r="L26" s="226" t="s">
        <v>593</v>
      </c>
      <c r="M26" s="226" t="s">
        <v>415</v>
      </c>
      <c r="N26" s="226" t="s">
        <v>974</v>
      </c>
      <c r="O26" s="226" t="s">
        <v>480</v>
      </c>
      <c r="P26" s="226" t="s">
        <v>507</v>
      </c>
      <c r="Q26" s="226" t="s">
        <v>508</v>
      </c>
      <c r="R26" s="225" t="s">
        <v>15</v>
      </c>
      <c r="S26" s="992" t="s">
        <v>1032</v>
      </c>
      <c r="T26" s="226" t="s">
        <v>418</v>
      </c>
      <c r="U26" s="226" t="s">
        <v>50</v>
      </c>
      <c r="V26" s="226" t="s">
        <v>492</v>
      </c>
      <c r="W26" s="226" t="s">
        <v>592</v>
      </c>
      <c r="X26" s="226" t="s">
        <v>414</v>
      </c>
      <c r="Y26" s="226" t="s">
        <v>51</v>
      </c>
      <c r="Z26" s="226" t="s">
        <v>493</v>
      </c>
      <c r="AA26" s="226" t="s">
        <v>593</v>
      </c>
      <c r="AB26" s="226" t="s">
        <v>415</v>
      </c>
      <c r="AC26" s="226" t="s">
        <v>509</v>
      </c>
      <c r="AD26" s="226" t="s">
        <v>510</v>
      </c>
      <c r="AE26" s="226" t="s">
        <v>511</v>
      </c>
      <c r="AF26" s="227" t="s">
        <v>512</v>
      </c>
      <c r="AG26" s="227" t="s">
        <v>513</v>
      </c>
      <c r="AH26" s="227" t="s">
        <v>514</v>
      </c>
      <c r="AI26" s="135"/>
      <c r="AK26" s="134" t="s">
        <v>417</v>
      </c>
      <c r="AN26" s="134" t="s">
        <v>420</v>
      </c>
      <c r="AR26" s="134" t="s">
        <v>421</v>
      </c>
      <c r="AV26" s="134" t="s">
        <v>422</v>
      </c>
      <c r="AX26" s="130"/>
      <c r="AY26" s="130"/>
      <c r="AZ26" s="130"/>
      <c r="BA26" s="130" t="s">
        <v>323</v>
      </c>
      <c r="BB26" s="130">
        <v>0.72499999999999998</v>
      </c>
      <c r="BC26" s="130"/>
      <c r="BD26" s="130"/>
      <c r="BE26" s="130"/>
      <c r="BF26" s="130"/>
      <c r="BG26" s="130"/>
      <c r="BH26" s="130"/>
      <c r="BI26" s="130"/>
      <c r="BJ26" s="130"/>
      <c r="BK26" s="130"/>
      <c r="BL26" s="130"/>
      <c r="BM26" s="130"/>
      <c r="BN26" s="130"/>
      <c r="BO26" s="130"/>
      <c r="BP26" s="130"/>
      <c r="BQ26" s="130"/>
      <c r="BR26" s="130"/>
      <c r="BS26" s="130"/>
      <c r="BT26" s="130"/>
      <c r="BU26" s="130"/>
      <c r="BV26" s="130"/>
      <c r="BW26" s="130"/>
      <c r="BX26" s="130"/>
    </row>
    <row r="27" spans="1:76" s="134" customFormat="1" ht="22.5" customHeight="1">
      <c r="A27" s="126" t="s">
        <v>1</v>
      </c>
      <c r="B27" s="122"/>
      <c r="C27" s="123"/>
      <c r="D27" s="119" t="s">
        <v>44</v>
      </c>
      <c r="E27" s="119" t="s">
        <v>19</v>
      </c>
      <c r="F27" s="119" t="s">
        <v>21</v>
      </c>
      <c r="G27" s="119" t="s">
        <v>21</v>
      </c>
      <c r="H27" s="119" t="s">
        <v>413</v>
      </c>
      <c r="I27" s="899" t="s">
        <v>976</v>
      </c>
      <c r="J27" s="119" t="s">
        <v>19</v>
      </c>
      <c r="K27" s="119" t="s">
        <v>21</v>
      </c>
      <c r="L27" s="119" t="s">
        <v>21</v>
      </c>
      <c r="M27" s="119" t="s">
        <v>413</v>
      </c>
      <c r="N27" s="899" t="s">
        <v>976</v>
      </c>
      <c r="O27" s="119" t="s">
        <v>8</v>
      </c>
      <c r="P27" s="119" t="s">
        <v>53</v>
      </c>
      <c r="Q27" s="119" t="s">
        <v>479</v>
      </c>
      <c r="R27" s="123"/>
      <c r="S27" s="993"/>
      <c r="T27" s="119" t="s">
        <v>44</v>
      </c>
      <c r="U27" s="119"/>
      <c r="V27" s="119" t="s">
        <v>21</v>
      </c>
      <c r="W27" s="119" t="s">
        <v>21</v>
      </c>
      <c r="X27" s="119" t="s">
        <v>413</v>
      </c>
      <c r="Y27" s="119" t="s">
        <v>21</v>
      </c>
      <c r="Z27" s="119" t="s">
        <v>21</v>
      </c>
      <c r="AA27" s="119" t="s">
        <v>21</v>
      </c>
      <c r="AB27" s="119" t="s">
        <v>413</v>
      </c>
      <c r="AC27" s="119" t="s">
        <v>8</v>
      </c>
      <c r="AD27" s="119" t="s">
        <v>53</v>
      </c>
      <c r="AE27" s="119" t="s">
        <v>479</v>
      </c>
      <c r="AF27" s="119" t="s">
        <v>8</v>
      </c>
      <c r="AG27" s="119" t="s">
        <v>53</v>
      </c>
      <c r="AH27" s="119" t="s">
        <v>479</v>
      </c>
      <c r="AI27" s="135"/>
      <c r="AK27" s="134">
        <v>1</v>
      </c>
      <c r="AL27" s="134" t="s">
        <v>325</v>
      </c>
      <c r="AM27" s="134" t="s">
        <v>327</v>
      </c>
      <c r="AO27" s="134" t="s">
        <v>325</v>
      </c>
      <c r="AP27" s="134" t="s">
        <v>327</v>
      </c>
      <c r="AQ27" s="134" t="s">
        <v>478</v>
      </c>
      <c r="AS27" s="134" t="s">
        <v>325</v>
      </c>
      <c r="AT27" s="134" t="s">
        <v>327</v>
      </c>
      <c r="AV27" s="134" t="s">
        <v>325</v>
      </c>
      <c r="AW27" s="134" t="s">
        <v>327</v>
      </c>
      <c r="AX27" s="130"/>
      <c r="AY27" s="130"/>
      <c r="AZ27" s="130"/>
      <c r="BA27" s="134" t="s">
        <v>324</v>
      </c>
      <c r="BB27" s="134">
        <v>0.73</v>
      </c>
      <c r="BC27" s="130"/>
      <c r="BD27" s="130"/>
      <c r="BE27" s="130"/>
      <c r="BF27" s="130"/>
      <c r="BG27" s="130"/>
      <c r="BH27" s="130"/>
      <c r="BI27" s="130"/>
      <c r="BJ27" s="130"/>
      <c r="BK27" s="130"/>
      <c r="BL27" s="130"/>
      <c r="BM27" s="130"/>
      <c r="BN27" s="130"/>
      <c r="BO27" s="130"/>
      <c r="BP27" s="130"/>
      <c r="BQ27" s="130"/>
      <c r="BS27" s="130"/>
      <c r="BT27" s="130" t="s">
        <v>917</v>
      </c>
      <c r="BU27" s="130"/>
      <c r="BV27" s="130"/>
      <c r="BW27" s="130"/>
      <c r="BX27" s="130"/>
    </row>
    <row r="28" spans="1:76" s="134" customFormat="1" ht="22.5" customHeight="1">
      <c r="A28" s="127" t="s">
        <v>419</v>
      </c>
      <c r="B28" s="559" t="s">
        <v>231</v>
      </c>
      <c r="C28" s="535" t="s">
        <v>388</v>
      </c>
      <c r="D28" s="559">
        <v>2</v>
      </c>
      <c r="E28" s="618">
        <v>22.4</v>
      </c>
      <c r="F28" s="619">
        <v>21</v>
      </c>
      <c r="G28" s="619">
        <v>0.82</v>
      </c>
      <c r="H28" s="539">
        <v>170</v>
      </c>
      <c r="I28" s="539">
        <v>12</v>
      </c>
      <c r="J28" s="620">
        <v>25</v>
      </c>
      <c r="K28" s="619">
        <v>20</v>
      </c>
      <c r="L28" s="619">
        <v>0.86</v>
      </c>
      <c r="M28" s="539">
        <v>180</v>
      </c>
      <c r="N28" s="539">
        <v>12</v>
      </c>
      <c r="O28" s="580">
        <f>IFERROR((D28*G28*H28*I28*AL28/AM28+D28*L28*M28*N28*AO28/AP28)/AQ28,"")</f>
        <v>3509.0721005089335</v>
      </c>
      <c r="P28" s="580">
        <f>IFERROR(((D28*F28*H28*I28*AL28/AM28+D28*K28*M28*N28*AO28/AP28)/AQ28)*3.6/$AP$11,0)</f>
        <v>6755.8753566647611</v>
      </c>
      <c r="Q28" s="316">
        <f>O28*'CO₂係数 '!$I$33+P28*$AR$11</f>
        <v>16.897174990107647</v>
      </c>
      <c r="R28" s="559" t="s">
        <v>52</v>
      </c>
      <c r="S28" s="559">
        <v>2</v>
      </c>
      <c r="T28" s="559">
        <v>2</v>
      </c>
      <c r="U28" s="618">
        <v>22.4</v>
      </c>
      <c r="V28" s="619">
        <v>19.100000000000001</v>
      </c>
      <c r="W28" s="619">
        <v>0.378</v>
      </c>
      <c r="X28" s="316">
        <f>IF(H28=0,0,H28)</f>
        <v>170</v>
      </c>
      <c r="Y28" s="620">
        <v>25</v>
      </c>
      <c r="Z28" s="619">
        <v>18.600000000000001</v>
      </c>
      <c r="AA28" s="619">
        <v>0.46600000000000003</v>
      </c>
      <c r="AB28" s="316">
        <f>IF(M28=0,0,M28)</f>
        <v>180</v>
      </c>
      <c r="AC28" s="580">
        <f>T28*W28*X28*I28*AS28/AT28+T28*AA28*AB28*N28*AV28/AW28</f>
        <v>1165.655484567216</v>
      </c>
      <c r="AD28" s="580">
        <f>IFERROR((T28*V28*X28*I28*AS28/AT28+T28*Z28*AB28*N28*AV28/AW28)*3.6/$AP$20,"")</f>
        <v>3933.6501698095713</v>
      </c>
      <c r="AE28" s="316">
        <f>IFERROR(AC28*'CO₂係数 '!$I$33+AD28*$AR$20,"")</f>
        <v>9.4041104459134495</v>
      </c>
      <c r="AF28" s="316">
        <f>IFERROR(O28-AC28,"")</f>
        <v>2343.4166159417173</v>
      </c>
      <c r="AG28" s="316">
        <f>IFERROR(P28-AD28,"")</f>
        <v>2822.2251868551898</v>
      </c>
      <c r="AH28" s="318">
        <f>AF28*'CO₂係数 '!$I$33+AG28*'CO₂係数 '!Y28</f>
        <v>1.1599912248911501</v>
      </c>
      <c r="AI28" s="136"/>
      <c r="AJ28" s="137">
        <v>1</v>
      </c>
      <c r="AK28" s="137">
        <f>IFERROR(INDEX(冷房日数,MATCH(H28,冷房日数,1),1),0)</f>
        <v>168</v>
      </c>
      <c r="AL28" s="138">
        <f>IFERROR(INDEX(負荷率取得,MATCH(H28,冷房日数,1)+5,1),0)</f>
        <v>0.35725000000000001</v>
      </c>
      <c r="AM28" s="139">
        <f t="shared" ref="AM28:AM39" si="0">IF($AJ28=1,INDEX(COP補正,MATCH(C28,$BE$51:$BE$71,0),5)*AL28+INDEX(COP補正,MATCH(C28,$BE$51:$BE$71,0),10),$BR$51*AL28+$BT$51)</f>
        <v>0.98992100000000005</v>
      </c>
      <c r="AN28" s="140">
        <f>IFERROR(INDEX(暖房日数,MATCH(M28,暖房日数,1),1),0)</f>
        <v>120</v>
      </c>
      <c r="AO28" s="139">
        <f>IFERROR(INDEX(負荷率取得,MATCH(M28,暖房日数,1),1),0)</f>
        <v>0.59050000000000002</v>
      </c>
      <c r="AP28" s="139">
        <f t="shared" ref="AP28:AP39" si="1">IF($AJ28=1,INDEX(COP補正,MATCH(C28,$BE$51:$BE$71,0),6)*AO28+INDEX(COP補正,MATCH(C28,$BE$51:$BE$71,0),11),$BR$51*AO28+$BT$51)</f>
        <v>0.95313800000000015</v>
      </c>
      <c r="AQ28" s="139">
        <f>IFERROR(VLOOKUP(C28,$BW$48:$BX$72,3,FALSE)/#REF!,1)</f>
        <v>1</v>
      </c>
      <c r="AR28" s="139"/>
      <c r="AS28" s="141">
        <f>IFERROR(INDEX(負荷率取得,MATCH(X28,冷房日数,1)+5,1),0)</f>
        <v>0.35725000000000001</v>
      </c>
      <c r="AT28" s="139">
        <f t="shared" ref="AT28:AT39" si="2">INDEX(COP補正,21,5)*AS28+INDEX(COP補正,21,10)</f>
        <v>2.2115867499999999</v>
      </c>
      <c r="AV28" s="139">
        <f>IFERROR(INDEX(負荷率取得,MATCH(AB28,暖房日数,1),1),0)</f>
        <v>0.59050000000000002</v>
      </c>
      <c r="AW28" s="139">
        <f t="shared" ref="AW28:AW39" si="3">INDEX(COP補正,21,6)*AV28+INDEX(COP補正,21,11)</f>
        <v>1.2970103500000001</v>
      </c>
      <c r="BA28" s="134" t="s">
        <v>326</v>
      </c>
      <c r="BB28" s="134">
        <v>0.73499999999999999</v>
      </c>
      <c r="BT28" s="144" t="s">
        <v>477</v>
      </c>
    </row>
    <row r="29" spans="1:76" s="134" customFormat="1" ht="22.5" customHeight="1" thickBot="1">
      <c r="A29" s="675" t="s">
        <v>30</v>
      </c>
      <c r="B29" s="680"/>
      <c r="C29" s="681"/>
      <c r="D29" s="682">
        <f>_xlfn.AGGREGATE(9,7,D30:D39)</f>
        <v>0</v>
      </c>
      <c r="E29" s="683">
        <f>SUMPRODUCT(D30:D39*E30:E39)</f>
        <v>0</v>
      </c>
      <c r="F29" s="719"/>
      <c r="G29" s="719"/>
      <c r="H29" s="666"/>
      <c r="I29" s="657"/>
      <c r="J29" s="683">
        <f>SUMPRODUCT(D30:D39*J30:J39)</f>
        <v>0</v>
      </c>
      <c r="K29" s="719"/>
      <c r="L29" s="719"/>
      <c r="M29" s="666"/>
      <c r="N29" s="657"/>
      <c r="O29" s="657">
        <f>_xlfn.AGGREGATE(9,7,O30:O39)</f>
        <v>0</v>
      </c>
      <c r="P29" s="657">
        <f>_xlfn.AGGREGATE(9,7,P30:P39)</f>
        <v>0</v>
      </c>
      <c r="Q29" s="657">
        <f>_xlfn.AGGREGATE(9,7,Q30:Q39)</f>
        <v>0</v>
      </c>
      <c r="R29" s="680"/>
      <c r="S29" s="719"/>
      <c r="T29" s="682">
        <f>_xlfn.AGGREGATE(9,7,T30:T39)</f>
        <v>0</v>
      </c>
      <c r="U29" s="683">
        <f>SUMPRODUCT(T30:T39*U30:U39)</f>
        <v>0</v>
      </c>
      <c r="V29" s="719"/>
      <c r="W29" s="719"/>
      <c r="X29" s="666"/>
      <c r="Y29" s="683">
        <f>SUMPRODUCT(T30:T39*Y30:Y39)</f>
        <v>0</v>
      </c>
      <c r="Z29" s="719"/>
      <c r="AA29" s="719"/>
      <c r="AB29" s="666"/>
      <c r="AC29" s="657">
        <f t="shared" ref="AC29:AH29" si="4">_xlfn.AGGREGATE(9,7,AC30:AC39)</f>
        <v>0</v>
      </c>
      <c r="AD29" s="657">
        <f t="shared" si="4"/>
        <v>0</v>
      </c>
      <c r="AE29" s="657">
        <f t="shared" si="4"/>
        <v>0</v>
      </c>
      <c r="AF29" s="657">
        <f t="shared" si="4"/>
        <v>0</v>
      </c>
      <c r="AG29" s="667">
        <f t="shared" si="4"/>
        <v>0</v>
      </c>
      <c r="AH29" s="668">
        <f t="shared" si="4"/>
        <v>0</v>
      </c>
      <c r="AI29" s="136"/>
      <c r="AJ29" s="137">
        <v>1</v>
      </c>
      <c r="AK29" s="137">
        <f t="shared" ref="AK29" si="5">INDEX(冷房日数,MATCH(H29,冷房日数,1),1)</f>
        <v>0</v>
      </c>
      <c r="AL29" s="138">
        <f t="shared" ref="AL29" si="6">INDEX(負荷率取得,MATCH(H29,冷房日数,1)+5,1)</f>
        <v>0.59050000000000002</v>
      </c>
      <c r="AM29" s="139" t="e">
        <f t="shared" si="0"/>
        <v>#N/A</v>
      </c>
      <c r="AN29" s="140">
        <f t="shared" ref="AN29" si="7">INDEX(暖房日数,MATCH(M29,暖房日数,1),1)</f>
        <v>0</v>
      </c>
      <c r="AO29" s="139">
        <f t="shared" ref="AO29" si="8">INDEX(負荷率取得,MATCH(M29,暖房日数,1),1)</f>
        <v>0.372</v>
      </c>
      <c r="AP29" s="139" t="e">
        <f t="shared" si="1"/>
        <v>#N/A</v>
      </c>
      <c r="AQ29" s="139">
        <f>IFERROR(VLOOKUP(C29,$BW$48:$BX$72,3,FALSE)/#REF!,1)</f>
        <v>1</v>
      </c>
      <c r="AR29" s="139"/>
      <c r="AS29" s="139">
        <f t="shared" ref="AS29" si="9">INDEX(負荷率取得,MATCH(X29,冷房日数,1)+5,1)</f>
        <v>0.59050000000000002</v>
      </c>
      <c r="AT29" s="139">
        <f t="shared" si="2"/>
        <v>1.7784415</v>
      </c>
      <c r="AV29" s="139">
        <f t="shared" ref="AV29" si="10">INDEX(負荷率取得,MATCH(AB29,暖房日数,1),1)</f>
        <v>0.372</v>
      </c>
      <c r="AW29" s="139">
        <f t="shared" si="3"/>
        <v>1.4554884000000001</v>
      </c>
      <c r="BA29" s="134" t="s">
        <v>328</v>
      </c>
      <c r="BB29" s="134">
        <v>0.74</v>
      </c>
      <c r="BE29" s="134" t="s">
        <v>329</v>
      </c>
      <c r="BL29" s="134" t="s">
        <v>918</v>
      </c>
      <c r="BT29" s="146" t="s">
        <v>336</v>
      </c>
      <c r="BU29" s="134" t="s">
        <v>335</v>
      </c>
    </row>
    <row r="30" spans="1:76" s="134" customFormat="1" ht="22.5" customHeight="1">
      <c r="A30" s="646">
        <v>1</v>
      </c>
      <c r="B30" s="647"/>
      <c r="C30" s="662"/>
      <c r="D30" s="647"/>
      <c r="E30" s="650"/>
      <c r="F30" s="651"/>
      <c r="G30" s="651"/>
      <c r="H30" s="652"/>
      <c r="I30" s="652"/>
      <c r="J30" s="653"/>
      <c r="K30" s="651"/>
      <c r="L30" s="651"/>
      <c r="M30" s="652"/>
      <c r="N30" s="652"/>
      <c r="O30" s="654" t="str">
        <f>IF(D30="","",(D30*G30*H30*I30*AL30/AM30+D30*L30*M30*N30*AO30/AP30)/AQ30)</f>
        <v/>
      </c>
      <c r="P30" s="654" t="str">
        <f>IFERROR(((D30*F30*H30*I30*AL30/AM30+D30*K30*M30*N30*AO30/AP30)/AQ30)*3.6/$AP$11,"")</f>
        <v/>
      </c>
      <c r="Q30" s="663" t="str">
        <f>IFERROR(O30*'CO₂係数 '!$I$33+P30*$AR$11,"")</f>
        <v/>
      </c>
      <c r="R30" s="647"/>
      <c r="S30" s="941"/>
      <c r="T30" s="647"/>
      <c r="U30" s="650"/>
      <c r="V30" s="651"/>
      <c r="W30" s="651"/>
      <c r="X30" s="664" t="str">
        <f>IF(H30="","",H30)</f>
        <v/>
      </c>
      <c r="Y30" s="656"/>
      <c r="Z30" s="651"/>
      <c r="AA30" s="651"/>
      <c r="AB30" s="654" t="str">
        <f>IF(M30="","",M30)</f>
        <v/>
      </c>
      <c r="AC30" s="654" t="str">
        <f>IF(T30="","",T30*W30*X30*N30*AS30/AT30+T30*AA30*AB30*N30*AV30/AW30)</f>
        <v/>
      </c>
      <c r="AD30" s="654" t="str">
        <f>IFERROR((T30*V30*X30*N30*AS30/AT30+T30*Z30*AB30*N30*AV30/AW30)*3.6/$AP$20,"")</f>
        <v/>
      </c>
      <c r="AE30" s="663" t="str">
        <f>IFERROR(AC30*'CO₂係数 '!$I$33+AD30*$AR$20,"")</f>
        <v/>
      </c>
      <c r="AF30" s="654" t="str">
        <f>IFERROR(IF(O30="",AC30*-1,O30-AC30),"")</f>
        <v/>
      </c>
      <c r="AG30" s="663" t="str">
        <f>IFERROR(IF($AL$13=TRUE,"",P30-AD30),"")</f>
        <v/>
      </c>
      <c r="AH30" s="665" t="str">
        <f>IFERROR(AF30*'CO₂係数 '!$I$33+AG30*$AR$20,"")</f>
        <v/>
      </c>
      <c r="AI30" s="136"/>
      <c r="AJ30" s="137">
        <v>1</v>
      </c>
      <c r="AK30" s="137">
        <f t="shared" ref="AK30:AK39" si="11">IFERROR(INDEX(冷房日数,MATCH(H30,冷房日数,1),1),0)</f>
        <v>0</v>
      </c>
      <c r="AL30" s="138">
        <f t="shared" ref="AL30:AL39" si="12">IFERROR(INDEX(負荷率取得,MATCH(H30,冷房日数,1)+5,1),0)</f>
        <v>0.59050000000000002</v>
      </c>
      <c r="AM30" s="139" t="e">
        <f t="shared" si="0"/>
        <v>#N/A</v>
      </c>
      <c r="AN30" s="140">
        <f t="shared" ref="AN30:AN39" si="13">IFERROR(INDEX(暖房日数,MATCH(M30,暖房日数,1),1),0)</f>
        <v>0</v>
      </c>
      <c r="AO30" s="139">
        <f t="shared" ref="AO30:AO39" si="14">IFERROR(INDEX(負荷率取得,MATCH(M30,暖房日数,1),1),0)</f>
        <v>0.372</v>
      </c>
      <c r="AP30" s="139" t="e">
        <f t="shared" si="1"/>
        <v>#N/A</v>
      </c>
      <c r="AQ30" s="139">
        <f>IFERROR(VLOOKUP(C30,$BW$48:$BX$72,3,FALSE)/#REF!,1)</f>
        <v>1</v>
      </c>
      <c r="AR30" s="139"/>
      <c r="AS30" s="141">
        <f t="shared" ref="AS30:AS39" si="15">IFERROR(INDEX(負荷率取得,MATCH(X30,冷房日数,1)+5,1),0)</f>
        <v>0</v>
      </c>
      <c r="AT30" s="139">
        <f t="shared" si="2"/>
        <v>2.875</v>
      </c>
      <c r="AV30" s="139">
        <f t="shared" ref="AV30:AV39" si="16">IFERROR(INDEX(負荷率取得,MATCH(AB30,暖房日数,1),1),0)</f>
        <v>0</v>
      </c>
      <c r="AW30" s="139">
        <f t="shared" si="3"/>
        <v>1.7253000000000001</v>
      </c>
      <c r="BA30" s="134" t="s">
        <v>330</v>
      </c>
      <c r="BB30" s="134">
        <v>0.745</v>
      </c>
      <c r="BE30" s="142" t="s">
        <v>416</v>
      </c>
      <c r="BF30" s="143"/>
      <c r="BG30" s="143"/>
      <c r="BM30" s="821" t="s">
        <v>477</v>
      </c>
      <c r="BN30" s="821"/>
      <c r="BQ30" s="147"/>
      <c r="BR30" s="147"/>
      <c r="BS30" s="134">
        <v>0</v>
      </c>
      <c r="BT30" s="149">
        <v>0.372</v>
      </c>
      <c r="BU30" s="150">
        <f>AVERAGE(BT30:BT$31)</f>
        <v>0.372</v>
      </c>
    </row>
    <row r="31" spans="1:76" s="134" customFormat="1" ht="22.5" customHeight="1">
      <c r="A31" s="16">
        <v>2</v>
      </c>
      <c r="B31" s="581"/>
      <c r="C31" s="662"/>
      <c r="D31" s="581"/>
      <c r="E31" s="650"/>
      <c r="F31" s="651"/>
      <c r="G31" s="651"/>
      <c r="H31" s="652"/>
      <c r="I31" s="652"/>
      <c r="J31" s="653"/>
      <c r="K31" s="651"/>
      <c r="L31" s="651"/>
      <c r="M31" s="652"/>
      <c r="N31" s="652"/>
      <c r="O31" s="578" t="str">
        <f t="shared" ref="O31:O39" si="17">IF(D31="","",(D31*G31*H31*I31*AL31/AM31+D31*L31*M31*N31*AO31/AP31)/AQ31)</f>
        <v/>
      </c>
      <c r="P31" s="578" t="str">
        <f t="shared" ref="P31:P39" si="18">IFERROR(((D31*F31*H31*I31*AL31/AM31+D31*K31*M31*N31*AO31/AP31)/AQ31)*3.6/$AP$11,"")</f>
        <v/>
      </c>
      <c r="Q31" s="409" t="str">
        <f>IFERROR(O31*'CO₂係数 '!$I$33+P31*$AR$11,"")</f>
        <v/>
      </c>
      <c r="R31" s="581"/>
      <c r="S31" s="942"/>
      <c r="T31" s="581"/>
      <c r="U31" s="608"/>
      <c r="V31" s="609"/>
      <c r="W31" s="609"/>
      <c r="X31" s="621" t="str">
        <f t="shared" ref="X31:X39" si="19">IF(H31="","",H31)</f>
        <v/>
      </c>
      <c r="Y31" s="611"/>
      <c r="Z31" s="609"/>
      <c r="AA31" s="609"/>
      <c r="AB31" s="578" t="str">
        <f>IF(M31="","",M31)</f>
        <v/>
      </c>
      <c r="AC31" s="578" t="str">
        <f t="shared" ref="AC31:AC39" si="20">IF(T31="","",T31*W31*X31*N31*AS31/AT31+T31*AA31*AB31*N31*AV31/AW31)</f>
        <v/>
      </c>
      <c r="AD31" s="578" t="str">
        <f t="shared" ref="AD31:AD39" si="21">IFERROR((T31*V31*X31*N31*AS31/AT31+T31*Z31*AB31*N31*AV31/AW31)*3.6/$AP$20,"")</f>
        <v/>
      </c>
      <c r="AE31" s="409" t="str">
        <f>IFERROR(AC31*'CO₂係数 '!$I$33+AD31*$AR$20,"")</f>
        <v/>
      </c>
      <c r="AF31" s="578" t="str">
        <f t="shared" ref="AF31:AF39" si="22">IFERROR(IF(O31="",AC31*-1,O31-AC31),"")</f>
        <v/>
      </c>
      <c r="AG31" s="578" t="str">
        <f t="shared" ref="AG31:AG39" si="23">IFERROR(IF($AL$13=TRUE,"",P31-AD31),"")</f>
        <v/>
      </c>
      <c r="AH31" s="408" t="str">
        <f>IFERROR(AF31*'CO₂係数 '!$I$33+AG31*$AR$20,"")</f>
        <v/>
      </c>
      <c r="AI31" s="136"/>
      <c r="AJ31" s="137">
        <v>1</v>
      </c>
      <c r="AK31" s="137">
        <f t="shared" si="11"/>
        <v>0</v>
      </c>
      <c r="AL31" s="138">
        <f t="shared" si="12"/>
        <v>0.59050000000000002</v>
      </c>
      <c r="AM31" s="139" t="e">
        <f t="shared" si="0"/>
        <v>#N/A</v>
      </c>
      <c r="AN31" s="140">
        <f t="shared" si="13"/>
        <v>0</v>
      </c>
      <c r="AO31" s="139">
        <f t="shared" si="14"/>
        <v>0.372</v>
      </c>
      <c r="AP31" s="139" t="e">
        <f t="shared" si="1"/>
        <v>#N/A</v>
      </c>
      <c r="AQ31" s="139">
        <f>IFERROR(VLOOKUP(C31,$BW$48:$BX$72,3,FALSE)/#REF!,1)</f>
        <v>1</v>
      </c>
      <c r="AR31" s="139"/>
      <c r="AS31" s="139">
        <f t="shared" si="15"/>
        <v>0</v>
      </c>
      <c r="AT31" s="139">
        <f t="shared" si="2"/>
        <v>2.875</v>
      </c>
      <c r="AV31" s="139">
        <f t="shared" si="16"/>
        <v>0</v>
      </c>
      <c r="AW31" s="139">
        <f t="shared" si="3"/>
        <v>1.7253000000000001</v>
      </c>
      <c r="AY31" s="145">
        <v>0.5</v>
      </c>
      <c r="BA31" s="134" t="s">
        <v>331</v>
      </c>
      <c r="BB31" s="134">
        <v>0.75</v>
      </c>
      <c r="BE31" s="146" t="s">
        <v>332</v>
      </c>
      <c r="BF31" s="146" t="s">
        <v>333</v>
      </c>
      <c r="BG31" s="146" t="s">
        <v>334</v>
      </c>
      <c r="BH31" s="143" t="s">
        <v>335</v>
      </c>
      <c r="BM31" s="146" t="s">
        <v>336</v>
      </c>
      <c r="BN31" s="143" t="s">
        <v>335</v>
      </c>
      <c r="BQ31" s="147" t="s">
        <v>344</v>
      </c>
      <c r="BR31" s="147" t="s">
        <v>48</v>
      </c>
      <c r="BS31" s="134">
        <v>24</v>
      </c>
      <c r="BT31" s="149">
        <v>0.372</v>
      </c>
      <c r="BU31" s="150">
        <f>AVERAGE(BT$31:BT31)</f>
        <v>0.372</v>
      </c>
      <c r="BV31" s="134">
        <v>23</v>
      </c>
    </row>
    <row r="32" spans="1:76" s="134" customFormat="1" ht="22.5" customHeight="1">
      <c r="A32" s="16">
        <v>3</v>
      </c>
      <c r="B32" s="581"/>
      <c r="C32" s="404"/>
      <c r="D32" s="581"/>
      <c r="E32" s="650"/>
      <c r="F32" s="651"/>
      <c r="G32" s="651"/>
      <c r="H32" s="652"/>
      <c r="I32" s="652"/>
      <c r="J32" s="653"/>
      <c r="K32" s="651"/>
      <c r="L32" s="651"/>
      <c r="M32" s="652"/>
      <c r="N32" s="652"/>
      <c r="O32" s="578" t="str">
        <f t="shared" si="17"/>
        <v/>
      </c>
      <c r="P32" s="578" t="str">
        <f t="shared" si="18"/>
        <v/>
      </c>
      <c r="Q32" s="409" t="str">
        <f>IFERROR(O32*'CO₂係数 '!$I$33+P32*$AR$11,"")</f>
        <v/>
      </c>
      <c r="R32" s="581"/>
      <c r="S32" s="942"/>
      <c r="T32" s="581"/>
      <c r="U32" s="608"/>
      <c r="V32" s="609"/>
      <c r="W32" s="609"/>
      <c r="X32" s="621" t="str">
        <f t="shared" si="19"/>
        <v/>
      </c>
      <c r="Y32" s="611"/>
      <c r="Z32" s="609"/>
      <c r="AA32" s="609"/>
      <c r="AB32" s="578" t="str">
        <f t="shared" ref="AB32:AB39" si="24">IF(M32="","",M32)</f>
        <v/>
      </c>
      <c r="AC32" s="578" t="str">
        <f t="shared" si="20"/>
        <v/>
      </c>
      <c r="AD32" s="578" t="str">
        <f t="shared" si="21"/>
        <v/>
      </c>
      <c r="AE32" s="409" t="str">
        <f>IFERROR(AC32*'CO₂係数 '!$I$33+AD32*$AR$20,"")</f>
        <v/>
      </c>
      <c r="AF32" s="578" t="str">
        <f t="shared" si="22"/>
        <v/>
      </c>
      <c r="AG32" s="578" t="str">
        <f t="shared" si="23"/>
        <v/>
      </c>
      <c r="AH32" s="408" t="str">
        <f>IFERROR(AF32*'CO₂係数 '!$I$33+AG32*$AR$20,"")</f>
        <v/>
      </c>
      <c r="AI32" s="136"/>
      <c r="AJ32" s="137">
        <v>1</v>
      </c>
      <c r="AK32" s="137">
        <f t="shared" si="11"/>
        <v>0</v>
      </c>
      <c r="AL32" s="138">
        <f t="shared" si="12"/>
        <v>0.59050000000000002</v>
      </c>
      <c r="AM32" s="139" t="e">
        <f t="shared" si="0"/>
        <v>#N/A</v>
      </c>
      <c r="AN32" s="140">
        <f t="shared" si="13"/>
        <v>0</v>
      </c>
      <c r="AO32" s="139">
        <f t="shared" si="14"/>
        <v>0.372</v>
      </c>
      <c r="AP32" s="139" t="e">
        <f t="shared" si="1"/>
        <v>#N/A</v>
      </c>
      <c r="AQ32" s="139">
        <f>IFERROR(VLOOKUP(C32,$BW$48:$BX$72,3,FALSE)/#REF!,1)</f>
        <v>1</v>
      </c>
      <c r="AR32" s="139"/>
      <c r="AS32" s="139">
        <f t="shared" si="15"/>
        <v>0</v>
      </c>
      <c r="AT32" s="139">
        <f t="shared" si="2"/>
        <v>2.875</v>
      </c>
      <c r="AV32" s="139">
        <f t="shared" si="16"/>
        <v>0</v>
      </c>
      <c r="AW32" s="139">
        <f t="shared" si="3"/>
        <v>1.7253000000000001</v>
      </c>
      <c r="AY32" s="145">
        <v>0.4</v>
      </c>
      <c r="BA32" s="134" t="s">
        <v>337</v>
      </c>
      <c r="BB32" s="134">
        <v>0.755</v>
      </c>
      <c r="BD32" s="147" t="s">
        <v>338</v>
      </c>
      <c r="BE32" s="148">
        <v>0.59050000000000002</v>
      </c>
      <c r="BF32" s="149">
        <v>0</v>
      </c>
      <c r="BG32" s="149">
        <v>0.59050000000000002</v>
      </c>
      <c r="BH32" s="150">
        <f>AVERAGE(BG$32:BG32)</f>
        <v>0.59050000000000002</v>
      </c>
      <c r="BJ32" s="147" t="s">
        <v>338</v>
      </c>
      <c r="BK32" s="147" t="s">
        <v>47</v>
      </c>
      <c r="BL32" s="134">
        <v>24</v>
      </c>
      <c r="BM32" s="148">
        <f>BG32</f>
        <v>0.59050000000000002</v>
      </c>
      <c r="BN32" s="150">
        <f>AVERAGE(BM$32:BM32)</f>
        <v>0.59050000000000002</v>
      </c>
      <c r="BO32" s="134">
        <v>22</v>
      </c>
      <c r="BQ32" s="147" t="s">
        <v>346</v>
      </c>
      <c r="BR32" s="147" t="s">
        <v>48</v>
      </c>
      <c r="BS32" s="134">
        <f>BS31+24</f>
        <v>48</v>
      </c>
      <c r="BT32" s="149">
        <v>0.35100000000000003</v>
      </c>
      <c r="BU32" s="151">
        <f>AVERAGE(BT$31:BT32)</f>
        <v>0.36150000000000004</v>
      </c>
      <c r="BV32" s="134">
        <v>22</v>
      </c>
    </row>
    <row r="33" spans="1:76" s="134" customFormat="1" ht="22.5" customHeight="1">
      <c r="A33" s="16">
        <v>4</v>
      </c>
      <c r="B33" s="581"/>
      <c r="C33" s="404"/>
      <c r="D33" s="581"/>
      <c r="E33" s="608"/>
      <c r="F33" s="609"/>
      <c r="G33" s="609"/>
      <c r="H33" s="605"/>
      <c r="I33" s="605"/>
      <c r="J33" s="610"/>
      <c r="K33" s="609"/>
      <c r="L33" s="609"/>
      <c r="M33" s="605"/>
      <c r="N33" s="605"/>
      <c r="O33" s="578" t="str">
        <f t="shared" si="17"/>
        <v/>
      </c>
      <c r="P33" s="578" t="str">
        <f t="shared" si="18"/>
        <v/>
      </c>
      <c r="Q33" s="409" t="str">
        <f>IFERROR(O33*'CO₂係数 '!$I$33+P33*$AR$11,"")</f>
        <v/>
      </c>
      <c r="R33" s="581"/>
      <c r="S33" s="942"/>
      <c r="T33" s="581"/>
      <c r="U33" s="608"/>
      <c r="V33" s="609"/>
      <c r="W33" s="609"/>
      <c r="X33" s="621" t="str">
        <f t="shared" si="19"/>
        <v/>
      </c>
      <c r="Y33" s="611"/>
      <c r="Z33" s="609"/>
      <c r="AA33" s="609"/>
      <c r="AB33" s="578" t="str">
        <f t="shared" si="24"/>
        <v/>
      </c>
      <c r="AC33" s="578" t="str">
        <f t="shared" si="20"/>
        <v/>
      </c>
      <c r="AD33" s="578" t="str">
        <f t="shared" si="21"/>
        <v/>
      </c>
      <c r="AE33" s="409" t="str">
        <f>IFERROR(AC33*'CO₂係数 '!$I$33+AD33*$AR$20,"")</f>
        <v/>
      </c>
      <c r="AF33" s="578" t="str">
        <f t="shared" si="22"/>
        <v/>
      </c>
      <c r="AG33" s="578" t="str">
        <f t="shared" si="23"/>
        <v/>
      </c>
      <c r="AH33" s="408" t="str">
        <f>IFERROR(AF33*'CO₂係数 '!$I$33+AG33*$AR$20,"")</f>
        <v/>
      </c>
      <c r="AI33" s="136"/>
      <c r="AJ33" s="137">
        <v>1</v>
      </c>
      <c r="AK33" s="137">
        <f t="shared" si="11"/>
        <v>0</v>
      </c>
      <c r="AL33" s="138">
        <f t="shared" si="12"/>
        <v>0.59050000000000002</v>
      </c>
      <c r="AM33" s="139" t="e">
        <f t="shared" si="0"/>
        <v>#N/A</v>
      </c>
      <c r="AN33" s="140">
        <f t="shared" si="13"/>
        <v>0</v>
      </c>
      <c r="AO33" s="139">
        <f t="shared" si="14"/>
        <v>0.372</v>
      </c>
      <c r="AP33" s="139" t="e">
        <f t="shared" si="1"/>
        <v>#N/A</v>
      </c>
      <c r="AQ33" s="139">
        <f>IFERROR(VLOOKUP(C33,$BW$48:$BX$72,3,FALSE)/#REF!,1)</f>
        <v>1</v>
      </c>
      <c r="AR33" s="139"/>
      <c r="AS33" s="139">
        <f t="shared" si="15"/>
        <v>0</v>
      </c>
      <c r="AT33" s="139">
        <f t="shared" si="2"/>
        <v>2.875</v>
      </c>
      <c r="AV33" s="139">
        <f t="shared" si="16"/>
        <v>0</v>
      </c>
      <c r="AW33" s="139">
        <f t="shared" si="3"/>
        <v>1.7253000000000001</v>
      </c>
      <c r="AY33" s="145">
        <v>0.3</v>
      </c>
      <c r="BA33" s="134" t="s">
        <v>339</v>
      </c>
      <c r="BB33" s="134">
        <v>0.76</v>
      </c>
      <c r="BD33" s="147" t="s">
        <v>340</v>
      </c>
      <c r="BE33" s="148">
        <v>0.5625</v>
      </c>
      <c r="BF33" s="149">
        <v>0</v>
      </c>
      <c r="BG33" s="149">
        <v>0.5625</v>
      </c>
      <c r="BH33" s="150">
        <f>AVERAGE(BG$32:BG33)</f>
        <v>0.57650000000000001</v>
      </c>
      <c r="BJ33" s="147" t="s">
        <v>340</v>
      </c>
      <c r="BK33" s="147" t="s">
        <v>47</v>
      </c>
      <c r="BL33" s="134">
        <f>BL32+24</f>
        <v>48</v>
      </c>
      <c r="BM33" s="148">
        <f t="shared" ref="BM33:BM43" si="25">BG33</f>
        <v>0.5625</v>
      </c>
      <c r="BN33" s="150">
        <f>AVERAGE(BM$32:BM33)</f>
        <v>0.57650000000000001</v>
      </c>
      <c r="BO33" s="134">
        <v>26</v>
      </c>
      <c r="BQ33" s="147" t="s">
        <v>350</v>
      </c>
      <c r="BR33" s="147" t="s">
        <v>48</v>
      </c>
      <c r="BS33" s="134">
        <f>BS32+24</f>
        <v>72</v>
      </c>
      <c r="BT33" s="149">
        <v>0.28425</v>
      </c>
      <c r="BU33" s="150">
        <f>AVERAGE(BT$31:BT33)</f>
        <v>0.33574999999999999</v>
      </c>
      <c r="BV33" s="134">
        <v>25</v>
      </c>
    </row>
    <row r="34" spans="1:76" s="134" customFormat="1" ht="22.5" customHeight="1">
      <c r="A34" s="16">
        <v>5</v>
      </c>
      <c r="B34" s="581"/>
      <c r="C34" s="404"/>
      <c r="D34" s="581"/>
      <c r="E34" s="608"/>
      <c r="F34" s="609"/>
      <c r="G34" s="609"/>
      <c r="H34" s="605"/>
      <c r="I34" s="605"/>
      <c r="J34" s="610"/>
      <c r="K34" s="609"/>
      <c r="L34" s="609"/>
      <c r="M34" s="605"/>
      <c r="N34" s="605"/>
      <c r="O34" s="578" t="str">
        <f t="shared" si="17"/>
        <v/>
      </c>
      <c r="P34" s="578" t="str">
        <f t="shared" si="18"/>
        <v/>
      </c>
      <c r="Q34" s="409" t="str">
        <f>IFERROR(O34*'CO₂係数 '!$I$33+P34*$AR$11,"")</f>
        <v/>
      </c>
      <c r="R34" s="581"/>
      <c r="S34" s="942"/>
      <c r="T34" s="581"/>
      <c r="U34" s="608"/>
      <c r="V34" s="609"/>
      <c r="W34" s="609"/>
      <c r="X34" s="621" t="str">
        <f t="shared" si="19"/>
        <v/>
      </c>
      <c r="Y34" s="611"/>
      <c r="Z34" s="609"/>
      <c r="AA34" s="609"/>
      <c r="AB34" s="578" t="str">
        <f t="shared" si="24"/>
        <v/>
      </c>
      <c r="AC34" s="578" t="str">
        <f t="shared" si="20"/>
        <v/>
      </c>
      <c r="AD34" s="578" t="str">
        <f t="shared" si="21"/>
        <v/>
      </c>
      <c r="AE34" s="409" t="str">
        <f>IFERROR(AC34*'CO₂係数 '!$I$33+AD34*$AR$20,"")</f>
        <v/>
      </c>
      <c r="AF34" s="578" t="str">
        <f t="shared" si="22"/>
        <v/>
      </c>
      <c r="AG34" s="578" t="str">
        <f t="shared" si="23"/>
        <v/>
      </c>
      <c r="AH34" s="408" t="str">
        <f>IFERROR(AF34*'CO₂係数 '!$I$33+AG34*$AR$20,"")</f>
        <v/>
      </c>
      <c r="AI34" s="136"/>
      <c r="AJ34" s="137">
        <v>1</v>
      </c>
      <c r="AK34" s="137">
        <f t="shared" si="11"/>
        <v>0</v>
      </c>
      <c r="AL34" s="138">
        <f t="shared" si="12"/>
        <v>0.59050000000000002</v>
      </c>
      <c r="AM34" s="139" t="e">
        <f t="shared" si="0"/>
        <v>#N/A</v>
      </c>
      <c r="AN34" s="140">
        <f t="shared" si="13"/>
        <v>0</v>
      </c>
      <c r="AO34" s="139">
        <f t="shared" si="14"/>
        <v>0.372</v>
      </c>
      <c r="AP34" s="139" t="e">
        <f t="shared" si="1"/>
        <v>#N/A</v>
      </c>
      <c r="AQ34" s="139">
        <f>IFERROR(VLOOKUP(C34,$BW$48:$BX$72,3,FALSE)/#REF!,1)</f>
        <v>1</v>
      </c>
      <c r="AR34" s="139"/>
      <c r="AS34" s="139">
        <f t="shared" si="15"/>
        <v>0</v>
      </c>
      <c r="AT34" s="139">
        <f t="shared" si="2"/>
        <v>2.875</v>
      </c>
      <c r="AV34" s="139">
        <f t="shared" si="16"/>
        <v>0</v>
      </c>
      <c r="AW34" s="139">
        <f t="shared" si="3"/>
        <v>1.7253000000000001</v>
      </c>
      <c r="AY34" s="145">
        <v>0.2</v>
      </c>
      <c r="BA34" s="134" t="s">
        <v>341</v>
      </c>
      <c r="BB34" s="134">
        <v>0.76500000000000001</v>
      </c>
      <c r="BD34" s="147" t="s">
        <v>342</v>
      </c>
      <c r="BE34" s="148">
        <v>0.43099999999999999</v>
      </c>
      <c r="BF34" s="149">
        <v>0</v>
      </c>
      <c r="BG34" s="149">
        <v>0.43099999999999999</v>
      </c>
      <c r="BH34" s="150">
        <f>AVERAGE(BG$32:BG34)</f>
        <v>0.52800000000000002</v>
      </c>
      <c r="BJ34" s="147" t="s">
        <v>342</v>
      </c>
      <c r="BK34" s="147" t="s">
        <v>47</v>
      </c>
      <c r="BL34" s="134">
        <f>BL33+24</f>
        <v>72</v>
      </c>
      <c r="BM34" s="148">
        <f t="shared" si="25"/>
        <v>0.43099999999999999</v>
      </c>
      <c r="BN34" s="150">
        <f>AVERAGE(BM$32:BM34)</f>
        <v>0.52800000000000002</v>
      </c>
      <c r="BO34" s="134">
        <v>24</v>
      </c>
      <c r="BQ34" s="147" t="s">
        <v>352</v>
      </c>
      <c r="BR34" s="147" t="s">
        <v>48</v>
      </c>
      <c r="BS34" s="134">
        <f t="shared" ref="BS34:BS35" si="26">BS33+24</f>
        <v>96</v>
      </c>
      <c r="BT34" s="149">
        <v>0.26524999999999999</v>
      </c>
      <c r="BU34" s="150">
        <f>AVERAGE(BT$31:BT34)</f>
        <v>0.31812499999999999</v>
      </c>
      <c r="BV34" s="134">
        <v>25</v>
      </c>
    </row>
    <row r="35" spans="1:76" s="134" customFormat="1" ht="22.5" customHeight="1">
      <c r="A35" s="16">
        <v>6</v>
      </c>
      <c r="B35" s="581"/>
      <c r="C35" s="404"/>
      <c r="D35" s="581"/>
      <c r="E35" s="608"/>
      <c r="F35" s="609"/>
      <c r="G35" s="609"/>
      <c r="H35" s="605"/>
      <c r="I35" s="605"/>
      <c r="J35" s="610"/>
      <c r="K35" s="609"/>
      <c r="L35" s="609"/>
      <c r="M35" s="605"/>
      <c r="N35" s="605"/>
      <c r="O35" s="578" t="str">
        <f t="shared" si="17"/>
        <v/>
      </c>
      <c r="P35" s="578" t="str">
        <f t="shared" si="18"/>
        <v/>
      </c>
      <c r="Q35" s="409" t="str">
        <f>IFERROR(O35*'CO₂係数 '!$I$33+P35*$AR$11,"")</f>
        <v/>
      </c>
      <c r="R35" s="581"/>
      <c r="S35" s="942"/>
      <c r="T35" s="581"/>
      <c r="U35" s="608"/>
      <c r="V35" s="609"/>
      <c r="W35" s="609"/>
      <c r="X35" s="621" t="str">
        <f t="shared" si="19"/>
        <v/>
      </c>
      <c r="Y35" s="611"/>
      <c r="Z35" s="609"/>
      <c r="AA35" s="609"/>
      <c r="AB35" s="578" t="str">
        <f t="shared" si="24"/>
        <v/>
      </c>
      <c r="AC35" s="578" t="str">
        <f t="shared" si="20"/>
        <v/>
      </c>
      <c r="AD35" s="578" t="str">
        <f t="shared" si="21"/>
        <v/>
      </c>
      <c r="AE35" s="409" t="str">
        <f>IFERROR(AC35*'CO₂係数 '!$I$33+AD35*$AR$20,"")</f>
        <v/>
      </c>
      <c r="AF35" s="578" t="str">
        <f t="shared" si="22"/>
        <v/>
      </c>
      <c r="AG35" s="578" t="str">
        <f t="shared" si="23"/>
        <v/>
      </c>
      <c r="AH35" s="408" t="str">
        <f>IFERROR(AF35*'CO₂係数 '!$I$33+AG35*$AR$20,"")</f>
        <v/>
      </c>
      <c r="AI35" s="136"/>
      <c r="AJ35" s="137">
        <v>1</v>
      </c>
      <c r="AK35" s="137">
        <f t="shared" si="11"/>
        <v>0</v>
      </c>
      <c r="AL35" s="138">
        <f t="shared" si="12"/>
        <v>0.59050000000000002</v>
      </c>
      <c r="AM35" s="139" t="e">
        <f t="shared" si="0"/>
        <v>#N/A</v>
      </c>
      <c r="AN35" s="140">
        <f t="shared" si="13"/>
        <v>0</v>
      </c>
      <c r="AO35" s="139">
        <f t="shared" si="14"/>
        <v>0.372</v>
      </c>
      <c r="AP35" s="139" t="e">
        <f t="shared" si="1"/>
        <v>#N/A</v>
      </c>
      <c r="AQ35" s="139">
        <f>IFERROR(VLOOKUP(C35,$BW$48:$BX$72,3,FALSE)/#REF!,1)</f>
        <v>1</v>
      </c>
      <c r="AR35" s="139"/>
      <c r="AS35" s="139">
        <f t="shared" si="15"/>
        <v>0</v>
      </c>
      <c r="AT35" s="139">
        <f t="shared" si="2"/>
        <v>2.875</v>
      </c>
      <c r="AV35" s="139">
        <f t="shared" si="16"/>
        <v>0</v>
      </c>
      <c r="AW35" s="139">
        <f t="shared" si="3"/>
        <v>1.7253000000000001</v>
      </c>
      <c r="BA35" s="134" t="s">
        <v>343</v>
      </c>
      <c r="BB35" s="134">
        <v>0.77</v>
      </c>
      <c r="BD35" s="147" t="s">
        <v>344</v>
      </c>
      <c r="BE35" s="149">
        <v>0</v>
      </c>
      <c r="BF35" s="148">
        <v>0.372</v>
      </c>
      <c r="BG35" s="149">
        <v>0.372</v>
      </c>
      <c r="BH35" s="150">
        <f>AVERAGE(BG$32:BG35)</f>
        <v>0.48899999999999999</v>
      </c>
      <c r="BJ35" s="147" t="s">
        <v>344</v>
      </c>
      <c r="BK35" s="147" t="s">
        <v>48</v>
      </c>
      <c r="BL35" s="134">
        <f t="shared" ref="BL35:BL43" si="27">BL34+24</f>
        <v>96</v>
      </c>
      <c r="BM35" s="148">
        <f t="shared" si="25"/>
        <v>0.372</v>
      </c>
      <c r="BN35" s="150">
        <f>AVERAGE(BM$32:BM35)</f>
        <v>0.48899999999999999</v>
      </c>
      <c r="BO35" s="134">
        <v>23</v>
      </c>
      <c r="BQ35" s="152" t="s">
        <v>358</v>
      </c>
      <c r="BR35" s="152" t="s">
        <v>48</v>
      </c>
      <c r="BS35" s="153">
        <f t="shared" si="26"/>
        <v>120</v>
      </c>
      <c r="BT35" s="149">
        <v>0.15925</v>
      </c>
      <c r="BU35" s="154">
        <f>AVERAGE(BT$31:BT35)</f>
        <v>0.28634999999999999</v>
      </c>
      <c r="BV35" s="153">
        <v>25</v>
      </c>
    </row>
    <row r="36" spans="1:76" s="134" customFormat="1" ht="22.5" customHeight="1">
      <c r="A36" s="16">
        <v>7</v>
      </c>
      <c r="B36" s="581"/>
      <c r="C36" s="404"/>
      <c r="D36" s="581"/>
      <c r="E36" s="608"/>
      <c r="F36" s="609"/>
      <c r="G36" s="609"/>
      <c r="H36" s="605"/>
      <c r="I36" s="605"/>
      <c r="J36" s="610"/>
      <c r="K36" s="609"/>
      <c r="L36" s="609"/>
      <c r="M36" s="605"/>
      <c r="N36" s="605"/>
      <c r="O36" s="578" t="str">
        <f t="shared" si="17"/>
        <v/>
      </c>
      <c r="P36" s="578" t="str">
        <f t="shared" si="18"/>
        <v/>
      </c>
      <c r="Q36" s="409" t="str">
        <f>IFERROR(O36*'CO₂係数 '!$I$33+P36*$AR$11,"")</f>
        <v/>
      </c>
      <c r="R36" s="581"/>
      <c r="S36" s="942"/>
      <c r="T36" s="581"/>
      <c r="U36" s="608"/>
      <c r="V36" s="609"/>
      <c r="W36" s="609"/>
      <c r="X36" s="621" t="str">
        <f t="shared" si="19"/>
        <v/>
      </c>
      <c r="Y36" s="611"/>
      <c r="Z36" s="609"/>
      <c r="AA36" s="609"/>
      <c r="AB36" s="578" t="str">
        <f t="shared" si="24"/>
        <v/>
      </c>
      <c r="AC36" s="578" t="str">
        <f t="shared" si="20"/>
        <v/>
      </c>
      <c r="AD36" s="578" t="str">
        <f t="shared" si="21"/>
        <v/>
      </c>
      <c r="AE36" s="409" t="str">
        <f>IFERROR(AC36*'CO₂係数 '!$I$33+AD36*$AR$20,"")</f>
        <v/>
      </c>
      <c r="AF36" s="578" t="str">
        <f t="shared" si="22"/>
        <v/>
      </c>
      <c r="AG36" s="578" t="str">
        <f t="shared" si="23"/>
        <v/>
      </c>
      <c r="AH36" s="408" t="str">
        <f>IFERROR(AF36*'CO₂係数 '!$I$33+AG36*$AR$20,"")</f>
        <v/>
      </c>
      <c r="AI36" s="136"/>
      <c r="AJ36" s="137">
        <v>1</v>
      </c>
      <c r="AK36" s="137">
        <f t="shared" si="11"/>
        <v>0</v>
      </c>
      <c r="AL36" s="138">
        <f t="shared" si="12"/>
        <v>0.59050000000000002</v>
      </c>
      <c r="AM36" s="139" t="e">
        <f t="shared" si="0"/>
        <v>#N/A</v>
      </c>
      <c r="AN36" s="140">
        <f t="shared" si="13"/>
        <v>0</v>
      </c>
      <c r="AO36" s="139">
        <f t="shared" si="14"/>
        <v>0.372</v>
      </c>
      <c r="AP36" s="139" t="e">
        <f t="shared" si="1"/>
        <v>#N/A</v>
      </c>
      <c r="AQ36" s="139">
        <f>IFERROR(VLOOKUP(C36,$BW$48:$BX$72,3,FALSE)/#REF!,1)</f>
        <v>1</v>
      </c>
      <c r="AR36" s="139"/>
      <c r="AS36" s="139">
        <f t="shared" si="15"/>
        <v>0</v>
      </c>
      <c r="AT36" s="139">
        <f t="shared" si="2"/>
        <v>2.875</v>
      </c>
      <c r="AV36" s="139">
        <f t="shared" si="16"/>
        <v>0</v>
      </c>
      <c r="AW36" s="139">
        <f t="shared" si="3"/>
        <v>1.7253000000000001</v>
      </c>
      <c r="AY36" s="134" t="s">
        <v>495</v>
      </c>
      <c r="BA36" s="134" t="s">
        <v>345</v>
      </c>
      <c r="BB36" s="134">
        <v>0.77500000000000002</v>
      </c>
      <c r="BD36" s="147" t="s">
        <v>346</v>
      </c>
      <c r="BE36" s="149">
        <v>0</v>
      </c>
      <c r="BF36" s="148">
        <v>0.35100000000000003</v>
      </c>
      <c r="BG36" s="149">
        <v>0.35100000000000003</v>
      </c>
      <c r="BH36" s="150">
        <f>AVERAGE(BG$32:BG36)</f>
        <v>0.46139999999999998</v>
      </c>
      <c r="BJ36" s="147" t="s">
        <v>346</v>
      </c>
      <c r="BK36" s="147" t="s">
        <v>48</v>
      </c>
      <c r="BL36" s="134">
        <f t="shared" si="27"/>
        <v>120</v>
      </c>
      <c r="BM36" s="148">
        <f t="shared" si="25"/>
        <v>0.35100000000000003</v>
      </c>
      <c r="BN36" s="150">
        <f>AVERAGE(BM$32:BM36)</f>
        <v>0.46139999999999998</v>
      </c>
      <c r="BO36" s="134">
        <v>22</v>
      </c>
      <c r="BQ36" s="147"/>
      <c r="BR36" s="147"/>
      <c r="BS36" s="134">
        <v>0</v>
      </c>
      <c r="BT36" s="155">
        <v>0.59050000000000002</v>
      </c>
      <c r="BU36" s="150">
        <f>AVERAGE(BT36:BT$37)</f>
        <v>0.59050000000000002</v>
      </c>
    </row>
    <row r="37" spans="1:76" s="134" customFormat="1" ht="22.5" customHeight="1">
      <c r="A37" s="16">
        <v>8</v>
      </c>
      <c r="B37" s="581"/>
      <c r="C37" s="404"/>
      <c r="D37" s="581"/>
      <c r="E37" s="608"/>
      <c r="F37" s="609"/>
      <c r="G37" s="609"/>
      <c r="H37" s="605"/>
      <c r="I37" s="605"/>
      <c r="J37" s="610"/>
      <c r="K37" s="609"/>
      <c r="L37" s="609"/>
      <c r="M37" s="605"/>
      <c r="N37" s="605"/>
      <c r="O37" s="578" t="str">
        <f t="shared" si="17"/>
        <v/>
      </c>
      <c r="P37" s="578" t="str">
        <f t="shared" si="18"/>
        <v/>
      </c>
      <c r="Q37" s="409" t="str">
        <f>IFERROR(O37*'CO₂係数 '!$I$33+P37*$AR$11,"")</f>
        <v/>
      </c>
      <c r="R37" s="581"/>
      <c r="S37" s="942"/>
      <c r="T37" s="581"/>
      <c r="U37" s="608"/>
      <c r="V37" s="609"/>
      <c r="W37" s="609"/>
      <c r="X37" s="621" t="str">
        <f t="shared" si="19"/>
        <v/>
      </c>
      <c r="Y37" s="611"/>
      <c r="Z37" s="609"/>
      <c r="AA37" s="609"/>
      <c r="AB37" s="578" t="str">
        <f t="shared" si="24"/>
        <v/>
      </c>
      <c r="AC37" s="578" t="str">
        <f t="shared" si="20"/>
        <v/>
      </c>
      <c r="AD37" s="578" t="str">
        <f t="shared" si="21"/>
        <v/>
      </c>
      <c r="AE37" s="409" t="str">
        <f>IFERROR(AC37*'CO₂係数 '!$I$33+AD37*$AR$20,"")</f>
        <v/>
      </c>
      <c r="AF37" s="578" t="str">
        <f t="shared" si="22"/>
        <v/>
      </c>
      <c r="AG37" s="578" t="str">
        <f t="shared" si="23"/>
        <v/>
      </c>
      <c r="AH37" s="408" t="str">
        <f>IFERROR(AF37*'CO₂係数 '!$I$33+AG37*$AR$20,"")</f>
        <v/>
      </c>
      <c r="AI37" s="136"/>
      <c r="AJ37" s="137">
        <v>1</v>
      </c>
      <c r="AK37" s="137">
        <f t="shared" si="11"/>
        <v>0</v>
      </c>
      <c r="AL37" s="138">
        <f t="shared" si="12"/>
        <v>0.59050000000000002</v>
      </c>
      <c r="AM37" s="139" t="e">
        <f t="shared" si="0"/>
        <v>#N/A</v>
      </c>
      <c r="AN37" s="140">
        <f t="shared" si="13"/>
        <v>0</v>
      </c>
      <c r="AO37" s="139">
        <f t="shared" si="14"/>
        <v>0.372</v>
      </c>
      <c r="AP37" s="139" t="e">
        <f t="shared" si="1"/>
        <v>#N/A</v>
      </c>
      <c r="AQ37" s="139">
        <f>IFERROR(VLOOKUP(C37,$BW$48:$BX$72,3,FALSE)/#REF!,1)</f>
        <v>1</v>
      </c>
      <c r="AR37" s="139"/>
      <c r="AS37" s="139">
        <f t="shared" si="15"/>
        <v>0</v>
      </c>
      <c r="AT37" s="139">
        <f t="shared" si="2"/>
        <v>2.875</v>
      </c>
      <c r="AV37" s="139">
        <f t="shared" si="16"/>
        <v>0</v>
      </c>
      <c r="AW37" s="139">
        <f t="shared" si="3"/>
        <v>1.7253000000000001</v>
      </c>
      <c r="AY37" s="134" t="s">
        <v>496</v>
      </c>
      <c r="BA37" s="134" t="s">
        <v>347</v>
      </c>
      <c r="BB37" s="134">
        <v>0.78</v>
      </c>
      <c r="BD37" s="147" t="s">
        <v>348</v>
      </c>
      <c r="BE37" s="148">
        <v>0.31225000000000003</v>
      </c>
      <c r="BF37" s="149">
        <v>0</v>
      </c>
      <c r="BG37" s="149">
        <v>0.31225000000000003</v>
      </c>
      <c r="BH37" s="150">
        <f>AVERAGE(BG$32:BG37)</f>
        <v>0.43654166666666666</v>
      </c>
      <c r="BJ37" s="147" t="s">
        <v>348</v>
      </c>
      <c r="BK37" s="147" t="s">
        <v>47</v>
      </c>
      <c r="BL37" s="134">
        <f t="shared" si="27"/>
        <v>144</v>
      </c>
      <c r="BM37" s="148">
        <f t="shared" si="25"/>
        <v>0.31225000000000003</v>
      </c>
      <c r="BN37" s="150">
        <f>AVERAGE(BM$32:BM37)</f>
        <v>0.43654166666666666</v>
      </c>
      <c r="BO37" s="134">
        <v>26</v>
      </c>
      <c r="BQ37" s="147" t="s">
        <v>338</v>
      </c>
      <c r="BR37" s="147" t="s">
        <v>47</v>
      </c>
      <c r="BS37" s="134">
        <v>24</v>
      </c>
      <c r="BT37" s="155">
        <v>0.59050000000000002</v>
      </c>
      <c r="BU37" s="150">
        <f>AVERAGE(BT$37:BT37)</f>
        <v>0.59050000000000002</v>
      </c>
      <c r="BV37" s="134">
        <v>22</v>
      </c>
    </row>
    <row r="38" spans="1:76" s="134" customFormat="1" ht="22.5" customHeight="1">
      <c r="A38" s="16">
        <v>9</v>
      </c>
      <c r="B38" s="581"/>
      <c r="C38" s="404"/>
      <c r="D38" s="581"/>
      <c r="E38" s="608"/>
      <c r="F38" s="609"/>
      <c r="G38" s="609"/>
      <c r="H38" s="605"/>
      <c r="I38" s="605"/>
      <c r="J38" s="610"/>
      <c r="K38" s="609"/>
      <c r="L38" s="609"/>
      <c r="M38" s="605"/>
      <c r="N38" s="605"/>
      <c r="O38" s="578" t="str">
        <f t="shared" si="17"/>
        <v/>
      </c>
      <c r="P38" s="578" t="str">
        <f t="shared" si="18"/>
        <v/>
      </c>
      <c r="Q38" s="409" t="str">
        <f>IFERROR(O38*'CO₂係数 '!$I$33+P38*$AR$11,"")</f>
        <v/>
      </c>
      <c r="R38" s="581"/>
      <c r="S38" s="942"/>
      <c r="T38" s="581"/>
      <c r="U38" s="608"/>
      <c r="V38" s="609"/>
      <c r="W38" s="609"/>
      <c r="X38" s="621" t="str">
        <f t="shared" si="19"/>
        <v/>
      </c>
      <c r="Y38" s="611"/>
      <c r="Z38" s="609"/>
      <c r="AA38" s="609"/>
      <c r="AB38" s="578" t="str">
        <f t="shared" si="24"/>
        <v/>
      </c>
      <c r="AC38" s="578" t="str">
        <f t="shared" si="20"/>
        <v/>
      </c>
      <c r="AD38" s="578" t="str">
        <f t="shared" si="21"/>
        <v/>
      </c>
      <c r="AE38" s="409" t="str">
        <f>IFERROR(AC38*'CO₂係数 '!$I$33+AD38*$AR$20,"")</f>
        <v/>
      </c>
      <c r="AF38" s="578" t="str">
        <f t="shared" si="22"/>
        <v/>
      </c>
      <c r="AG38" s="578" t="str">
        <f t="shared" si="23"/>
        <v/>
      </c>
      <c r="AH38" s="408" t="str">
        <f>IFERROR(AF38*'CO₂係数 '!$I$33+AG38*$AR$20,"")</f>
        <v/>
      </c>
      <c r="AI38" s="136"/>
      <c r="AJ38" s="137">
        <v>1</v>
      </c>
      <c r="AK38" s="137">
        <f t="shared" si="11"/>
        <v>0</v>
      </c>
      <c r="AL38" s="138">
        <f t="shared" si="12"/>
        <v>0.59050000000000002</v>
      </c>
      <c r="AM38" s="139" t="e">
        <f t="shared" si="0"/>
        <v>#N/A</v>
      </c>
      <c r="AN38" s="140">
        <f t="shared" si="13"/>
        <v>0</v>
      </c>
      <c r="AO38" s="139">
        <f t="shared" si="14"/>
        <v>0.372</v>
      </c>
      <c r="AP38" s="139" t="e">
        <f t="shared" si="1"/>
        <v>#N/A</v>
      </c>
      <c r="AQ38" s="139">
        <f>IFERROR(VLOOKUP(C38,$BW$48:$BX$72,3,FALSE)/#REF!,1)</f>
        <v>1</v>
      </c>
      <c r="AR38" s="139"/>
      <c r="AS38" s="139">
        <f t="shared" si="15"/>
        <v>0</v>
      </c>
      <c r="AT38" s="139">
        <f t="shared" si="2"/>
        <v>2.875</v>
      </c>
      <c r="AV38" s="139">
        <f t="shared" si="16"/>
        <v>0</v>
      </c>
      <c r="AW38" s="139">
        <f t="shared" si="3"/>
        <v>1.7253000000000001</v>
      </c>
      <c r="AY38" s="134" t="s">
        <v>498</v>
      </c>
      <c r="BA38" s="134" t="s">
        <v>349</v>
      </c>
      <c r="BB38" s="134">
        <v>0.78500000000000003</v>
      </c>
      <c r="BD38" s="147" t="s">
        <v>350</v>
      </c>
      <c r="BE38" s="149">
        <v>0</v>
      </c>
      <c r="BF38" s="148">
        <v>0.28425</v>
      </c>
      <c r="BG38" s="149">
        <v>0.28425</v>
      </c>
      <c r="BH38" s="150">
        <f>AVERAGE(BG$32:BG38)</f>
        <v>0.41478571428571431</v>
      </c>
      <c r="BJ38" s="147" t="s">
        <v>350</v>
      </c>
      <c r="BK38" s="147" t="s">
        <v>48</v>
      </c>
      <c r="BL38" s="134">
        <f t="shared" si="27"/>
        <v>168</v>
      </c>
      <c r="BM38" s="148">
        <f t="shared" si="25"/>
        <v>0.28425</v>
      </c>
      <c r="BN38" s="150">
        <f>AVERAGE(BM$32:BM38)</f>
        <v>0.41478571428571431</v>
      </c>
      <c r="BO38" s="134">
        <v>25</v>
      </c>
      <c r="BQ38" s="147" t="s">
        <v>340</v>
      </c>
      <c r="BR38" s="147" t="s">
        <v>47</v>
      </c>
      <c r="BS38" s="134">
        <f>BS37+24</f>
        <v>48</v>
      </c>
      <c r="BT38" s="149">
        <v>0.5625</v>
      </c>
      <c r="BU38" s="150">
        <f>AVERAGE(BT$37:BT38)</f>
        <v>0.57650000000000001</v>
      </c>
      <c r="BV38" s="134">
        <v>26</v>
      </c>
    </row>
    <row r="39" spans="1:76" s="134" customFormat="1" ht="22.5" customHeight="1">
      <c r="A39" s="16">
        <v>10</v>
      </c>
      <c r="B39" s="581"/>
      <c r="C39" s="404"/>
      <c r="D39" s="581"/>
      <c r="E39" s="608"/>
      <c r="F39" s="609"/>
      <c r="G39" s="609"/>
      <c r="H39" s="605"/>
      <c r="I39" s="605"/>
      <c r="J39" s="610"/>
      <c r="K39" s="609"/>
      <c r="L39" s="609"/>
      <c r="M39" s="605"/>
      <c r="N39" s="605"/>
      <c r="O39" s="578" t="str">
        <f t="shared" si="17"/>
        <v/>
      </c>
      <c r="P39" s="578" t="str">
        <f t="shared" si="18"/>
        <v/>
      </c>
      <c r="Q39" s="409" t="str">
        <f>IFERROR(O39*'CO₂係数 '!$I$33+P39*$AR$11,"")</f>
        <v/>
      </c>
      <c r="R39" s="581"/>
      <c r="S39" s="942"/>
      <c r="T39" s="581"/>
      <c r="U39" s="608"/>
      <c r="V39" s="609"/>
      <c r="W39" s="609"/>
      <c r="X39" s="621" t="str">
        <f t="shared" si="19"/>
        <v/>
      </c>
      <c r="Y39" s="611"/>
      <c r="Z39" s="609"/>
      <c r="AA39" s="609"/>
      <c r="AB39" s="578" t="str">
        <f t="shared" si="24"/>
        <v/>
      </c>
      <c r="AC39" s="578" t="str">
        <f t="shared" si="20"/>
        <v/>
      </c>
      <c r="AD39" s="578" t="str">
        <f t="shared" si="21"/>
        <v/>
      </c>
      <c r="AE39" s="409" t="str">
        <f>IFERROR(AC39*'CO₂係数 '!$I$33+AD39*$AR$20,"")</f>
        <v/>
      </c>
      <c r="AF39" s="578" t="str">
        <f t="shared" si="22"/>
        <v/>
      </c>
      <c r="AG39" s="578" t="str">
        <f t="shared" si="23"/>
        <v/>
      </c>
      <c r="AH39" s="408" t="str">
        <f>IFERROR(AF39*'CO₂係数 '!$I$33+AG39*$AR$20,"")</f>
        <v/>
      </c>
      <c r="AI39" s="136"/>
      <c r="AJ39" s="137">
        <v>1</v>
      </c>
      <c r="AK39" s="137">
        <f t="shared" si="11"/>
        <v>0</v>
      </c>
      <c r="AL39" s="138">
        <f t="shared" si="12"/>
        <v>0.59050000000000002</v>
      </c>
      <c r="AM39" s="139" t="e">
        <f t="shared" si="0"/>
        <v>#N/A</v>
      </c>
      <c r="AN39" s="140">
        <f t="shared" si="13"/>
        <v>0</v>
      </c>
      <c r="AO39" s="139">
        <f t="shared" si="14"/>
        <v>0.372</v>
      </c>
      <c r="AP39" s="139" t="e">
        <f t="shared" si="1"/>
        <v>#N/A</v>
      </c>
      <c r="AQ39" s="139">
        <f>IFERROR(VLOOKUP(C39,$BW$48:$BX$72,3,FALSE)/#REF!,1)</f>
        <v>1</v>
      </c>
      <c r="AR39" s="139"/>
      <c r="AS39" s="139">
        <f t="shared" si="15"/>
        <v>0</v>
      </c>
      <c r="AT39" s="139">
        <f t="shared" si="2"/>
        <v>2.875</v>
      </c>
      <c r="AV39" s="139">
        <f t="shared" si="16"/>
        <v>0</v>
      </c>
      <c r="AW39" s="139">
        <f t="shared" si="3"/>
        <v>1.7253000000000001</v>
      </c>
      <c r="AY39" s="134" t="s">
        <v>500</v>
      </c>
      <c r="BA39" s="134" t="s">
        <v>351</v>
      </c>
      <c r="BB39" s="134">
        <v>0.79</v>
      </c>
      <c r="BD39" s="147" t="s">
        <v>352</v>
      </c>
      <c r="BE39" s="149">
        <v>8.8249999999999995E-2</v>
      </c>
      <c r="BF39" s="148">
        <v>0.26524999999999999</v>
      </c>
      <c r="BG39" s="149">
        <v>0.26524999999999999</v>
      </c>
      <c r="BH39" s="150">
        <f>AVERAGE(BG$32:BG39)</f>
        <v>0.39609375000000002</v>
      </c>
      <c r="BJ39" s="147" t="s">
        <v>352</v>
      </c>
      <c r="BK39" s="147" t="s">
        <v>48</v>
      </c>
      <c r="BL39" s="134">
        <f t="shared" si="27"/>
        <v>192</v>
      </c>
      <c r="BM39" s="148">
        <f t="shared" si="25"/>
        <v>0.26524999999999999</v>
      </c>
      <c r="BN39" s="150">
        <f>AVERAGE(BM$32:BM39)</f>
        <v>0.39609375000000002</v>
      </c>
      <c r="BO39" s="134">
        <v>25</v>
      </c>
      <c r="BQ39" s="147" t="s">
        <v>342</v>
      </c>
      <c r="BR39" s="147" t="s">
        <v>47</v>
      </c>
      <c r="BS39" s="134">
        <f t="shared" ref="BS39:BS43" si="28">BS38+24</f>
        <v>72</v>
      </c>
      <c r="BT39" s="149">
        <v>0.43099999999999999</v>
      </c>
      <c r="BU39" s="150">
        <f>AVERAGE(BT$37:BT39)</f>
        <v>0.52800000000000002</v>
      </c>
      <c r="BV39" s="134">
        <v>24</v>
      </c>
    </row>
    <row r="40" spans="1:76" s="134" customFormat="1" ht="18" customHeight="1">
      <c r="A40" s="133"/>
      <c r="B40" s="133"/>
      <c r="C40" s="133"/>
      <c r="D40" s="130"/>
      <c r="E40" s="130"/>
      <c r="F40" s="130"/>
      <c r="G40" s="130"/>
      <c r="H40" s="130"/>
      <c r="I40" s="130"/>
      <c r="J40" s="172"/>
      <c r="K40" s="172"/>
      <c r="L40" s="172"/>
      <c r="M40" s="172"/>
      <c r="N40" s="172"/>
      <c r="O40" s="172"/>
      <c r="P40" s="179"/>
      <c r="Q40" s="130"/>
      <c r="R40" s="130"/>
      <c r="S40" s="130"/>
      <c r="T40" s="130"/>
      <c r="U40" s="130"/>
      <c r="V40" s="130"/>
      <c r="W40" s="130"/>
      <c r="X40" s="130"/>
      <c r="Y40" s="130"/>
      <c r="Z40" s="130"/>
      <c r="AA40" s="130"/>
      <c r="AB40" s="130"/>
      <c r="AC40" s="130"/>
      <c r="AD40" s="130"/>
      <c r="AE40" s="173"/>
      <c r="AF40" s="174"/>
      <c r="AG40" s="174"/>
      <c r="AH40" s="174"/>
      <c r="AI40" s="136"/>
      <c r="AJ40" s="137"/>
      <c r="AK40" s="137"/>
      <c r="AL40" s="138"/>
      <c r="AM40" s="139"/>
      <c r="AN40" s="139"/>
      <c r="AO40" s="139"/>
      <c r="AP40" s="139"/>
      <c r="AQ40" s="139"/>
      <c r="AR40" s="139"/>
      <c r="AS40" s="139"/>
      <c r="AT40" s="139"/>
      <c r="AY40" s="134" t="s">
        <v>501</v>
      </c>
      <c r="BA40" s="134" t="s">
        <v>353</v>
      </c>
      <c r="BB40" s="134">
        <v>0.79500000000000004</v>
      </c>
      <c r="BD40" s="147" t="s">
        <v>354</v>
      </c>
      <c r="BE40" s="148">
        <v>0.24475</v>
      </c>
      <c r="BF40" s="149">
        <v>9.9250000000000005E-2</v>
      </c>
      <c r="BG40" s="149">
        <v>0.24475</v>
      </c>
      <c r="BH40" s="150">
        <f>AVERAGE(BG$32:BG40)</f>
        <v>0.37927777777777777</v>
      </c>
      <c r="BJ40" s="147" t="s">
        <v>354</v>
      </c>
      <c r="BK40" s="147" t="s">
        <v>47</v>
      </c>
      <c r="BL40" s="134">
        <f t="shared" si="27"/>
        <v>216</v>
      </c>
      <c r="BM40" s="148">
        <f t="shared" si="25"/>
        <v>0.24475</v>
      </c>
      <c r="BN40" s="150">
        <f>AVERAGE(BM$32:BM40)</f>
        <v>0.37927777777777777</v>
      </c>
      <c r="BO40" s="134">
        <v>22</v>
      </c>
      <c r="BQ40" s="147" t="s">
        <v>348</v>
      </c>
      <c r="BR40" s="147" t="s">
        <v>47</v>
      </c>
      <c r="BS40" s="134">
        <f t="shared" si="28"/>
        <v>96</v>
      </c>
      <c r="BT40" s="149">
        <v>0.31225000000000003</v>
      </c>
      <c r="BU40" s="150">
        <f>AVERAGE(BT$37:BT40)</f>
        <v>0.47406250000000005</v>
      </c>
      <c r="BV40" s="134">
        <v>26</v>
      </c>
    </row>
    <row r="41" spans="1:76" s="134" customFormat="1" ht="18" customHeight="1">
      <c r="A41" s="133"/>
      <c r="B41" s="133"/>
      <c r="C41" s="175"/>
      <c r="D41" s="175"/>
      <c r="E41" s="175"/>
      <c r="F41" s="175"/>
      <c r="G41" s="175"/>
      <c r="H41" s="175"/>
      <c r="I41" s="175"/>
      <c r="J41" s="175"/>
      <c r="K41" s="175"/>
      <c r="L41" s="175"/>
      <c r="M41" s="175"/>
      <c r="N41" s="175"/>
      <c r="O41" s="133"/>
      <c r="P41" s="133"/>
      <c r="Q41" s="133"/>
      <c r="R41" s="175"/>
      <c r="S41" s="175"/>
      <c r="T41" s="175"/>
      <c r="U41" s="175"/>
      <c r="V41" s="175"/>
      <c r="W41" s="175"/>
      <c r="X41" s="175"/>
      <c r="Y41" s="175"/>
      <c r="Z41" s="175"/>
      <c r="AA41" s="175"/>
      <c r="AB41" s="175"/>
      <c r="AC41" s="175"/>
      <c r="AD41" s="175"/>
      <c r="AE41" s="175"/>
      <c r="AI41" s="136"/>
      <c r="AJ41" s="137"/>
      <c r="AK41" s="137"/>
      <c r="AL41" s="138"/>
      <c r="AM41" s="139"/>
      <c r="AN41" s="139"/>
      <c r="AO41" s="139"/>
      <c r="AP41" s="139"/>
      <c r="AQ41" s="139"/>
      <c r="AR41" s="139"/>
      <c r="AS41" s="139"/>
      <c r="AT41" s="139"/>
      <c r="BA41" s="134" t="s">
        <v>355</v>
      </c>
      <c r="BB41" s="134">
        <v>0.8</v>
      </c>
      <c r="BD41" s="147" t="s">
        <v>356</v>
      </c>
      <c r="BE41" s="148">
        <v>0.20774999999999999</v>
      </c>
      <c r="BF41" s="149">
        <v>6.3750000000000001E-2</v>
      </c>
      <c r="BG41" s="149">
        <v>0.20774999999999999</v>
      </c>
      <c r="BH41" s="150">
        <f>AVERAGE(BG$32:BG41)</f>
        <v>0.36212499999999997</v>
      </c>
      <c r="BJ41" s="147" t="s">
        <v>356</v>
      </c>
      <c r="BK41" s="147" t="s">
        <v>47</v>
      </c>
      <c r="BL41" s="134">
        <f t="shared" si="27"/>
        <v>240</v>
      </c>
      <c r="BM41" s="148">
        <f t="shared" si="25"/>
        <v>0.20774999999999999</v>
      </c>
      <c r="BN41" s="150">
        <f>AVERAGE(BM$32:BM41)</f>
        <v>0.36212499999999997</v>
      </c>
      <c r="BO41" s="134">
        <v>26</v>
      </c>
      <c r="BQ41" s="147" t="s">
        <v>354</v>
      </c>
      <c r="BR41" s="147" t="s">
        <v>47</v>
      </c>
      <c r="BS41" s="134">
        <f t="shared" si="28"/>
        <v>120</v>
      </c>
      <c r="BT41" s="149">
        <v>0.24475</v>
      </c>
      <c r="BU41" s="150">
        <f>AVERAGE(BT$37:BT41)</f>
        <v>0.42820000000000003</v>
      </c>
      <c r="BV41" s="134">
        <v>22</v>
      </c>
    </row>
    <row r="42" spans="1:76" s="134" customFormat="1" ht="18" customHeight="1">
      <c r="A42" s="133"/>
      <c r="B42" s="133"/>
      <c r="C42" s="176"/>
      <c r="D42" s="176"/>
      <c r="E42" s="176"/>
      <c r="F42" s="176"/>
      <c r="G42" s="176"/>
      <c r="H42" s="176"/>
      <c r="I42" s="176"/>
      <c r="J42" s="175"/>
      <c r="K42" s="175"/>
      <c r="L42" s="175"/>
      <c r="M42" s="175"/>
      <c r="N42" s="175"/>
      <c r="O42" s="133"/>
      <c r="P42" s="133"/>
      <c r="Q42" s="133"/>
      <c r="R42" s="177"/>
      <c r="S42" s="177"/>
      <c r="T42" s="177"/>
      <c r="U42" s="177"/>
      <c r="V42" s="177"/>
      <c r="W42" s="177"/>
      <c r="X42" s="177"/>
      <c r="Y42" s="177"/>
      <c r="Z42" s="175"/>
      <c r="AA42" s="175"/>
      <c r="AB42" s="175"/>
      <c r="AC42" s="175"/>
      <c r="AD42" s="175"/>
      <c r="AE42" s="175"/>
      <c r="AF42" s="175"/>
      <c r="AG42" s="175"/>
      <c r="AH42" s="175"/>
      <c r="AI42" s="136"/>
      <c r="AJ42" s="137"/>
      <c r="AK42" s="137"/>
      <c r="AL42" s="138"/>
      <c r="AM42" s="139"/>
      <c r="AN42" s="139"/>
      <c r="AO42" s="139"/>
      <c r="AP42" s="139"/>
      <c r="AQ42" s="139"/>
      <c r="AR42" s="139"/>
      <c r="AS42" s="139"/>
      <c r="AT42" s="139"/>
      <c r="BA42" s="134" t="s">
        <v>357</v>
      </c>
      <c r="BB42" s="134">
        <v>0.80500000000000005</v>
      </c>
      <c r="BD42" s="147" t="s">
        <v>358</v>
      </c>
      <c r="BE42" s="149">
        <v>0.12975000000000003</v>
      </c>
      <c r="BF42" s="148">
        <v>0.15925</v>
      </c>
      <c r="BG42" s="149">
        <v>0.15925</v>
      </c>
      <c r="BH42" s="150">
        <f>AVERAGE(BG$32:BG42)</f>
        <v>0.3436818181818182</v>
      </c>
      <c r="BJ42" s="147" t="s">
        <v>358</v>
      </c>
      <c r="BK42" s="147" t="s">
        <v>48</v>
      </c>
      <c r="BL42" s="134">
        <f t="shared" si="27"/>
        <v>264</v>
      </c>
      <c r="BM42" s="148">
        <f t="shared" si="25"/>
        <v>0.15925</v>
      </c>
      <c r="BN42" s="150">
        <f>AVERAGE(BM$32:BM42)</f>
        <v>0.3436818181818182</v>
      </c>
      <c r="BO42" s="134">
        <v>25</v>
      </c>
      <c r="BQ42" s="147" t="s">
        <v>356</v>
      </c>
      <c r="BR42" s="147" t="s">
        <v>47</v>
      </c>
      <c r="BS42" s="134">
        <f t="shared" si="28"/>
        <v>144</v>
      </c>
      <c r="BT42" s="149">
        <v>0.20774999999999999</v>
      </c>
      <c r="BU42" s="150">
        <f>AVERAGE(BT$37:BT42)</f>
        <v>0.3914583333333333</v>
      </c>
      <c r="BV42" s="134">
        <v>26</v>
      </c>
    </row>
    <row r="43" spans="1:76" s="134" customFormat="1" ht="18" customHeight="1">
      <c r="A43" s="133"/>
      <c r="B43" s="133"/>
      <c r="C43" s="176"/>
      <c r="D43" s="176"/>
      <c r="E43" s="176"/>
      <c r="F43" s="176"/>
      <c r="G43" s="176"/>
      <c r="H43" s="176"/>
      <c r="I43" s="176"/>
      <c r="J43" s="175"/>
      <c r="K43" s="175"/>
      <c r="L43" s="175"/>
      <c r="M43" s="175"/>
      <c r="N43" s="175"/>
      <c r="O43" s="133"/>
      <c r="P43" s="133"/>
      <c r="Q43" s="133"/>
      <c r="R43" s="177"/>
      <c r="S43" s="177"/>
      <c r="T43" s="177"/>
      <c r="U43" s="177"/>
      <c r="V43" s="177"/>
      <c r="W43" s="177"/>
      <c r="X43" s="177"/>
      <c r="Y43" s="177"/>
      <c r="Z43" s="175"/>
      <c r="AA43" s="175"/>
      <c r="AB43" s="175"/>
      <c r="AC43" s="175"/>
      <c r="AD43" s="175"/>
      <c r="AE43" s="175"/>
      <c r="AF43" s="175"/>
      <c r="AG43" s="175"/>
      <c r="AH43" s="175"/>
      <c r="AI43" s="136"/>
      <c r="AJ43" s="137"/>
      <c r="AK43" s="137"/>
      <c r="AL43" s="138"/>
      <c r="AM43" s="139"/>
      <c r="AN43" s="139"/>
      <c r="AO43" s="139"/>
      <c r="AP43" s="139"/>
      <c r="AQ43" s="139"/>
      <c r="AR43" s="139"/>
      <c r="AS43" s="139"/>
      <c r="AT43" s="139"/>
      <c r="BA43" s="134" t="s">
        <v>359</v>
      </c>
      <c r="BB43" s="134">
        <v>0.81</v>
      </c>
      <c r="BD43" s="147" t="s">
        <v>360</v>
      </c>
      <c r="BE43" s="148">
        <v>0.15200000000000002</v>
      </c>
      <c r="BF43" s="149">
        <v>0.13724999999999998</v>
      </c>
      <c r="BG43" s="149">
        <v>0.15200000000000002</v>
      </c>
      <c r="BH43" s="150">
        <f>AVERAGE(BG$32:BG43)</f>
        <v>0.32770833333333332</v>
      </c>
      <c r="BJ43" s="147" t="s">
        <v>360</v>
      </c>
      <c r="BK43" s="147" t="s">
        <v>47</v>
      </c>
      <c r="BL43" s="134">
        <f t="shared" si="27"/>
        <v>288</v>
      </c>
      <c r="BM43" s="148">
        <f t="shared" si="25"/>
        <v>0.15200000000000002</v>
      </c>
      <c r="BN43" s="150">
        <f>AVERAGE(BM$32:BM43)</f>
        <v>0.32770833333333332</v>
      </c>
      <c r="BO43" s="134">
        <v>25</v>
      </c>
      <c r="BQ43" s="147" t="s">
        <v>360</v>
      </c>
      <c r="BR43" s="147" t="s">
        <v>47</v>
      </c>
      <c r="BS43" s="134">
        <f t="shared" si="28"/>
        <v>168</v>
      </c>
      <c r="BT43" s="149">
        <v>0.15200000000000002</v>
      </c>
      <c r="BU43" s="150">
        <f>AVERAGE(BT$37:BT43)</f>
        <v>0.35725000000000001</v>
      </c>
      <c r="BV43" s="134">
        <v>25</v>
      </c>
    </row>
    <row r="44" spans="1:76" s="134" customFormat="1" ht="18" customHeight="1">
      <c r="A44" s="133"/>
      <c r="B44" s="133"/>
      <c r="C44" s="133"/>
      <c r="D44" s="178"/>
      <c r="E44" s="178"/>
      <c r="F44" s="179"/>
      <c r="G44" s="179"/>
      <c r="H44" s="180"/>
      <c r="I44" s="180"/>
      <c r="J44" s="180"/>
      <c r="K44" s="180"/>
      <c r="L44" s="180"/>
      <c r="M44" s="180"/>
      <c r="N44" s="180"/>
      <c r="O44" s="133"/>
      <c r="P44" s="133"/>
      <c r="Q44" s="133"/>
      <c r="T44" s="133"/>
      <c r="U44" s="133"/>
      <c r="V44" s="133"/>
      <c r="W44" s="133"/>
      <c r="X44" s="133"/>
      <c r="Y44" s="133"/>
      <c r="Z44" s="178"/>
      <c r="AA44" s="178"/>
      <c r="AB44" s="178"/>
      <c r="AC44" s="178"/>
      <c r="AD44" s="178"/>
      <c r="AE44" s="178"/>
      <c r="AF44" s="181"/>
      <c r="AG44" s="181"/>
      <c r="AH44" s="181"/>
      <c r="AI44" s="136"/>
      <c r="AJ44" s="137"/>
      <c r="AK44" s="137"/>
      <c r="AL44" s="138"/>
      <c r="AM44" s="139"/>
      <c r="AN44" s="139"/>
      <c r="AO44" s="139"/>
      <c r="AP44" s="139"/>
      <c r="AQ44" s="139"/>
      <c r="AR44" s="139"/>
      <c r="AS44" s="139"/>
      <c r="AT44" s="139"/>
      <c r="BA44" s="134" t="s">
        <v>361</v>
      </c>
      <c r="BB44" s="134">
        <v>0.81499999999999995</v>
      </c>
      <c r="BD44" s="147" t="s">
        <v>362</v>
      </c>
      <c r="BE44" s="149">
        <f>_xlfn.AGGREGATE(1,5,BE32:BE43)</f>
        <v>0.2265625</v>
      </c>
      <c r="BF44" s="149">
        <f>_xlfn.AGGREGATE(1,5,BF32:BF43)</f>
        <v>0.14433333333333331</v>
      </c>
      <c r="BG44" s="149">
        <f>_xlfn.AGGREGATE(1,5,BG32:BG43)</f>
        <v>0.32770833333333332</v>
      </c>
      <c r="BJ44" s="147" t="s">
        <v>362</v>
      </c>
      <c r="BL44" s="156">
        <f>_xlfn.AGGREGATE(1,5,BL32:BL43)</f>
        <v>156</v>
      </c>
      <c r="BM44" s="149">
        <f>_xlfn.AGGREGATE(1,5,BM32:BM43)</f>
        <v>0.32770833333333332</v>
      </c>
      <c r="BO44" s="156">
        <f>SUM(BO32:BO43)</f>
        <v>291</v>
      </c>
      <c r="BQ44" s="147" t="s">
        <v>362</v>
      </c>
      <c r="BS44" s="156">
        <f>_xlfn.AGGREGATE(1,5,BS31:BS35)+_xlfn.AGGREGATE(1,5,BS37:BS43)</f>
        <v>168</v>
      </c>
      <c r="BT44" s="149">
        <f>_xlfn.AGGREGATE(1,5,BT31:BT35,BT37:BT43)</f>
        <v>0.32770833333333332</v>
      </c>
      <c r="BV44" s="156">
        <f>SUM(BV31:BV43)</f>
        <v>291</v>
      </c>
    </row>
    <row r="45" spans="1:76" s="134" customFormat="1" ht="18" customHeight="1">
      <c r="A45" s="182"/>
      <c r="B45" s="183"/>
      <c r="C45" s="175"/>
      <c r="D45" s="175"/>
      <c r="E45" s="175"/>
      <c r="F45" s="175"/>
      <c r="G45" s="175"/>
      <c r="H45" s="175"/>
      <c r="I45" s="175"/>
      <c r="J45" s="175"/>
      <c r="K45" s="175"/>
      <c r="L45" s="175"/>
      <c r="M45" s="175"/>
      <c r="N45" s="175"/>
      <c r="R45" s="175"/>
      <c r="S45" s="175"/>
      <c r="T45" s="175"/>
      <c r="U45" s="175"/>
      <c r="V45" s="175"/>
      <c r="W45" s="175"/>
      <c r="X45" s="175"/>
      <c r="Y45" s="175"/>
      <c r="Z45" s="175"/>
      <c r="AA45" s="175"/>
      <c r="AB45" s="175"/>
      <c r="AC45" s="175"/>
      <c r="AD45" s="175"/>
      <c r="AE45" s="175"/>
      <c r="AI45" s="136"/>
      <c r="AJ45" s="137"/>
      <c r="AK45" s="137"/>
      <c r="AL45" s="138"/>
      <c r="AM45" s="139"/>
      <c r="AN45" s="139"/>
      <c r="AO45" s="139"/>
      <c r="AP45" s="139"/>
      <c r="AQ45" s="139"/>
      <c r="AR45" s="139"/>
      <c r="AS45" s="139"/>
      <c r="AT45" s="139"/>
      <c r="BA45" s="134" t="s">
        <v>363</v>
      </c>
      <c r="BB45" s="134">
        <v>0.82</v>
      </c>
    </row>
    <row r="46" spans="1:76" s="134" customFormat="1" ht="15" customHeight="1">
      <c r="A46" s="182"/>
      <c r="B46" s="186"/>
      <c r="C46" s="187"/>
      <c r="D46" s="187"/>
      <c r="E46" s="187"/>
      <c r="F46" s="187"/>
      <c r="G46" s="187"/>
      <c r="H46" s="187"/>
      <c r="I46" s="187"/>
      <c r="J46" s="188"/>
      <c r="K46" s="188"/>
      <c r="L46" s="188"/>
      <c r="M46" s="188"/>
      <c r="N46" s="188"/>
      <c r="O46" s="175"/>
      <c r="P46" s="175"/>
      <c r="Q46" s="175"/>
      <c r="R46" s="187"/>
      <c r="S46" s="187"/>
      <c r="T46" s="187"/>
      <c r="U46" s="187"/>
      <c r="V46" s="187"/>
      <c r="W46" s="187"/>
      <c r="X46" s="187"/>
      <c r="Y46" s="187"/>
      <c r="Z46" s="188"/>
      <c r="AA46" s="188"/>
      <c r="AB46" s="188"/>
      <c r="AC46" s="188"/>
      <c r="AD46" s="188"/>
      <c r="AE46" s="188"/>
      <c r="AF46" s="175"/>
      <c r="AG46" s="175"/>
      <c r="AH46" s="175"/>
      <c r="AI46" s="136"/>
      <c r="AJ46" s="137"/>
      <c r="AK46" s="137"/>
      <c r="AL46" s="138"/>
      <c r="AM46" s="139"/>
      <c r="AN46" s="139"/>
      <c r="AO46" s="139"/>
      <c r="AP46" s="139"/>
      <c r="AQ46" s="139"/>
      <c r="AR46" s="139"/>
      <c r="AS46" s="139"/>
      <c r="AT46" s="139"/>
      <c r="BA46" s="134" t="s">
        <v>364</v>
      </c>
      <c r="BB46" s="134">
        <v>0.82499999999999996</v>
      </c>
    </row>
    <row r="47" spans="1:76" s="134" customFormat="1" ht="15" customHeight="1">
      <c r="A47" s="189"/>
      <c r="B47" s="189"/>
      <c r="C47" s="187"/>
      <c r="D47" s="187"/>
      <c r="E47" s="187"/>
      <c r="F47" s="187"/>
      <c r="G47" s="187"/>
      <c r="H47" s="187"/>
      <c r="I47" s="187"/>
      <c r="J47" s="188"/>
      <c r="K47" s="188"/>
      <c r="L47" s="188"/>
      <c r="M47" s="188"/>
      <c r="N47" s="188"/>
      <c r="O47" s="175"/>
      <c r="P47" s="175"/>
      <c r="Q47" s="175"/>
      <c r="R47" s="187"/>
      <c r="S47" s="187"/>
      <c r="T47" s="187"/>
      <c r="U47" s="187"/>
      <c r="V47" s="187"/>
      <c r="W47" s="187"/>
      <c r="X47" s="187"/>
      <c r="Y47" s="187"/>
      <c r="Z47" s="188"/>
      <c r="AA47" s="188"/>
      <c r="AB47" s="188"/>
      <c r="AC47" s="188"/>
      <c r="AD47" s="188"/>
      <c r="AE47" s="188"/>
      <c r="AF47" s="175"/>
      <c r="AG47" s="175"/>
      <c r="AH47" s="175"/>
      <c r="AI47" s="136"/>
      <c r="AJ47" s="137"/>
      <c r="AK47" s="137"/>
      <c r="AL47" s="138"/>
      <c r="AM47" s="139"/>
      <c r="AN47" s="139"/>
      <c r="AO47" s="139"/>
      <c r="AP47" s="139"/>
      <c r="AQ47" s="139"/>
      <c r="AR47" s="139"/>
      <c r="AS47" s="139"/>
      <c r="AT47" s="139"/>
      <c r="BA47" s="134" t="s">
        <v>365</v>
      </c>
      <c r="BB47" s="134">
        <v>0.83</v>
      </c>
      <c r="BQ47" s="134" t="s">
        <v>366</v>
      </c>
    </row>
    <row r="48" spans="1:76" s="134" customFormat="1" ht="15" customHeight="1">
      <c r="B48" s="175"/>
      <c r="AI48" s="136"/>
      <c r="AJ48" s="137"/>
      <c r="AK48" s="137"/>
      <c r="AL48" s="138"/>
      <c r="AM48" s="139"/>
      <c r="AN48" s="139"/>
      <c r="AO48" s="139"/>
      <c r="AP48" s="139"/>
      <c r="AQ48" s="139"/>
      <c r="AR48" s="139"/>
      <c r="AS48" s="139"/>
      <c r="AT48" s="139"/>
      <c r="BA48" s="134" t="s">
        <v>367</v>
      </c>
      <c r="BB48" s="134">
        <v>0.83499999999999996</v>
      </c>
      <c r="BF48" s="134" t="s">
        <v>494</v>
      </c>
      <c r="BG48" s="134" t="s">
        <v>369</v>
      </c>
      <c r="BL48" s="134" t="s">
        <v>370</v>
      </c>
      <c r="BR48" s="134" t="s">
        <v>369</v>
      </c>
      <c r="BT48" s="134" t="s">
        <v>371</v>
      </c>
      <c r="BX48" s="134" t="s">
        <v>423</v>
      </c>
    </row>
    <row r="49" spans="1:76" s="134" customFormat="1" ht="15" customHeight="1">
      <c r="A49" s="130"/>
      <c r="B49" s="130"/>
      <c r="R49" s="190"/>
      <c r="S49" s="190"/>
      <c r="T49" s="190"/>
      <c r="U49" s="190"/>
      <c r="V49" s="190"/>
      <c r="W49" s="190"/>
      <c r="X49" s="190"/>
      <c r="Y49" s="190"/>
      <c r="Z49" s="190"/>
      <c r="AA49" s="190"/>
      <c r="AI49" s="136"/>
      <c r="AJ49" s="137"/>
      <c r="AK49" s="137"/>
      <c r="AL49" s="138"/>
      <c r="AM49" s="139"/>
      <c r="AN49" s="139"/>
      <c r="AO49" s="139"/>
      <c r="AP49" s="139"/>
      <c r="AQ49" s="139"/>
      <c r="AR49" s="139"/>
      <c r="AS49" s="139"/>
      <c r="AT49" s="139"/>
      <c r="BA49" s="134" t="s">
        <v>372</v>
      </c>
      <c r="BB49" s="134">
        <v>0.84</v>
      </c>
      <c r="BG49" s="134" t="s">
        <v>332</v>
      </c>
      <c r="BH49" s="134" t="s">
        <v>333</v>
      </c>
      <c r="BI49" s="162" t="s">
        <v>332</v>
      </c>
      <c r="BJ49" s="163" t="s">
        <v>333</v>
      </c>
      <c r="BK49" s="134" t="s">
        <v>373</v>
      </c>
      <c r="BL49" s="134" t="s">
        <v>332</v>
      </c>
      <c r="BM49" s="134" t="s">
        <v>333</v>
      </c>
      <c r="BN49" s="162" t="s">
        <v>332</v>
      </c>
      <c r="BO49" s="163" t="s">
        <v>333</v>
      </c>
      <c r="BP49" s="134" t="s">
        <v>373</v>
      </c>
      <c r="BR49" s="134" t="s">
        <v>332</v>
      </c>
      <c r="BS49" s="134" t="s">
        <v>333</v>
      </c>
      <c r="BT49" s="134" t="s">
        <v>332</v>
      </c>
      <c r="BU49" s="134" t="s">
        <v>333</v>
      </c>
      <c r="BW49" s="134" t="s">
        <v>378</v>
      </c>
      <c r="BX49" s="134" t="s">
        <v>431</v>
      </c>
    </row>
    <row r="50" spans="1:76" s="134" customFormat="1" ht="15" customHeight="1">
      <c r="A50" s="130"/>
      <c r="B50" s="130"/>
      <c r="Q50" s="147"/>
      <c r="R50" s="191"/>
      <c r="S50" s="191"/>
      <c r="T50" s="191"/>
      <c r="U50" s="191"/>
      <c r="V50" s="191"/>
      <c r="W50" s="191"/>
      <c r="X50" s="191"/>
      <c r="Y50" s="175"/>
      <c r="Z50" s="175"/>
      <c r="AA50" s="175"/>
      <c r="AI50" s="136"/>
      <c r="AJ50" s="137"/>
      <c r="AK50" s="137"/>
      <c r="AL50" s="138"/>
      <c r="AM50" s="139"/>
      <c r="AN50" s="139"/>
      <c r="AO50" s="139"/>
      <c r="AP50" s="139"/>
      <c r="AQ50" s="139"/>
      <c r="AR50" s="139"/>
      <c r="AS50" s="139"/>
      <c r="AT50" s="139"/>
      <c r="BA50" s="134" t="s">
        <v>374</v>
      </c>
      <c r="BB50" s="134">
        <v>0.84499999999999997</v>
      </c>
      <c r="BG50" s="134" t="s">
        <v>375</v>
      </c>
      <c r="BH50" s="134" t="s">
        <v>375</v>
      </c>
      <c r="BI50" s="165" t="s">
        <v>376</v>
      </c>
      <c r="BJ50" s="166" t="s">
        <v>376</v>
      </c>
      <c r="BK50" s="134" t="s">
        <v>376</v>
      </c>
      <c r="BL50" s="134" t="s">
        <v>375</v>
      </c>
      <c r="BM50" s="134" t="s">
        <v>375</v>
      </c>
      <c r="BN50" s="165" t="s">
        <v>376</v>
      </c>
      <c r="BO50" s="166" t="s">
        <v>376</v>
      </c>
      <c r="BP50" s="134" t="s">
        <v>376</v>
      </c>
      <c r="BR50" s="134" t="s">
        <v>375</v>
      </c>
      <c r="BS50" s="134" t="s">
        <v>376</v>
      </c>
      <c r="BT50" s="134" t="s">
        <v>375</v>
      </c>
      <c r="BU50" s="134" t="s">
        <v>376</v>
      </c>
      <c r="BW50" s="134" t="s">
        <v>380</v>
      </c>
      <c r="BX50" s="134">
        <v>1996</v>
      </c>
    </row>
    <row r="51" spans="1:76" s="134" customFormat="1" ht="15" customHeight="1">
      <c r="A51" s="130"/>
      <c r="B51" s="130"/>
      <c r="R51" s="191"/>
      <c r="S51" s="191"/>
      <c r="T51" s="191"/>
      <c r="U51" s="191"/>
      <c r="V51" s="191"/>
      <c r="W51" s="191"/>
      <c r="X51" s="191"/>
      <c r="Y51" s="175"/>
      <c r="Z51" s="175"/>
      <c r="AA51" s="175"/>
      <c r="AI51" s="136"/>
      <c r="AJ51" s="137"/>
      <c r="AK51" s="137"/>
      <c r="AL51" s="138"/>
      <c r="AM51" s="139"/>
      <c r="AN51" s="139"/>
      <c r="AO51" s="139"/>
      <c r="AP51" s="139"/>
      <c r="AQ51" s="139"/>
      <c r="AR51" s="139"/>
      <c r="AS51" s="139"/>
      <c r="AT51" s="139"/>
      <c r="BA51" s="134" t="s">
        <v>377</v>
      </c>
      <c r="BB51" s="134">
        <v>0.85</v>
      </c>
      <c r="BE51" s="134" t="s">
        <v>378</v>
      </c>
      <c r="BF51" s="134">
        <v>1995</v>
      </c>
      <c r="BG51" s="134">
        <v>1</v>
      </c>
      <c r="BH51" s="169">
        <v>1</v>
      </c>
      <c r="BI51" s="238">
        <v>4.9299999999999997E-2</v>
      </c>
      <c r="BJ51" s="239">
        <v>4.9299999999999997E-2</v>
      </c>
      <c r="BK51" s="169">
        <f>(BI51+BJ51)/2</f>
        <v>4.9299999999999997E-2</v>
      </c>
      <c r="BL51" s="230">
        <v>0.78700000000000003</v>
      </c>
      <c r="BM51" s="231">
        <v>0.68200000000000005</v>
      </c>
      <c r="BN51" s="240">
        <v>0.94269999999999998</v>
      </c>
      <c r="BO51" s="241">
        <v>0.871</v>
      </c>
      <c r="BP51" s="169">
        <f>(BN51+BO51)/2</f>
        <v>0.90684999999999993</v>
      </c>
      <c r="BR51" s="134">
        <v>0.25</v>
      </c>
      <c r="BS51" s="134">
        <v>0.25</v>
      </c>
      <c r="BT51" s="134">
        <v>0.75</v>
      </c>
      <c r="BU51" s="134">
        <v>0.75</v>
      </c>
      <c r="BW51" s="134" t="s">
        <v>382</v>
      </c>
      <c r="BX51" s="134">
        <v>1997</v>
      </c>
    </row>
    <row r="52" spans="1:76" s="134" customFormat="1" ht="15" customHeight="1">
      <c r="A52" s="130"/>
      <c r="B52" s="130"/>
      <c r="R52" s="192"/>
      <c r="S52" s="192"/>
      <c r="U52" s="193"/>
      <c r="AI52" s="136"/>
      <c r="AJ52" s="137"/>
      <c r="AK52" s="137"/>
      <c r="AL52" s="138"/>
      <c r="AM52" s="139"/>
      <c r="AN52" s="139"/>
      <c r="AO52" s="139"/>
      <c r="AP52" s="139"/>
      <c r="AQ52" s="139"/>
      <c r="AR52" s="139"/>
      <c r="AS52" s="139"/>
      <c r="AT52" s="139"/>
      <c r="BA52" s="134" t="s">
        <v>379</v>
      </c>
      <c r="BB52" s="134">
        <v>0.85499999999999998</v>
      </c>
      <c r="BE52" s="134" t="s">
        <v>380</v>
      </c>
      <c r="BF52" s="134">
        <v>1996</v>
      </c>
      <c r="BG52" s="134">
        <v>1</v>
      </c>
      <c r="BH52" s="169">
        <v>1</v>
      </c>
      <c r="BI52" s="232">
        <v>3.8639999999999994E-2</v>
      </c>
      <c r="BJ52" s="233">
        <v>3.8639999999999994E-2</v>
      </c>
      <c r="BK52" s="169">
        <f t="shared" ref="BK52:BK75" si="29">(BI52+BJ52)/2</f>
        <v>3.8639999999999994E-2</v>
      </c>
      <c r="BL52" s="169">
        <f>BL51+(BL$61-BL$51)/10</f>
        <v>0.77900000000000003</v>
      </c>
      <c r="BM52" s="169">
        <f>BM51+(BM$61-BM$51)/10</f>
        <v>0.67910000000000004</v>
      </c>
      <c r="BN52" s="170">
        <v>0.95243</v>
      </c>
      <c r="BO52" s="171">
        <v>0.88790000000000002</v>
      </c>
      <c r="BP52" s="169">
        <f t="shared" ref="BP52:BP75" si="30">(BN52+BO52)/2</f>
        <v>0.92016500000000001</v>
      </c>
      <c r="BR52" s="134">
        <v>0.25</v>
      </c>
      <c r="BS52" s="134">
        <v>0.25</v>
      </c>
      <c r="BT52" s="134">
        <v>0.75</v>
      </c>
      <c r="BU52" s="134">
        <v>0.75</v>
      </c>
      <c r="BW52" s="134" t="s">
        <v>384</v>
      </c>
      <c r="BX52" s="134">
        <v>1998</v>
      </c>
    </row>
    <row r="53" spans="1:76" s="134" customFormat="1" ht="15" customHeight="1">
      <c r="A53" s="130"/>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6"/>
      <c r="AJ53" s="137"/>
      <c r="AK53" s="137"/>
      <c r="AL53" s="138"/>
      <c r="AM53" s="139"/>
      <c r="AN53" s="139"/>
      <c r="AO53" s="139"/>
      <c r="AP53" s="139"/>
      <c r="AQ53" s="139"/>
      <c r="AR53" s="139"/>
      <c r="AS53" s="139"/>
      <c r="AT53" s="139"/>
      <c r="BA53" s="134" t="s">
        <v>381</v>
      </c>
      <c r="BB53" s="134">
        <v>0.86</v>
      </c>
      <c r="BE53" s="134" t="s">
        <v>382</v>
      </c>
      <c r="BF53" s="134">
        <v>1997</v>
      </c>
      <c r="BG53" s="134">
        <v>1</v>
      </c>
      <c r="BH53" s="169">
        <v>1</v>
      </c>
      <c r="BI53" s="232">
        <v>2.7979999999999994E-2</v>
      </c>
      <c r="BJ53" s="233">
        <v>2.7979999999999994E-2</v>
      </c>
      <c r="BK53" s="169">
        <f t="shared" si="29"/>
        <v>2.7979999999999994E-2</v>
      </c>
      <c r="BL53" s="169">
        <f t="shared" ref="BL53:BL60" si="31">BL52+(BL$61-BL$51)/10</f>
        <v>0.77100000000000002</v>
      </c>
      <c r="BM53" s="169">
        <f t="shared" ref="BM53:BM60" si="32">BM52+(BM$61-BM$51)/10</f>
        <v>0.67620000000000002</v>
      </c>
      <c r="BN53" s="170">
        <v>0.96216000000000002</v>
      </c>
      <c r="BO53" s="171">
        <v>0.90480000000000005</v>
      </c>
      <c r="BP53" s="169">
        <f t="shared" si="30"/>
        <v>0.93348000000000009</v>
      </c>
      <c r="BW53" s="134" t="s">
        <v>386</v>
      </c>
      <c r="BX53" s="134">
        <v>1999</v>
      </c>
    </row>
    <row r="54" spans="1:76" s="134" customFormat="1" ht="15" customHeight="1">
      <c r="A54" s="130"/>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6"/>
      <c r="AJ54" s="137"/>
      <c r="AK54" s="137"/>
      <c r="AL54" s="138"/>
      <c r="AM54" s="139"/>
      <c r="AN54" s="139"/>
      <c r="AO54" s="139"/>
      <c r="AP54" s="139"/>
      <c r="AQ54" s="139"/>
      <c r="AR54" s="139"/>
      <c r="AS54" s="139"/>
      <c r="AT54" s="139"/>
      <c r="BA54" s="134" t="s">
        <v>383</v>
      </c>
      <c r="BB54" s="134">
        <v>0.86499999999999999</v>
      </c>
      <c r="BE54" s="134" t="s">
        <v>384</v>
      </c>
      <c r="BF54" s="134">
        <v>1998</v>
      </c>
      <c r="BG54" s="134">
        <v>1</v>
      </c>
      <c r="BH54" s="169">
        <v>1</v>
      </c>
      <c r="BI54" s="232">
        <v>1.7319999999999995E-2</v>
      </c>
      <c r="BJ54" s="233">
        <v>1.7319999999999995E-2</v>
      </c>
      <c r="BK54" s="169">
        <f t="shared" si="29"/>
        <v>1.7319999999999995E-2</v>
      </c>
      <c r="BL54" s="169">
        <f t="shared" si="31"/>
        <v>0.76300000000000001</v>
      </c>
      <c r="BM54" s="169">
        <f t="shared" si="32"/>
        <v>0.67330000000000001</v>
      </c>
      <c r="BN54" s="170">
        <v>0.97189000000000003</v>
      </c>
      <c r="BO54" s="171">
        <v>0.92170000000000007</v>
      </c>
      <c r="BP54" s="169">
        <f t="shared" si="30"/>
        <v>0.94679500000000005</v>
      </c>
      <c r="BW54" s="134" t="s">
        <v>388</v>
      </c>
      <c r="BX54" s="134">
        <v>2000</v>
      </c>
    </row>
    <row r="55" spans="1:76" s="134" customFormat="1" ht="15" customHeight="1">
      <c r="A55" s="130"/>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6"/>
      <c r="AJ55" s="137"/>
      <c r="AK55" s="137"/>
      <c r="AL55" s="138"/>
      <c r="AM55" s="139"/>
      <c r="AN55" s="139"/>
      <c r="AO55" s="139"/>
      <c r="AP55" s="139"/>
      <c r="AQ55" s="139"/>
      <c r="AR55" s="139"/>
      <c r="AS55" s="139"/>
      <c r="AT55" s="139"/>
      <c r="BA55" s="134" t="s">
        <v>385</v>
      </c>
      <c r="BB55" s="134">
        <v>0.87</v>
      </c>
      <c r="BE55" s="134" t="s">
        <v>386</v>
      </c>
      <c r="BF55" s="134">
        <v>1999</v>
      </c>
      <c r="BG55" s="134">
        <v>1</v>
      </c>
      <c r="BH55" s="169">
        <v>1</v>
      </c>
      <c r="BI55" s="232">
        <v>6.6599999999999958E-3</v>
      </c>
      <c r="BJ55" s="233">
        <v>6.6599999999999958E-3</v>
      </c>
      <c r="BK55" s="169">
        <f t="shared" si="29"/>
        <v>6.6599999999999958E-3</v>
      </c>
      <c r="BL55" s="169">
        <f t="shared" si="31"/>
        <v>0.755</v>
      </c>
      <c r="BM55" s="169">
        <f t="shared" si="32"/>
        <v>0.6704</v>
      </c>
      <c r="BN55" s="170">
        <v>0.98162000000000005</v>
      </c>
      <c r="BO55" s="171">
        <v>0.9386000000000001</v>
      </c>
      <c r="BP55" s="169">
        <f t="shared" si="30"/>
        <v>0.96011000000000002</v>
      </c>
      <c r="BW55" s="134" t="s">
        <v>390</v>
      </c>
      <c r="BX55" s="134">
        <v>2001</v>
      </c>
    </row>
    <row r="56" spans="1:76" s="134" customFormat="1" ht="15" customHeight="1">
      <c r="A56" s="130"/>
      <c r="B56" s="130"/>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6"/>
      <c r="AJ56" s="137"/>
      <c r="AK56" s="137"/>
      <c r="AL56" s="138"/>
      <c r="AM56" s="139"/>
      <c r="AN56" s="139"/>
      <c r="AO56" s="139"/>
      <c r="AP56" s="139"/>
      <c r="AQ56" s="139"/>
      <c r="AR56" s="139"/>
      <c r="AS56" s="139"/>
      <c r="AT56" s="139"/>
      <c r="BA56" s="134" t="s">
        <v>387</v>
      </c>
      <c r="BB56" s="134">
        <v>0.875</v>
      </c>
      <c r="BE56" s="134" t="s">
        <v>388</v>
      </c>
      <c r="BF56" s="134">
        <v>2000</v>
      </c>
      <c r="BG56" s="134">
        <v>1</v>
      </c>
      <c r="BH56" s="169">
        <v>1</v>
      </c>
      <c r="BI56" s="232">
        <v>-4.0000000000000036E-3</v>
      </c>
      <c r="BJ56" s="233">
        <v>-4.0000000000000036E-3</v>
      </c>
      <c r="BK56" s="169">
        <f t="shared" si="29"/>
        <v>-4.0000000000000036E-3</v>
      </c>
      <c r="BL56" s="169">
        <f t="shared" si="31"/>
        <v>0.747</v>
      </c>
      <c r="BM56" s="169">
        <f t="shared" si="32"/>
        <v>0.66749999999999998</v>
      </c>
      <c r="BN56" s="170">
        <v>0.99135000000000006</v>
      </c>
      <c r="BO56" s="171">
        <v>0.95550000000000013</v>
      </c>
      <c r="BP56" s="169">
        <f t="shared" si="30"/>
        <v>0.9734250000000001</v>
      </c>
      <c r="BW56" s="134" t="s">
        <v>391</v>
      </c>
      <c r="BX56" s="134">
        <v>2002</v>
      </c>
    </row>
    <row r="57" spans="1:76" s="134" customFormat="1" ht="15" customHeight="1">
      <c r="A57" s="130"/>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6"/>
      <c r="AJ57" s="137"/>
      <c r="AK57" s="137"/>
      <c r="AL57" s="138"/>
      <c r="AM57" s="139"/>
      <c r="AN57" s="139"/>
      <c r="AO57" s="139"/>
      <c r="AP57" s="139"/>
      <c r="AQ57" s="139"/>
      <c r="AR57" s="139"/>
      <c r="AS57" s="139"/>
      <c r="AT57" s="139"/>
      <c r="BA57" s="134" t="s">
        <v>389</v>
      </c>
      <c r="BE57" s="134" t="s">
        <v>390</v>
      </c>
      <c r="BF57" s="134">
        <v>2001</v>
      </c>
      <c r="BG57" s="134">
        <v>1</v>
      </c>
      <c r="BH57" s="169">
        <v>1</v>
      </c>
      <c r="BI57" s="232">
        <v>-1.4660000000000003E-2</v>
      </c>
      <c r="BJ57" s="233">
        <v>-1.4660000000000003E-2</v>
      </c>
      <c r="BK57" s="169">
        <f t="shared" si="29"/>
        <v>-1.4660000000000003E-2</v>
      </c>
      <c r="BL57" s="169">
        <f t="shared" si="31"/>
        <v>0.73899999999999999</v>
      </c>
      <c r="BM57" s="169">
        <f t="shared" si="32"/>
        <v>0.66459999999999997</v>
      </c>
      <c r="BN57" s="170">
        <v>1.00108</v>
      </c>
      <c r="BO57" s="171">
        <v>0.97240000000000015</v>
      </c>
      <c r="BP57" s="169">
        <f t="shared" si="30"/>
        <v>0.98674000000000006</v>
      </c>
      <c r="BW57" s="134" t="s">
        <v>392</v>
      </c>
      <c r="BX57" s="134">
        <v>2003</v>
      </c>
    </row>
    <row r="58" spans="1:76" s="134" customFormat="1" ht="15" customHeight="1">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6"/>
      <c r="AJ58" s="137"/>
      <c r="AK58" s="137"/>
      <c r="AL58" s="138"/>
      <c r="AM58" s="139"/>
      <c r="AN58" s="139"/>
      <c r="AO58" s="139"/>
      <c r="AP58" s="139"/>
      <c r="AQ58" s="139"/>
      <c r="AR58" s="139"/>
      <c r="AS58" s="139"/>
      <c r="AT58" s="139"/>
      <c r="BA58" s="134" t="s">
        <v>378</v>
      </c>
      <c r="BB58" s="134">
        <v>0.88</v>
      </c>
      <c r="BE58" s="134" t="s">
        <v>391</v>
      </c>
      <c r="BF58" s="134">
        <v>2002</v>
      </c>
      <c r="BG58" s="134">
        <v>1</v>
      </c>
      <c r="BH58" s="169">
        <v>1</v>
      </c>
      <c r="BI58" s="232">
        <v>-2.5320000000000002E-2</v>
      </c>
      <c r="BJ58" s="233">
        <v>-2.5320000000000002E-2</v>
      </c>
      <c r="BK58" s="169">
        <f t="shared" si="29"/>
        <v>-2.5320000000000002E-2</v>
      </c>
      <c r="BL58" s="169">
        <f t="shared" si="31"/>
        <v>0.73099999999999998</v>
      </c>
      <c r="BM58" s="169">
        <f t="shared" si="32"/>
        <v>0.66169999999999995</v>
      </c>
      <c r="BN58" s="170">
        <v>1.01081</v>
      </c>
      <c r="BO58" s="171">
        <v>0.98930000000000018</v>
      </c>
      <c r="BP58" s="169">
        <f t="shared" si="30"/>
        <v>1.0000550000000001</v>
      </c>
      <c r="BW58" s="134" t="s">
        <v>393</v>
      </c>
      <c r="BX58" s="134">
        <v>2004</v>
      </c>
    </row>
    <row r="59" spans="1:76" s="134" customFormat="1" ht="15" customHeight="1">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6"/>
      <c r="AJ59" s="137"/>
      <c r="AK59" s="137"/>
      <c r="AL59" s="138"/>
      <c r="AM59" s="139"/>
      <c r="AN59" s="139"/>
      <c r="AO59" s="139"/>
      <c r="AP59" s="139"/>
      <c r="AQ59" s="139"/>
      <c r="AR59" s="139"/>
      <c r="AS59" s="139"/>
      <c r="AT59" s="139"/>
      <c r="BA59" s="134" t="s">
        <v>380</v>
      </c>
      <c r="BB59" s="134">
        <v>0.88500000000000001</v>
      </c>
      <c r="BE59" s="134" t="s">
        <v>392</v>
      </c>
      <c r="BF59" s="134">
        <v>2003</v>
      </c>
      <c r="BG59" s="134">
        <v>1</v>
      </c>
      <c r="BH59" s="169">
        <v>1</v>
      </c>
      <c r="BI59" s="232">
        <v>-3.5979999999999998E-2</v>
      </c>
      <c r="BJ59" s="233">
        <v>-3.5979999999999998E-2</v>
      </c>
      <c r="BK59" s="169">
        <f t="shared" si="29"/>
        <v>-3.5979999999999998E-2</v>
      </c>
      <c r="BL59" s="169">
        <f t="shared" si="31"/>
        <v>0.72299999999999998</v>
      </c>
      <c r="BM59" s="169">
        <f t="shared" si="32"/>
        <v>0.65879999999999994</v>
      </c>
      <c r="BN59" s="170">
        <v>1.02054</v>
      </c>
      <c r="BO59" s="171">
        <v>1.0062000000000002</v>
      </c>
      <c r="BP59" s="169">
        <f t="shared" si="30"/>
        <v>1.0133700000000001</v>
      </c>
      <c r="BW59" s="134" t="s">
        <v>394</v>
      </c>
      <c r="BX59" s="134">
        <v>2005</v>
      </c>
    </row>
    <row r="60" spans="1:76" s="134" customFormat="1" ht="15" customHeight="1">
      <c r="A60" s="130"/>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6"/>
      <c r="AJ60" s="137"/>
      <c r="AK60" s="137"/>
      <c r="AL60" s="138"/>
      <c r="AM60" s="139"/>
      <c r="AN60" s="139"/>
      <c r="AO60" s="139"/>
      <c r="AP60" s="139"/>
      <c r="AQ60" s="139"/>
      <c r="AR60" s="139"/>
      <c r="AS60" s="139"/>
      <c r="AT60" s="139"/>
      <c r="BA60" s="134" t="s">
        <v>382</v>
      </c>
      <c r="BB60" s="134">
        <v>0.89</v>
      </c>
      <c r="BE60" s="134" t="s">
        <v>393</v>
      </c>
      <c r="BF60" s="134">
        <v>2004</v>
      </c>
      <c r="BG60" s="134">
        <v>1</v>
      </c>
      <c r="BH60" s="169">
        <v>1</v>
      </c>
      <c r="BI60" s="232">
        <v>-4.6640000000000001E-2</v>
      </c>
      <c r="BJ60" s="233">
        <v>-4.6640000000000001E-2</v>
      </c>
      <c r="BK60" s="169">
        <f t="shared" si="29"/>
        <v>-4.6640000000000001E-2</v>
      </c>
      <c r="BL60" s="169">
        <f t="shared" si="31"/>
        <v>0.71499999999999997</v>
      </c>
      <c r="BM60" s="169">
        <f t="shared" si="32"/>
        <v>0.65589999999999993</v>
      </c>
      <c r="BN60" s="170">
        <v>1.03027</v>
      </c>
      <c r="BO60" s="171">
        <v>1.0231000000000001</v>
      </c>
      <c r="BP60" s="169">
        <f t="shared" si="30"/>
        <v>1.0266850000000001</v>
      </c>
      <c r="BW60" s="134" t="s">
        <v>395</v>
      </c>
      <c r="BX60" s="134">
        <v>2006</v>
      </c>
    </row>
    <row r="61" spans="1:76" s="134" customFormat="1" ht="15" customHeight="1">
      <c r="A61" s="130"/>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6"/>
      <c r="AJ61" s="137"/>
      <c r="AK61" s="137"/>
      <c r="AL61" s="138"/>
      <c r="AM61" s="139"/>
      <c r="AN61" s="139"/>
      <c r="AO61" s="139"/>
      <c r="AP61" s="139"/>
      <c r="AQ61" s="139"/>
      <c r="AR61" s="139"/>
      <c r="AS61" s="139"/>
      <c r="AT61" s="139"/>
      <c r="BA61" s="134" t="s">
        <v>384</v>
      </c>
      <c r="BB61" s="134">
        <v>0.89500000000000002</v>
      </c>
      <c r="BE61" s="134" t="s">
        <v>394</v>
      </c>
      <c r="BF61" s="134">
        <v>2005</v>
      </c>
      <c r="BG61" s="134">
        <v>1</v>
      </c>
      <c r="BH61" s="169">
        <v>1</v>
      </c>
      <c r="BI61" s="238">
        <v>-5.7299999999999997E-2</v>
      </c>
      <c r="BJ61" s="239">
        <v>-5.7299999999999997E-2</v>
      </c>
      <c r="BK61" s="169">
        <f t="shared" si="29"/>
        <v>-5.7299999999999997E-2</v>
      </c>
      <c r="BL61" s="230">
        <v>0.70699999999999996</v>
      </c>
      <c r="BM61" s="230">
        <v>0.65300000000000002</v>
      </c>
      <c r="BN61" s="240">
        <v>1.04</v>
      </c>
      <c r="BO61" s="241">
        <v>1.04</v>
      </c>
      <c r="BP61" s="169">
        <f t="shared" si="30"/>
        <v>1.04</v>
      </c>
      <c r="BW61" s="134" t="s">
        <v>396</v>
      </c>
      <c r="BX61" s="134">
        <v>2007</v>
      </c>
    </row>
    <row r="62" spans="1:76" s="134" customFormat="1" ht="15" customHeight="1">
      <c r="A62" s="130"/>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6"/>
      <c r="AJ62" s="137"/>
      <c r="AK62" s="137"/>
      <c r="AL62" s="138"/>
      <c r="AM62" s="139"/>
      <c r="AN62" s="139"/>
      <c r="AO62" s="139"/>
      <c r="AP62" s="139"/>
      <c r="AQ62" s="139"/>
      <c r="AR62" s="139"/>
      <c r="AS62" s="139"/>
      <c r="AT62" s="139"/>
      <c r="BA62" s="134" t="s">
        <v>386</v>
      </c>
      <c r="BB62" s="134">
        <v>0.9</v>
      </c>
      <c r="BE62" s="134" t="s">
        <v>395</v>
      </c>
      <c r="BF62" s="134">
        <v>2006</v>
      </c>
      <c r="BG62" s="134">
        <v>1</v>
      </c>
      <c r="BH62" s="169">
        <v>1</v>
      </c>
      <c r="BI62" s="232">
        <v>-9.6439999999999998E-2</v>
      </c>
      <c r="BJ62" s="233">
        <v>-7.1639999999999995E-2</v>
      </c>
      <c r="BK62" s="169">
        <f t="shared" si="29"/>
        <v>-8.4040000000000004E-2</v>
      </c>
      <c r="BL62" s="169">
        <f>BL61+(BL$66-BL$61)/5</f>
        <v>0.75359999999999994</v>
      </c>
      <c r="BM62" s="169">
        <f>BM61+(BM$66-BM$61)/5</f>
        <v>0.65300000000000002</v>
      </c>
      <c r="BN62" s="170">
        <v>1.0826</v>
      </c>
      <c r="BO62" s="171">
        <v>1.0501400000000001</v>
      </c>
      <c r="BP62" s="169">
        <f t="shared" si="30"/>
        <v>1.06637</v>
      </c>
      <c r="BW62" s="134" t="s">
        <v>397</v>
      </c>
      <c r="BX62" s="134">
        <v>2008</v>
      </c>
    </row>
    <row r="63" spans="1:76" s="134" customFormat="1" ht="1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6"/>
      <c r="AJ63" s="137"/>
      <c r="AK63" s="137"/>
      <c r="AL63" s="138"/>
      <c r="AM63" s="139"/>
      <c r="AN63" s="139"/>
      <c r="AO63" s="139"/>
      <c r="AP63" s="139"/>
      <c r="AQ63" s="139"/>
      <c r="AR63" s="139"/>
      <c r="AS63" s="139"/>
      <c r="AT63" s="139"/>
      <c r="BA63" s="134" t="s">
        <v>388</v>
      </c>
      <c r="BB63" s="134">
        <v>0.90500000000000003</v>
      </c>
      <c r="BE63" s="134" t="s">
        <v>396</v>
      </c>
      <c r="BF63" s="134">
        <v>2007</v>
      </c>
      <c r="BG63" s="134">
        <v>1</v>
      </c>
      <c r="BH63" s="169">
        <v>1</v>
      </c>
      <c r="BI63" s="232">
        <v>-0.13558000000000001</v>
      </c>
      <c r="BJ63" s="233">
        <v>-8.5980000000000001E-2</v>
      </c>
      <c r="BK63" s="169">
        <f t="shared" si="29"/>
        <v>-0.11078</v>
      </c>
      <c r="BL63" s="169">
        <f t="shared" ref="BL63:BL65" si="33">BL62+(BL$66-BL$61)/5</f>
        <v>0.80019999999999991</v>
      </c>
      <c r="BM63" s="169">
        <f t="shared" ref="BM63:BM65" si="34">BM62+(BM$66-BM$61)/5</f>
        <v>0.65300000000000002</v>
      </c>
      <c r="BN63" s="170">
        <v>1.1252</v>
      </c>
      <c r="BO63" s="171">
        <v>1.0602800000000001</v>
      </c>
      <c r="BP63" s="169">
        <f t="shared" si="30"/>
        <v>1.09274</v>
      </c>
      <c r="BW63" s="134" t="s">
        <v>398</v>
      </c>
      <c r="BX63" s="134">
        <v>2009</v>
      </c>
    </row>
    <row r="64" spans="1:76" s="134" customFormat="1" ht="15" customHeight="1">
      <c r="A64" s="130"/>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6"/>
      <c r="AJ64" s="137"/>
      <c r="AK64" s="137"/>
      <c r="AL64" s="138"/>
      <c r="AM64" s="139"/>
      <c r="AN64" s="139"/>
      <c r="AO64" s="139"/>
      <c r="AP64" s="139"/>
      <c r="AQ64" s="139"/>
      <c r="AR64" s="139"/>
      <c r="AS64" s="139"/>
      <c r="AT64" s="139"/>
      <c r="BA64" s="134" t="s">
        <v>390</v>
      </c>
      <c r="BB64" s="134">
        <v>0.91</v>
      </c>
      <c r="BE64" s="134" t="s">
        <v>397</v>
      </c>
      <c r="BF64" s="130">
        <v>2008</v>
      </c>
      <c r="BG64" s="134">
        <v>1</v>
      </c>
      <c r="BH64" s="169">
        <v>1</v>
      </c>
      <c r="BI64" s="232">
        <v>-0.17472000000000001</v>
      </c>
      <c r="BJ64" s="233">
        <v>-0.10032000000000001</v>
      </c>
      <c r="BK64" s="169">
        <f t="shared" si="29"/>
        <v>-0.13752</v>
      </c>
      <c r="BL64" s="194">
        <f t="shared" si="33"/>
        <v>0.84679999999999989</v>
      </c>
      <c r="BM64" s="194">
        <f t="shared" si="34"/>
        <v>0.65300000000000002</v>
      </c>
      <c r="BN64" s="170">
        <v>1.1677999999999999</v>
      </c>
      <c r="BO64" s="171">
        <v>1.0704200000000001</v>
      </c>
      <c r="BP64" s="169">
        <f t="shared" si="30"/>
        <v>1.11911</v>
      </c>
      <c r="BW64" s="134" t="s">
        <v>399</v>
      </c>
      <c r="BX64" s="134">
        <v>2010</v>
      </c>
    </row>
    <row r="65" spans="1:76" s="134" customFormat="1" ht="15" customHeight="1">
      <c r="A65" s="130"/>
      <c r="B65" s="130"/>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6"/>
      <c r="AJ65" s="137"/>
      <c r="AK65" s="137"/>
      <c r="AL65" s="138"/>
      <c r="AM65" s="139"/>
      <c r="AN65" s="139"/>
      <c r="AO65" s="139"/>
      <c r="AP65" s="139"/>
      <c r="AQ65" s="139"/>
      <c r="AR65" s="139"/>
      <c r="AS65" s="139"/>
      <c r="AT65" s="139"/>
      <c r="BA65" s="134" t="s">
        <v>391</v>
      </c>
      <c r="BB65" s="134">
        <v>0.91500000000000004</v>
      </c>
      <c r="BE65" s="134" t="s">
        <v>398</v>
      </c>
      <c r="BF65" s="130">
        <v>2009</v>
      </c>
      <c r="BG65" s="134">
        <v>1</v>
      </c>
      <c r="BH65" s="169">
        <v>1</v>
      </c>
      <c r="BI65" s="232">
        <v>-0.21386000000000002</v>
      </c>
      <c r="BJ65" s="233">
        <v>-0.11466000000000001</v>
      </c>
      <c r="BK65" s="169">
        <f t="shared" si="29"/>
        <v>-0.16426000000000002</v>
      </c>
      <c r="BL65" s="194">
        <f t="shared" si="33"/>
        <v>0.89339999999999986</v>
      </c>
      <c r="BM65" s="194">
        <f t="shared" si="34"/>
        <v>0.65300000000000002</v>
      </c>
      <c r="BN65" s="170">
        <v>1.2103999999999999</v>
      </c>
      <c r="BO65" s="171">
        <v>1.0805600000000002</v>
      </c>
      <c r="BP65" s="169">
        <f t="shared" si="30"/>
        <v>1.1454800000000001</v>
      </c>
      <c r="BW65" s="134" t="s">
        <v>400</v>
      </c>
      <c r="BX65" s="134">
        <v>2011</v>
      </c>
    </row>
    <row r="66" spans="1:76" s="134" customFormat="1" ht="15" customHeight="1">
      <c r="A66" s="130"/>
      <c r="B66" s="130"/>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6"/>
      <c r="AJ66" s="137"/>
      <c r="AK66" s="137"/>
      <c r="AL66" s="138"/>
      <c r="AM66" s="139"/>
      <c r="AN66" s="139"/>
      <c r="AO66" s="139"/>
      <c r="AP66" s="139"/>
      <c r="AQ66" s="139"/>
      <c r="AR66" s="139"/>
      <c r="AS66" s="139"/>
      <c r="AT66" s="139"/>
      <c r="BA66" s="134" t="s">
        <v>392</v>
      </c>
      <c r="BB66" s="134">
        <v>0.92</v>
      </c>
      <c r="BE66" s="134" t="s">
        <v>399</v>
      </c>
      <c r="BF66" s="130">
        <v>2010</v>
      </c>
      <c r="BG66" s="134">
        <v>1</v>
      </c>
      <c r="BH66" s="169">
        <v>1</v>
      </c>
      <c r="BI66" s="238">
        <v>-0.253</v>
      </c>
      <c r="BJ66" s="239">
        <v>-0.129</v>
      </c>
      <c r="BK66" s="169">
        <f t="shared" si="29"/>
        <v>-0.191</v>
      </c>
      <c r="BL66" s="229">
        <v>0.94</v>
      </c>
      <c r="BM66" s="229">
        <v>0.65300000000000002</v>
      </c>
      <c r="BN66" s="240">
        <v>1.2529999999999999</v>
      </c>
      <c r="BO66" s="241">
        <v>1.0907</v>
      </c>
      <c r="BP66" s="169">
        <f t="shared" si="30"/>
        <v>1.1718500000000001</v>
      </c>
      <c r="BW66" s="134" t="s">
        <v>401</v>
      </c>
      <c r="BX66" s="134">
        <v>2012</v>
      </c>
    </row>
    <row r="67" spans="1:76" s="134" customFormat="1" ht="15" customHeight="1">
      <c r="A67" s="130"/>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6"/>
      <c r="AJ67" s="137"/>
      <c r="AK67" s="137"/>
      <c r="AL67" s="138"/>
      <c r="AM67" s="139"/>
      <c r="AN67" s="139"/>
      <c r="AO67" s="139"/>
      <c r="AP67" s="139"/>
      <c r="AQ67" s="139"/>
      <c r="AR67" s="139"/>
      <c r="AS67" s="139"/>
      <c r="AT67" s="139"/>
      <c r="BA67" s="134" t="s">
        <v>393</v>
      </c>
      <c r="BB67" s="134">
        <v>0.92500000000000004</v>
      </c>
      <c r="BE67" s="134" t="s">
        <v>400</v>
      </c>
      <c r="BF67" s="130">
        <v>2011</v>
      </c>
      <c r="BG67" s="134">
        <v>1</v>
      </c>
      <c r="BH67" s="169">
        <v>1</v>
      </c>
      <c r="BI67" s="232">
        <v>-0.57380000000000009</v>
      </c>
      <c r="BJ67" s="233">
        <v>-0.24825999999999998</v>
      </c>
      <c r="BK67" s="169">
        <f t="shared" si="29"/>
        <v>-0.41103000000000001</v>
      </c>
      <c r="BL67" s="194">
        <f>BL66+(BL$71-BL$66)/5</f>
        <v>1.1805999999999999</v>
      </c>
      <c r="BM67" s="194">
        <f>BM66+(BM$71-BM$66)/5</f>
        <v>0.78120000000000001</v>
      </c>
      <c r="BN67" s="170">
        <v>1.5773999999999999</v>
      </c>
      <c r="BO67" s="171">
        <v>1.2176199999999999</v>
      </c>
      <c r="BP67" s="169">
        <f t="shared" si="30"/>
        <v>1.39751</v>
      </c>
      <c r="BW67" s="134" t="s">
        <v>402</v>
      </c>
      <c r="BX67" s="134">
        <v>2013</v>
      </c>
    </row>
    <row r="68" spans="1:76" s="134" customFormat="1" ht="15" customHeight="1">
      <c r="A68" s="130"/>
      <c r="B68" s="130"/>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200"/>
      <c r="AJ68" s="130"/>
      <c r="AK68" s="130"/>
      <c r="AL68" s="201"/>
      <c r="AM68" s="130"/>
      <c r="AN68" s="130"/>
      <c r="AO68" s="130"/>
      <c r="AP68" s="130"/>
      <c r="AQ68" s="130"/>
      <c r="AR68" s="130"/>
      <c r="AS68" s="130"/>
      <c r="AT68" s="130"/>
      <c r="AU68" s="130"/>
      <c r="AV68" s="130"/>
      <c r="AW68" s="130"/>
      <c r="BA68" s="134" t="s">
        <v>394</v>
      </c>
      <c r="BB68" s="134">
        <v>0.93</v>
      </c>
      <c r="BE68" s="134" t="s">
        <v>401</v>
      </c>
      <c r="BF68" s="130">
        <v>2012</v>
      </c>
      <c r="BG68" s="134">
        <v>1</v>
      </c>
      <c r="BH68" s="169">
        <v>1</v>
      </c>
      <c r="BI68" s="232">
        <v>-0.89460000000000006</v>
      </c>
      <c r="BJ68" s="233">
        <v>-0.36751999999999996</v>
      </c>
      <c r="BK68" s="169">
        <f t="shared" si="29"/>
        <v>-0.63105999999999995</v>
      </c>
      <c r="BL68" s="194">
        <f t="shared" ref="BL68:BL70" si="35">BL67+(BL$71-BL$66)/5</f>
        <v>1.4211999999999998</v>
      </c>
      <c r="BM68" s="194">
        <f t="shared" ref="BM68:BM70" si="36">BM67+(BM$71-BM$66)/5</f>
        <v>0.90939999999999999</v>
      </c>
      <c r="BN68" s="170">
        <v>1.9017999999999999</v>
      </c>
      <c r="BO68" s="171">
        <v>1.3445399999999998</v>
      </c>
      <c r="BP68" s="169">
        <f t="shared" si="30"/>
        <v>1.62317</v>
      </c>
      <c r="BW68" s="134" t="s">
        <v>403</v>
      </c>
      <c r="BX68" s="134">
        <v>2014</v>
      </c>
    </row>
    <row r="69" spans="1:76" s="134" customFormat="1" ht="15" customHeight="1">
      <c r="A69" s="130"/>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203"/>
      <c r="AJ69" s="130"/>
      <c r="AK69" s="130"/>
      <c r="AL69" s="130"/>
      <c r="AM69" s="130"/>
      <c r="AN69" s="130"/>
      <c r="AO69" s="130"/>
      <c r="AP69" s="130"/>
      <c r="AQ69" s="130"/>
      <c r="AR69" s="130"/>
      <c r="AS69" s="130"/>
      <c r="AT69" s="130"/>
      <c r="AU69" s="130"/>
      <c r="AV69" s="130"/>
      <c r="AW69" s="130"/>
      <c r="BA69" s="134" t="s">
        <v>395</v>
      </c>
      <c r="BB69" s="134">
        <v>0.93500000000000005</v>
      </c>
      <c r="BE69" s="134" t="s">
        <v>402</v>
      </c>
      <c r="BF69" s="130">
        <v>2013</v>
      </c>
      <c r="BG69" s="134">
        <v>1</v>
      </c>
      <c r="BH69" s="169">
        <v>1</v>
      </c>
      <c r="BI69" s="232">
        <v>-1.2154</v>
      </c>
      <c r="BJ69" s="233">
        <v>-0.48677999999999993</v>
      </c>
      <c r="BK69" s="169">
        <f t="shared" si="29"/>
        <v>-0.85109000000000001</v>
      </c>
      <c r="BL69" s="194">
        <f t="shared" si="35"/>
        <v>1.6617999999999997</v>
      </c>
      <c r="BM69" s="194">
        <f t="shared" si="36"/>
        <v>1.0376000000000001</v>
      </c>
      <c r="BN69" s="170">
        <v>2.2262</v>
      </c>
      <c r="BO69" s="171">
        <v>1.4714599999999998</v>
      </c>
      <c r="BP69" s="169">
        <f t="shared" si="30"/>
        <v>1.84883</v>
      </c>
      <c r="BW69" s="134" t="s">
        <v>404</v>
      </c>
      <c r="BX69" s="134">
        <v>2015</v>
      </c>
    </row>
    <row r="70" spans="1:76" s="134" customFormat="1" ht="15" customHeight="1">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203"/>
      <c r="AJ70" s="130"/>
      <c r="AK70" s="130"/>
      <c r="AL70" s="130"/>
      <c r="AM70" s="130"/>
      <c r="AN70" s="130"/>
      <c r="AO70" s="130"/>
      <c r="AP70" s="130"/>
      <c r="AQ70" s="130"/>
      <c r="AR70" s="130"/>
      <c r="AS70" s="130"/>
      <c r="AT70" s="130"/>
      <c r="AU70" s="130"/>
      <c r="AV70" s="130"/>
      <c r="AW70" s="130"/>
      <c r="BA70" s="134" t="s">
        <v>396</v>
      </c>
      <c r="BB70" s="134">
        <v>0.94</v>
      </c>
      <c r="BE70" s="134" t="s">
        <v>403</v>
      </c>
      <c r="BF70" s="130">
        <v>2014</v>
      </c>
      <c r="BG70" s="134">
        <v>1</v>
      </c>
      <c r="BH70" s="169">
        <v>1</v>
      </c>
      <c r="BI70" s="232">
        <v>-1.5362</v>
      </c>
      <c r="BJ70" s="233">
        <v>-0.60603999999999991</v>
      </c>
      <c r="BK70" s="169">
        <f t="shared" si="29"/>
        <v>-1.0711200000000001</v>
      </c>
      <c r="BL70" s="194">
        <f t="shared" si="35"/>
        <v>1.9023999999999996</v>
      </c>
      <c r="BM70" s="194">
        <f t="shared" si="36"/>
        <v>1.1658000000000002</v>
      </c>
      <c r="BN70" s="170">
        <v>2.5506000000000002</v>
      </c>
      <c r="BO70" s="171">
        <v>1.5983799999999997</v>
      </c>
      <c r="BP70" s="169">
        <f t="shared" si="30"/>
        <v>2.0744899999999999</v>
      </c>
      <c r="BW70" s="134" t="s">
        <v>405</v>
      </c>
      <c r="BX70" s="134">
        <v>2016</v>
      </c>
    </row>
    <row r="71" spans="1:76" s="134" customFormat="1" ht="15" customHeight="1">
      <c r="A71" s="130"/>
      <c r="B71" s="130"/>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203"/>
      <c r="AJ71" s="130"/>
      <c r="AK71" s="130"/>
      <c r="AL71" s="130"/>
      <c r="AM71" s="130"/>
      <c r="AN71" s="130"/>
      <c r="AO71" s="130"/>
      <c r="AP71" s="130"/>
      <c r="AQ71" s="130"/>
      <c r="AR71" s="130"/>
      <c r="AS71" s="130"/>
      <c r="AT71" s="130"/>
      <c r="AU71" s="130"/>
      <c r="AV71" s="130"/>
      <c r="AW71" s="130"/>
      <c r="BA71" s="134" t="s">
        <v>397</v>
      </c>
      <c r="BB71" s="134">
        <v>0.94499999999999995</v>
      </c>
      <c r="BE71" s="134" t="s">
        <v>404</v>
      </c>
      <c r="BF71" s="130">
        <v>2015</v>
      </c>
      <c r="BG71" s="134">
        <v>1</v>
      </c>
      <c r="BH71" s="169">
        <v>1</v>
      </c>
      <c r="BI71" s="238">
        <v>-1.857</v>
      </c>
      <c r="BJ71" s="239">
        <v>-0.72529999999999994</v>
      </c>
      <c r="BK71" s="169">
        <f t="shared" si="29"/>
        <v>-1.29115</v>
      </c>
      <c r="BL71" s="229">
        <v>2.1429999999999998</v>
      </c>
      <c r="BM71" s="229">
        <v>1.294</v>
      </c>
      <c r="BN71" s="240">
        <v>2.875</v>
      </c>
      <c r="BO71" s="241">
        <v>1.7253000000000001</v>
      </c>
      <c r="BP71" s="169">
        <f t="shared" si="30"/>
        <v>2.3001499999999999</v>
      </c>
      <c r="BW71" s="134" t="s">
        <v>406</v>
      </c>
      <c r="BX71" s="134">
        <v>2017</v>
      </c>
    </row>
    <row r="72" spans="1:76" s="134" customFormat="1" ht="15" customHeight="1">
      <c r="A72" s="130"/>
      <c r="B72" s="130"/>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3"/>
      <c r="AJ72" s="130"/>
      <c r="AK72" s="130"/>
      <c r="AL72" s="130"/>
      <c r="AM72" s="130"/>
      <c r="AN72" s="130"/>
      <c r="AO72" s="130"/>
      <c r="AP72" s="130"/>
      <c r="AQ72" s="130"/>
      <c r="AR72" s="130"/>
      <c r="AS72" s="130"/>
      <c r="AT72" s="130"/>
      <c r="AU72" s="130"/>
      <c r="AV72" s="130"/>
      <c r="AW72" s="130"/>
      <c r="BA72" s="134" t="s">
        <v>398</v>
      </c>
      <c r="BB72" s="134">
        <v>0.95</v>
      </c>
      <c r="BE72" s="195" t="s">
        <v>389</v>
      </c>
      <c r="BF72" s="195">
        <v>2009</v>
      </c>
      <c r="BG72" s="134">
        <v>1</v>
      </c>
      <c r="BH72" s="169">
        <v>1</v>
      </c>
      <c r="BI72" s="234"/>
      <c r="BJ72" s="235"/>
      <c r="BK72" s="169">
        <f t="shared" si="29"/>
        <v>0</v>
      </c>
      <c r="BL72" s="195"/>
      <c r="BM72" s="195"/>
      <c r="BN72" s="196"/>
      <c r="BO72" s="197"/>
      <c r="BP72" s="169">
        <f t="shared" si="30"/>
        <v>0</v>
      </c>
      <c r="BW72" s="134" t="s">
        <v>407</v>
      </c>
      <c r="BX72" s="134">
        <v>2018</v>
      </c>
    </row>
    <row r="73" spans="1:76" s="134" customFormat="1" ht="15" customHeight="1">
      <c r="A73" s="130"/>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203"/>
      <c r="AJ73" s="130"/>
      <c r="AK73" s="130"/>
      <c r="AL73" s="130"/>
      <c r="AM73" s="130"/>
      <c r="AN73" s="130"/>
      <c r="AO73" s="130"/>
      <c r="AP73" s="130"/>
      <c r="AQ73" s="130"/>
      <c r="AR73" s="130"/>
      <c r="AS73" s="130"/>
      <c r="AT73" s="130"/>
      <c r="AU73" s="130"/>
      <c r="AV73" s="130"/>
      <c r="AW73" s="130"/>
      <c r="BA73" s="134" t="s">
        <v>399</v>
      </c>
      <c r="BB73" s="134">
        <v>0.95499999999999996</v>
      </c>
      <c r="BF73" s="130">
        <v>2016</v>
      </c>
      <c r="BG73" s="134">
        <v>1</v>
      </c>
      <c r="BH73" s="169">
        <v>1</v>
      </c>
      <c r="BI73" s="232"/>
      <c r="BJ73" s="233"/>
      <c r="BK73" s="169">
        <f t="shared" si="29"/>
        <v>0</v>
      </c>
      <c r="BL73" s="194"/>
      <c r="BM73" s="194"/>
      <c r="BN73" s="170"/>
      <c r="BO73" s="171"/>
      <c r="BP73" s="169">
        <f t="shared" si="30"/>
        <v>0</v>
      </c>
      <c r="BX73" s="134">
        <v>2019</v>
      </c>
    </row>
    <row r="74" spans="1:76" ht="15" customHeight="1">
      <c r="AI74" s="204"/>
      <c r="AX74" s="134"/>
      <c r="AY74" s="134"/>
      <c r="AZ74" s="134"/>
      <c r="BA74" s="134" t="s">
        <v>400</v>
      </c>
      <c r="BB74" s="134">
        <v>0.96</v>
      </c>
      <c r="BC74" s="134"/>
      <c r="BD74" s="134"/>
      <c r="BE74" s="134"/>
      <c r="BF74" s="130">
        <v>2017</v>
      </c>
      <c r="BG74" s="134">
        <v>1</v>
      </c>
      <c r="BH74" s="169">
        <v>1</v>
      </c>
      <c r="BI74" s="232"/>
      <c r="BJ74" s="233"/>
      <c r="BK74" s="169">
        <f t="shared" si="29"/>
        <v>0</v>
      </c>
      <c r="BL74" s="194"/>
      <c r="BM74" s="194"/>
      <c r="BN74" s="170"/>
      <c r="BO74" s="171"/>
      <c r="BP74" s="169">
        <f t="shared" si="30"/>
        <v>0</v>
      </c>
      <c r="BQ74" s="134"/>
      <c r="BR74" s="134"/>
      <c r="BS74" s="134"/>
      <c r="BT74" s="134"/>
      <c r="BU74" s="134"/>
      <c r="BV74" s="134"/>
      <c r="BW74" s="134"/>
      <c r="BX74" s="134">
        <v>2020</v>
      </c>
    </row>
    <row r="75" spans="1:76">
      <c r="AI75" s="204"/>
      <c r="AX75" s="134"/>
      <c r="AY75" s="134"/>
      <c r="AZ75" s="134"/>
      <c r="BA75" s="134" t="s">
        <v>401</v>
      </c>
      <c r="BB75" s="134">
        <v>0.96499999999999997</v>
      </c>
      <c r="BC75" s="134"/>
      <c r="BD75" s="134"/>
      <c r="BE75" s="134"/>
      <c r="BF75" s="130">
        <v>2018</v>
      </c>
      <c r="BG75" s="134">
        <v>1</v>
      </c>
      <c r="BH75" s="169">
        <v>1</v>
      </c>
      <c r="BI75" s="236"/>
      <c r="BJ75" s="237"/>
      <c r="BK75" s="169">
        <f t="shared" si="29"/>
        <v>0</v>
      </c>
      <c r="BL75" s="194"/>
      <c r="BM75" s="194"/>
      <c r="BN75" s="198"/>
      <c r="BO75" s="199"/>
      <c r="BP75" s="169">
        <f t="shared" si="30"/>
        <v>0</v>
      </c>
      <c r="BQ75" s="134"/>
      <c r="BR75" s="134"/>
      <c r="BS75" s="134"/>
      <c r="BT75" s="134"/>
      <c r="BU75" s="134"/>
      <c r="BV75" s="134"/>
      <c r="BW75" s="134"/>
      <c r="BX75" s="134"/>
    </row>
    <row r="76" spans="1:76" ht="16.5" customHeight="1">
      <c r="AX76" s="134"/>
      <c r="AY76" s="134"/>
      <c r="AZ76" s="134"/>
      <c r="BA76" s="134" t="s">
        <v>402</v>
      </c>
      <c r="BB76" s="134">
        <v>0.97</v>
      </c>
      <c r="BC76" s="134"/>
      <c r="BD76" s="134"/>
      <c r="BE76" s="134"/>
      <c r="BO76" s="134"/>
      <c r="BP76" s="134"/>
      <c r="BQ76" s="134"/>
      <c r="BR76" s="134"/>
      <c r="BS76" s="134"/>
      <c r="BT76" s="134"/>
      <c r="BU76" s="134"/>
      <c r="BV76" s="134"/>
      <c r="BW76" s="134"/>
      <c r="BX76" s="134"/>
    </row>
    <row r="77" spans="1:76" ht="13.5" customHeight="1">
      <c r="AI77" s="203"/>
      <c r="AX77" s="134"/>
      <c r="AY77" s="134"/>
      <c r="AZ77" s="134"/>
      <c r="BA77" s="134" t="s">
        <v>403</v>
      </c>
      <c r="BB77" s="134">
        <v>0.97499999999999998</v>
      </c>
      <c r="BC77" s="134"/>
      <c r="BD77" s="134"/>
      <c r="BE77" s="134"/>
      <c r="BO77" s="134"/>
      <c r="BP77" s="134"/>
      <c r="BQ77" s="134"/>
      <c r="BR77" s="134"/>
      <c r="BS77" s="134"/>
      <c r="BT77" s="134"/>
      <c r="BU77" s="134"/>
      <c r="BV77" s="134"/>
      <c r="BW77" s="134"/>
      <c r="BX77" s="134"/>
    </row>
    <row r="78" spans="1:76" ht="13.5" customHeight="1">
      <c r="AI78" s="205"/>
      <c r="AX78" s="134"/>
      <c r="AY78" s="134"/>
      <c r="BA78" s="130" t="s">
        <v>404</v>
      </c>
      <c r="BB78" s="130">
        <v>0.98</v>
      </c>
    </row>
    <row r="79" spans="1:76" ht="13.5" customHeight="1">
      <c r="AI79" s="205"/>
      <c r="AX79" s="134"/>
      <c r="BA79" s="130" t="s">
        <v>405</v>
      </c>
      <c r="BB79" s="130">
        <v>0.98499999999999999</v>
      </c>
    </row>
    <row r="80" spans="1:76" ht="13.5" customHeight="1">
      <c r="AX80" s="202"/>
      <c r="BA80" s="130" t="s">
        <v>406</v>
      </c>
      <c r="BB80" s="130">
        <v>0.99</v>
      </c>
    </row>
    <row r="81" spans="53:54" ht="13.5" customHeight="1">
      <c r="BA81" s="130" t="s">
        <v>407</v>
      </c>
      <c r="BB81" s="130">
        <v>0.995</v>
      </c>
    </row>
    <row r="82" spans="53:54" ht="13.5" customHeight="1"/>
    <row r="83" spans="53:54" ht="13.5" customHeight="1"/>
    <row r="84" spans="53:54" ht="13.5" customHeight="1"/>
    <row r="85" spans="53:54" ht="13.5" customHeight="1">
      <c r="BA85" s="130" t="s">
        <v>408</v>
      </c>
      <c r="BB85" s="130">
        <v>0.70499999999999996</v>
      </c>
    </row>
    <row r="86" spans="53:54" ht="13.5" customHeight="1"/>
    <row r="87" spans="53:54" ht="13.5" customHeight="1"/>
    <row r="89" spans="53:54" ht="13.5" customHeight="1"/>
    <row r="90" spans="53:54" ht="14.25" customHeight="1"/>
    <row r="97" spans="53:54">
      <c r="BA97" s="130" t="s">
        <v>409</v>
      </c>
      <c r="BB97" s="130">
        <v>1</v>
      </c>
    </row>
  </sheetData>
  <sheetProtection algorithmName="SHA-512" hashValue="Mk4flhISWTgLkw4N7jsWnaJjr7OsJUoqQmjSzb7nQiiVburEhQfBFLLDg4+71yBRXn1/9mzwNgnw/Z/FV9UAoA==" saltValue="dyDZR1cAT+Kxkld3FMQTdQ==" spinCount="100000" sheet="1" formatCells="0"/>
  <mergeCells count="43">
    <mergeCell ref="S26:S27"/>
    <mergeCell ref="U5:AH5"/>
    <mergeCell ref="R5:T5"/>
    <mergeCell ref="R7:AH12"/>
    <mergeCell ref="Z3:AH3"/>
    <mergeCell ref="AC21:AD21"/>
    <mergeCell ref="V22:W22"/>
    <mergeCell ref="Z22:AA22"/>
    <mergeCell ref="AC22:AD22"/>
    <mergeCell ref="V21:W21"/>
    <mergeCell ref="T21:U21"/>
    <mergeCell ref="Z21:AB21"/>
    <mergeCell ref="AF24:AH25"/>
    <mergeCell ref="B5:C5"/>
    <mergeCell ref="B6:C6"/>
    <mergeCell ref="B7:C7"/>
    <mergeCell ref="G5:H5"/>
    <mergeCell ref="E5:F5"/>
    <mergeCell ref="G7:H7"/>
    <mergeCell ref="G6:H6"/>
    <mergeCell ref="E7:F7"/>
    <mergeCell ref="E6:F6"/>
    <mergeCell ref="I5:J5"/>
    <mergeCell ref="I6:J6"/>
    <mergeCell ref="I7:J7"/>
    <mergeCell ref="I8:J8"/>
    <mergeCell ref="I9:J9"/>
    <mergeCell ref="A24:A26"/>
    <mergeCell ref="G9:H9"/>
    <mergeCell ref="E9:F9"/>
    <mergeCell ref="E8:F8"/>
    <mergeCell ref="H21:I21"/>
    <mergeCell ref="H22:I22"/>
    <mergeCell ref="G8:H8"/>
    <mergeCell ref="C21:E21"/>
    <mergeCell ref="F21:G21"/>
    <mergeCell ref="B8:C8"/>
    <mergeCell ref="B9:C9"/>
    <mergeCell ref="N22:O22"/>
    <mergeCell ref="K21:M21"/>
    <mergeCell ref="K22:M22"/>
    <mergeCell ref="N21:O21"/>
    <mergeCell ref="L7:P8"/>
  </mergeCells>
  <phoneticPr fontId="3"/>
  <conditionalFormatting sqref="A23">
    <cfRule type="expression" dxfId="97" priority="31">
      <formula>$AK$27&lt;&gt;2</formula>
    </cfRule>
  </conditionalFormatting>
  <conditionalFormatting sqref="A23">
    <cfRule type="expression" dxfId="96" priority="30">
      <formula>$AK$27=2</formula>
    </cfRule>
  </conditionalFormatting>
  <conditionalFormatting sqref="P6 F10 E9 H10:I10 G9 K6:K10 P9:P10">
    <cfRule type="expression" dxfId="95" priority="29">
      <formula>#REF!="なし"</formula>
    </cfRule>
  </conditionalFormatting>
  <conditionalFormatting sqref="AC28:AD28">
    <cfRule type="expression" dxfId="94" priority="25">
      <formula>$E$3="なし"</formula>
    </cfRule>
  </conditionalFormatting>
  <conditionalFormatting sqref="T7:T12">
    <cfRule type="expression" dxfId="93" priority="89">
      <formula>OR(F29&lt;W29,K29&lt;AA29)</formula>
    </cfRule>
  </conditionalFormatting>
  <conditionalFormatting sqref="U7:U12">
    <cfRule type="expression" dxfId="92" priority="98">
      <formula>OR(G29&lt;V29,L29&lt;Z29)</formula>
    </cfRule>
  </conditionalFormatting>
  <conditionalFormatting sqref="X7:X12">
    <cfRule type="expression" dxfId="91" priority="100">
      <formula>OR(K29&lt;AA29,P29&lt;AD29)</formula>
    </cfRule>
  </conditionalFormatting>
  <conditionalFormatting sqref="Y7:Y12">
    <cfRule type="expression" dxfId="90" priority="102">
      <formula>OR(L29&lt;Z29,Q29&lt;AE29)</formula>
    </cfRule>
  </conditionalFormatting>
  <conditionalFormatting sqref="U29">
    <cfRule type="expression" dxfId="89" priority="20">
      <formula>$U$29-$E$29&gt;0</formula>
    </cfRule>
  </conditionalFormatting>
  <conditionalFormatting sqref="Y29">
    <cfRule type="expression" dxfId="88" priority="19">
      <formula>$Y$29-$J$29&gt;0</formula>
    </cfRule>
  </conditionalFormatting>
  <conditionalFormatting sqref="H22 I22 N22 O22">
    <cfRule type="expression" dxfId="87" priority="119">
      <formula>$AM$11=5</formula>
    </cfRule>
  </conditionalFormatting>
  <conditionalFormatting sqref="R7:S12">
    <cfRule type="expression" dxfId="86" priority="145">
      <formula>OR(E29&lt;U29,J29&lt;Y29)</formula>
    </cfRule>
  </conditionalFormatting>
  <conditionalFormatting sqref="V22:W22 AC22:AD22">
    <cfRule type="expression" dxfId="85" priority="18">
      <formula>$AM$20=5</formula>
    </cfRule>
  </conditionalFormatting>
  <conditionalFormatting sqref="R21:AE21">
    <cfRule type="expression" dxfId="84" priority="17">
      <formula>$AL$13=FALSE</formula>
    </cfRule>
  </conditionalFormatting>
  <conditionalFormatting sqref="R21:W21">
    <cfRule type="expression" dxfId="83" priority="16">
      <formula>$AL$13=TRUE</formula>
    </cfRule>
  </conditionalFormatting>
  <conditionalFormatting sqref="Z21:AD21">
    <cfRule type="expression" dxfId="82" priority="13">
      <formula>$AL$13=TRUE</formula>
    </cfRule>
    <cfRule type="expression" dxfId="81" priority="15">
      <formula>$AL$13=TRUE</formula>
    </cfRule>
  </conditionalFormatting>
  <conditionalFormatting sqref="T21:W21">
    <cfRule type="expression" dxfId="80" priority="14">
      <formula>$AL$13=TRUE</formula>
    </cfRule>
  </conditionalFormatting>
  <conditionalFormatting sqref="R7:AH12">
    <cfRule type="expression" dxfId="79" priority="12">
      <formula>"E29&lt;T29,J29&lt;X29"</formula>
    </cfRule>
  </conditionalFormatting>
  <conditionalFormatting sqref="C30">
    <cfRule type="expression" dxfId="78" priority="11">
      <formula>MATCH($C$30,$BE$51:$BE$71,0)&gt;15</formula>
    </cfRule>
  </conditionalFormatting>
  <conditionalFormatting sqref="C31">
    <cfRule type="expression" dxfId="77" priority="10">
      <formula>MATCH($C$31,$BE$51:$BE$71,0)&gt;15</formula>
    </cfRule>
  </conditionalFormatting>
  <conditionalFormatting sqref="C32">
    <cfRule type="expression" dxfId="76" priority="9">
      <formula>MATCH(C32,$BE$51:$BE$71,0)&gt;15</formula>
    </cfRule>
  </conditionalFormatting>
  <conditionalFormatting sqref="C33">
    <cfRule type="expression" dxfId="75" priority="8">
      <formula>MATCH(C33,$BE$51:$BE$71,0)&gt;15</formula>
    </cfRule>
  </conditionalFormatting>
  <conditionalFormatting sqref="C35">
    <cfRule type="expression" dxfId="74" priority="7">
      <formula>MATCH(C35,$BE$51:$BE$71,0)&gt;15</formula>
    </cfRule>
  </conditionalFormatting>
  <conditionalFormatting sqref="C36">
    <cfRule type="expression" dxfId="73" priority="5">
      <formula>MATCH(C36,$BE$51:$BE$71,0)&gt;15</formula>
    </cfRule>
  </conditionalFormatting>
  <conditionalFormatting sqref="C34">
    <cfRule type="expression" dxfId="72" priority="4">
      <formula>MATCH(C34,$BE$51:$BE$71,0)&gt;15</formula>
    </cfRule>
  </conditionalFormatting>
  <conditionalFormatting sqref="C37">
    <cfRule type="expression" dxfId="71" priority="3">
      <formula>MATCH(C37,$BE$51:$BE$71,0)&gt;15</formula>
    </cfRule>
  </conditionalFormatting>
  <conditionalFormatting sqref="C38">
    <cfRule type="expression" dxfId="70" priority="2">
      <formula>MATCH(C38,$BE$51:$BE$71,0)&gt;15</formula>
    </cfRule>
  </conditionalFormatting>
  <conditionalFormatting sqref="C39">
    <cfRule type="expression" dxfId="69" priority="1">
      <formula>MATCH(C39,$BE$51:$BE$71,0)&gt;15</formula>
    </cfRule>
  </conditionalFormatting>
  <conditionalFormatting sqref="V7:W12">
    <cfRule type="expression" dxfId="68" priority="152">
      <formula>OR(H29&lt;X29,M29&lt;AB29)</formula>
    </cfRule>
  </conditionalFormatting>
  <conditionalFormatting sqref="Z7:AH12">
    <cfRule type="expression" dxfId="67" priority="153">
      <formula>OR(M29&lt;AB29,R29&lt;AF29)</formula>
    </cfRule>
  </conditionalFormatting>
  <dataValidations count="4">
    <dataValidation type="list" allowBlank="1" showInputMessage="1" showErrorMessage="1" sqref="C28" xr:uid="{BD5A7ACA-0258-4056-B494-7E1FEA95C486}">
      <formula1>$BA$57:$BA$72</formula1>
    </dataValidation>
    <dataValidation type="whole" allowBlank="1" showInputMessage="1" showErrorMessage="1" sqref="T28" xr:uid="{54F7A4A6-BF19-4194-B2E1-138822FC0E06}">
      <formula1>0</formula1>
      <formula2>D28</formula2>
    </dataValidation>
    <dataValidation type="list" allowBlank="1" showInputMessage="1" showErrorMessage="1" sqref="C21:E21 R21:S21" xr:uid="{AFAAB097-D445-4F07-A7E9-E92600D740D6}">
      <formula1>$AM$6:$AM$10</formula1>
    </dataValidation>
    <dataValidation type="list" allowBlank="1" showInputMessage="1" showErrorMessage="1" error="対象は2009年までです。それ以降は対象となりません。" sqref="C30:C39" xr:uid="{1D339610-A1D5-4A81-821A-1CEEFB4813E7}">
      <formula1>$BE$51:$BE$71</formula1>
    </dataValidation>
  </dataValidations>
  <printOptions horizontalCentered="1"/>
  <pageMargins left="0.59055118110236227" right="0.59055118110236227" top="0.47" bottom="0" header="0.31496062992125984" footer="0.31496062992125984"/>
  <pageSetup paperSize="9" scale="65" orientation="landscape" r:id="rId1"/>
  <headerFooter>
    <oddHeader>&amp;L&amp;10様式第1-1号（別紙）&amp;C&amp;10R5年度_《緊急予算枠》_CO₂削減量算定シート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7</xdr:col>
                    <xdr:colOff>171450</xdr:colOff>
                    <xdr:row>19</xdr:row>
                    <xdr:rowOff>0</xdr:rowOff>
                  </from>
                  <to>
                    <xdr:col>7</xdr:col>
                    <xdr:colOff>409575</xdr:colOff>
                    <xdr:row>20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2CC30BB-F9F0-42C8-B71F-C9FE5C5E8464}">
          <x14:formula1>
            <xm:f>記入方法!$X$18:$X$20</xm:f>
          </x14:formula1>
          <xm:sqref>S30:S39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893A6-0A66-44E0-B7AA-D7042270EEBE}">
  <sheetPr codeName="Sheet5">
    <tabColor rgb="FF00B0F0"/>
    <pageSetUpPr fitToPage="1"/>
  </sheetPr>
  <dimension ref="A1:AL92"/>
  <sheetViews>
    <sheetView view="pageBreakPreview" topLeftCell="A7" zoomScale="130" zoomScaleNormal="85" zoomScaleSheetLayoutView="130" workbookViewId="0">
      <selection activeCell="D21" sqref="D21"/>
    </sheetView>
  </sheetViews>
  <sheetFormatPr defaultRowHeight="13.5"/>
  <cols>
    <col min="1" max="1" width="2.875" style="69" customWidth="1"/>
    <col min="2" max="2" width="4.75" style="69" customWidth="1"/>
    <col min="3" max="3" width="13.25" style="69" customWidth="1"/>
    <col min="4" max="4" width="5.125" style="69" customWidth="1"/>
    <col min="5" max="5" width="6.125" style="69" customWidth="1"/>
    <col min="6" max="6" width="7.875" style="69" customWidth="1"/>
    <col min="7" max="7" width="5.75" style="69" customWidth="1"/>
    <col min="8" max="8" width="6.5" style="69" customWidth="1"/>
    <col min="9" max="10" width="6" style="69" customWidth="1"/>
    <col min="11" max="11" width="8" style="69" customWidth="1"/>
    <col min="12" max="12" width="8.25" style="69" customWidth="1"/>
    <col min="13" max="14" width="9" style="69"/>
    <col min="15" max="15" width="5" style="69" customWidth="1"/>
    <col min="16" max="16" width="6.625" style="69" customWidth="1"/>
    <col min="17" max="17" width="10" style="69" customWidth="1"/>
    <col min="18" max="18" width="6.875" style="69" customWidth="1"/>
    <col min="19" max="19" width="6.5" style="69" customWidth="1"/>
    <col min="20" max="20" width="7.25" style="69" customWidth="1"/>
    <col min="21" max="23" width="9" style="69"/>
    <col min="24" max="24" width="0" style="69" hidden="1" customWidth="1"/>
    <col min="25" max="30" width="9" style="69" hidden="1" customWidth="1"/>
    <col min="31" max="31" width="9" style="69" customWidth="1"/>
    <col min="32" max="16384" width="9" style="69"/>
  </cols>
  <sheetData>
    <row r="1" spans="1:38" hidden="1">
      <c r="B1" s="69" t="s">
        <v>936</v>
      </c>
      <c r="C1" s="69" t="s">
        <v>938</v>
      </c>
      <c r="D1" s="69" t="s">
        <v>4</v>
      </c>
      <c r="E1" s="69" t="s">
        <v>941</v>
      </c>
      <c r="F1" s="69" t="s">
        <v>943</v>
      </c>
      <c r="G1" s="69" t="s">
        <v>938</v>
      </c>
      <c r="H1" s="69" t="s">
        <v>4</v>
      </c>
      <c r="I1" s="69" t="s">
        <v>941</v>
      </c>
      <c r="U1" s="69" t="s">
        <v>945</v>
      </c>
      <c r="V1" s="69" t="s">
        <v>947</v>
      </c>
    </row>
    <row r="2" spans="1:38" hidden="1">
      <c r="B2" s="69">
        <f>E7</f>
        <v>0</v>
      </c>
      <c r="C2" s="69">
        <f>G7</f>
        <v>0</v>
      </c>
      <c r="D2" s="69">
        <f>I7</f>
        <v>0</v>
      </c>
      <c r="E2" s="69">
        <f>K7</f>
        <v>0</v>
      </c>
      <c r="F2" s="69">
        <f>E8</f>
        <v>0</v>
      </c>
      <c r="G2" s="69">
        <f>G8</f>
        <v>0</v>
      </c>
      <c r="H2" s="69">
        <f>I8</f>
        <v>0</v>
      </c>
      <c r="I2" s="69">
        <f>K8</f>
        <v>0</v>
      </c>
      <c r="U2" s="69" t="str">
        <f>Q5</f>
        <v/>
      </c>
      <c r="V2" s="69">
        <f>N7</f>
        <v>0</v>
      </c>
    </row>
    <row r="3" spans="1:38" ht="30">
      <c r="A3" s="67" t="s">
        <v>228</v>
      </c>
      <c r="B3" s="68"/>
      <c r="C3" s="68"/>
      <c r="D3" s="68"/>
      <c r="E3" s="68"/>
      <c r="F3" s="68"/>
      <c r="G3" s="68"/>
      <c r="H3" s="68"/>
      <c r="I3" s="68"/>
      <c r="J3" s="14"/>
      <c r="K3" s="3"/>
      <c r="L3" s="14"/>
      <c r="M3" s="4"/>
      <c r="N3" s="14"/>
      <c r="O3" s="14"/>
      <c r="P3" s="14"/>
      <c r="Q3" s="1057">
        <f>CO２削減量算定シート!O7</f>
        <v>0</v>
      </c>
      <c r="R3" s="1058"/>
      <c r="S3" s="1058"/>
      <c r="T3" s="1058"/>
      <c r="U3" s="1058"/>
      <c r="V3" s="1058"/>
      <c r="W3" s="1059"/>
      <c r="X3" s="68"/>
      <c r="Y3" s="68"/>
      <c r="Z3" s="68"/>
      <c r="AA3" s="68"/>
      <c r="AB3" s="68"/>
      <c r="AC3" s="68"/>
      <c r="AD3" s="68"/>
      <c r="AE3" s="68"/>
      <c r="AF3" s="68"/>
      <c r="AG3" s="68"/>
      <c r="AH3" s="68"/>
      <c r="AI3" s="68"/>
      <c r="AJ3" s="68"/>
      <c r="AK3" s="68"/>
    </row>
    <row r="4" spans="1:38" ht="18.75">
      <c r="A4" s="105" t="s">
        <v>308</v>
      </c>
      <c r="B4" s="68"/>
      <c r="C4" s="68"/>
      <c r="D4" s="68"/>
      <c r="E4" s="68"/>
      <c r="F4" s="68"/>
      <c r="G4" s="68"/>
      <c r="H4" s="68"/>
      <c r="I4" s="68"/>
      <c r="J4" s="68"/>
      <c r="K4" s="70"/>
      <c r="L4" s="68"/>
      <c r="M4" s="68"/>
      <c r="N4" s="878" t="s">
        <v>310</v>
      </c>
      <c r="O4" s="878"/>
      <c r="P4" s="879"/>
      <c r="Q4" s="880" t="s">
        <v>719</v>
      </c>
      <c r="R4" s="878"/>
      <c r="S4" s="878"/>
      <c r="T4" s="134"/>
      <c r="U4" s="881"/>
      <c r="V4" s="134"/>
      <c r="W4" s="134"/>
      <c r="X4" s="68"/>
      <c r="Y4" s="68"/>
      <c r="Z4" s="68"/>
      <c r="AA4" s="68"/>
    </row>
    <row r="5" spans="1:38" ht="16.5" customHeight="1">
      <c r="A5" s="68"/>
      <c r="B5" s="986" t="s">
        <v>0</v>
      </c>
      <c r="C5" s="987"/>
      <c r="D5" s="63" t="s">
        <v>1</v>
      </c>
      <c r="E5" s="983" t="s">
        <v>2</v>
      </c>
      <c r="F5" s="983"/>
      <c r="G5" s="983" t="s">
        <v>3</v>
      </c>
      <c r="H5" s="983"/>
      <c r="I5" s="983" t="s">
        <v>4</v>
      </c>
      <c r="J5" s="983"/>
      <c r="K5" s="109" t="s">
        <v>5</v>
      </c>
      <c r="M5" s="71"/>
      <c r="N5" s="19" t="s">
        <v>11</v>
      </c>
      <c r="O5" s="19"/>
      <c r="P5" s="16"/>
      <c r="Q5" s="1060" t="str">
        <f>IF(V19="","",IF(E19-P19&lt;0,"定格出力が増加しています。下蘭に事由を記載してください。",""))</f>
        <v/>
      </c>
      <c r="R5" s="1061"/>
      <c r="S5" s="1061"/>
      <c r="T5" s="1061"/>
      <c r="U5" s="1061"/>
      <c r="V5" s="1061"/>
      <c r="W5" s="1062"/>
      <c r="X5" s="68"/>
    </row>
    <row r="6" spans="1:38" ht="16.5" customHeight="1">
      <c r="A6" s="68"/>
      <c r="B6" s="1063" t="s">
        <v>7</v>
      </c>
      <c r="C6" s="1064"/>
      <c r="D6" s="861" t="s">
        <v>8</v>
      </c>
      <c r="E6" s="1047">
        <f>L19</f>
        <v>0</v>
      </c>
      <c r="F6" s="1047"/>
      <c r="G6" s="1047">
        <f>T19</f>
        <v>0</v>
      </c>
      <c r="H6" s="1047"/>
      <c r="I6" s="1047">
        <f>E6-G6</f>
        <v>0</v>
      </c>
      <c r="J6" s="1047"/>
      <c r="K6" s="415">
        <f>IFERROR(I6/E6,0)</f>
        <v>0</v>
      </c>
      <c r="M6" s="71"/>
      <c r="N6" s="18" t="s">
        <v>6</v>
      </c>
      <c r="O6" s="17"/>
      <c r="P6" s="107"/>
      <c r="Q6" s="107"/>
      <c r="R6" s="107"/>
      <c r="S6" s="107"/>
      <c r="T6" s="107"/>
      <c r="U6" s="107"/>
      <c r="V6" s="107"/>
      <c r="W6" s="108"/>
      <c r="X6" s="68"/>
    </row>
    <row r="7" spans="1:38" ht="16.5" customHeight="1">
      <c r="A7" s="68"/>
      <c r="B7" s="1063" t="s">
        <v>9</v>
      </c>
      <c r="C7" s="1064"/>
      <c r="D7" s="861" t="s">
        <v>10</v>
      </c>
      <c r="E7" s="990">
        <f>M19</f>
        <v>0</v>
      </c>
      <c r="F7" s="990"/>
      <c r="G7" s="990">
        <f>U19</f>
        <v>0</v>
      </c>
      <c r="H7" s="990"/>
      <c r="I7" s="990">
        <f>E7-G7</f>
        <v>0</v>
      </c>
      <c r="J7" s="990"/>
      <c r="K7" s="415">
        <f>IFERROR(I7/E7,0)</f>
        <v>0</v>
      </c>
      <c r="M7" s="71"/>
      <c r="N7" s="1001"/>
      <c r="O7" s="1002"/>
      <c r="P7" s="1002"/>
      <c r="Q7" s="1002"/>
      <c r="R7" s="1002"/>
      <c r="S7" s="1002"/>
      <c r="T7" s="1002"/>
      <c r="U7" s="1002"/>
      <c r="V7" s="1002"/>
      <c r="W7" s="1003"/>
      <c r="X7" s="68"/>
    </row>
    <row r="8" spans="1:38" ht="16.5" customHeight="1">
      <c r="A8" s="68"/>
      <c r="B8" s="980" t="s">
        <v>12</v>
      </c>
      <c r="C8" s="1034"/>
      <c r="D8" s="861" t="s">
        <v>13</v>
      </c>
      <c r="E8" s="1048">
        <f>E6*'CO₂係数 '!$C$33*0.0000258</f>
        <v>0</v>
      </c>
      <c r="F8" s="1048"/>
      <c r="G8" s="1048">
        <f>G6*'CO₂係数 '!$C$33*0.0000258</f>
        <v>0</v>
      </c>
      <c r="H8" s="1048"/>
      <c r="I8" s="990">
        <f>E8-G8</f>
        <v>0</v>
      </c>
      <c r="J8" s="990"/>
      <c r="K8" s="415">
        <f>IFERROR(I8/E8,0)</f>
        <v>0</v>
      </c>
      <c r="M8" s="71"/>
      <c r="N8" s="1004"/>
      <c r="O8" s="1005"/>
      <c r="P8" s="1005"/>
      <c r="Q8" s="1005"/>
      <c r="R8" s="1005"/>
      <c r="S8" s="1005"/>
      <c r="T8" s="1005"/>
      <c r="U8" s="1005"/>
      <c r="V8" s="1005"/>
      <c r="W8" s="1006"/>
      <c r="X8" s="68"/>
    </row>
    <row r="9" spans="1:38" ht="10.5" customHeight="1">
      <c r="A9" s="68"/>
      <c r="M9" s="68"/>
      <c r="N9" s="1004"/>
      <c r="O9" s="1005"/>
      <c r="P9" s="1005"/>
      <c r="Q9" s="1005"/>
      <c r="R9" s="1005"/>
      <c r="S9" s="1005"/>
      <c r="T9" s="1005"/>
      <c r="U9" s="1005"/>
      <c r="V9" s="1005"/>
      <c r="W9" s="1006"/>
      <c r="X9" s="68"/>
    </row>
    <row r="10" spans="1:38" ht="21.75" customHeight="1">
      <c r="A10" s="103" t="s">
        <v>309</v>
      </c>
      <c r="B10" s="68"/>
      <c r="C10" s="68"/>
      <c r="D10" s="68"/>
      <c r="E10" s="68"/>
      <c r="F10" s="68"/>
      <c r="G10" s="70"/>
      <c r="H10" s="70"/>
      <c r="I10" s="70"/>
      <c r="J10" s="68"/>
      <c r="K10" s="68"/>
      <c r="L10" s="68"/>
      <c r="M10" s="68"/>
      <c r="N10" s="1004"/>
      <c r="O10" s="1005"/>
      <c r="P10" s="1005"/>
      <c r="Q10" s="1005"/>
      <c r="R10" s="1005"/>
      <c r="S10" s="1005"/>
      <c r="T10" s="1005"/>
      <c r="U10" s="1005"/>
      <c r="V10" s="1005"/>
      <c r="W10" s="1006"/>
      <c r="X10" s="68"/>
    </row>
    <row r="11" spans="1:38" ht="18" customHeight="1">
      <c r="A11" s="68"/>
      <c r="B11" s="68"/>
      <c r="C11" s="68"/>
      <c r="D11" s="68"/>
      <c r="E11" s="68"/>
      <c r="F11" s="68"/>
      <c r="G11" s="68"/>
      <c r="H11" s="68"/>
      <c r="I11" s="68"/>
      <c r="J11" s="68"/>
      <c r="K11" s="70"/>
      <c r="L11" s="68"/>
      <c r="M11" s="68"/>
      <c r="N11" s="1004"/>
      <c r="O11" s="1005"/>
      <c r="P11" s="1005"/>
      <c r="Q11" s="1005"/>
      <c r="R11" s="1005"/>
      <c r="S11" s="1005"/>
      <c r="T11" s="1005"/>
      <c r="U11" s="1005"/>
      <c r="V11" s="1005"/>
      <c r="W11" s="1006"/>
      <c r="X11" s="68"/>
      <c r="Y11" s="68"/>
      <c r="Z11" s="68"/>
    </row>
    <row r="12" spans="1:38" ht="18.75">
      <c r="A12" s="68"/>
      <c r="B12" s="72"/>
      <c r="C12" s="72"/>
      <c r="D12" s="72"/>
      <c r="E12" s="68"/>
      <c r="F12" s="68"/>
      <c r="G12" s="68"/>
      <c r="H12" s="68"/>
      <c r="I12" s="68"/>
      <c r="J12" s="68"/>
      <c r="K12" s="70"/>
      <c r="L12" s="68"/>
      <c r="M12" s="68"/>
      <c r="N12" s="1007"/>
      <c r="O12" s="1008"/>
      <c r="P12" s="1008"/>
      <c r="Q12" s="1008"/>
      <c r="R12" s="1008"/>
      <c r="S12" s="1008"/>
      <c r="T12" s="1008"/>
      <c r="U12" s="1008"/>
      <c r="V12" s="1008"/>
      <c r="W12" s="1009"/>
      <c r="X12" s="68"/>
      <c r="Y12" s="68"/>
      <c r="Z12" s="68"/>
    </row>
    <row r="13" spans="1:38" ht="18.75">
      <c r="A13" s="68"/>
      <c r="B13" s="72"/>
      <c r="C13" s="72"/>
      <c r="D13" s="72"/>
      <c r="E13" s="68"/>
      <c r="F13" s="68"/>
      <c r="G13" s="68"/>
      <c r="H13" s="68"/>
      <c r="I13" s="68"/>
      <c r="J13" s="68"/>
      <c r="K13" s="70"/>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row>
    <row r="14" spans="1:38" ht="25.5" customHeight="1">
      <c r="B14" s="72"/>
      <c r="C14" s="72"/>
      <c r="D14" s="72"/>
      <c r="E14" s="68"/>
      <c r="G14" s="68"/>
      <c r="H14" s="11"/>
      <c r="I14" s="882" t="s">
        <v>931</v>
      </c>
      <c r="K14" s="70"/>
      <c r="M14" s="68"/>
      <c r="P14" s="68"/>
      <c r="Q14" s="1065" t="s">
        <v>1017</v>
      </c>
      <c r="R14" s="1065"/>
      <c r="S14" s="1065"/>
      <c r="T14" s="1065"/>
      <c r="U14" s="1065"/>
      <c r="V14" s="1065"/>
      <c r="W14" s="1065"/>
      <c r="Y14" s="68"/>
      <c r="Z14" s="68"/>
      <c r="AA14" s="68"/>
      <c r="AB14" s="68"/>
      <c r="AC14" s="68"/>
      <c r="AD14" s="68"/>
      <c r="AE14" s="68"/>
      <c r="AF14" s="68"/>
      <c r="AG14" s="68"/>
      <c r="AH14" s="68"/>
      <c r="AI14" s="68"/>
      <c r="AJ14" s="68"/>
      <c r="AK14" s="68"/>
      <c r="AL14" s="68"/>
    </row>
    <row r="15" spans="1:38">
      <c r="A15" s="68"/>
      <c r="B15" s="977" t="s">
        <v>0</v>
      </c>
      <c r="C15" s="112" t="s">
        <v>2</v>
      </c>
      <c r="D15" s="111"/>
      <c r="E15" s="111"/>
      <c r="F15" s="111"/>
      <c r="G15" s="111"/>
      <c r="H15" s="111"/>
      <c r="I15" s="111"/>
      <c r="J15" s="111"/>
      <c r="K15" s="111"/>
      <c r="L15" s="111"/>
      <c r="M15" s="111"/>
      <c r="N15" s="112" t="s">
        <v>3</v>
      </c>
      <c r="O15" s="111"/>
      <c r="P15" s="111"/>
      <c r="Q15" s="111"/>
      <c r="R15" s="111"/>
      <c r="S15" s="111"/>
      <c r="T15" s="111"/>
      <c r="U15" s="111"/>
      <c r="V15" s="112" t="s">
        <v>14</v>
      </c>
      <c r="W15" s="118"/>
      <c r="X15" s="867"/>
    </row>
    <row r="16" spans="1:38" ht="36.75" customHeight="1">
      <c r="A16" s="68"/>
      <c r="B16" s="979"/>
      <c r="C16" s="113" t="s">
        <v>15</v>
      </c>
      <c r="D16" s="375" t="s">
        <v>610</v>
      </c>
      <c r="E16" s="20" t="s">
        <v>927</v>
      </c>
      <c r="F16" s="865" t="s">
        <v>263</v>
      </c>
      <c r="G16" s="866"/>
      <c r="H16" s="226" t="s">
        <v>781</v>
      </c>
      <c r="I16" s="534" t="s">
        <v>777</v>
      </c>
      <c r="J16" s="60" t="s">
        <v>267</v>
      </c>
      <c r="K16" s="20" t="s">
        <v>824</v>
      </c>
      <c r="L16" s="20" t="s">
        <v>314</v>
      </c>
      <c r="M16" s="20" t="s">
        <v>315</v>
      </c>
      <c r="N16" s="113" t="s">
        <v>15</v>
      </c>
      <c r="O16" s="992" t="s">
        <v>1032</v>
      </c>
      <c r="P16" s="20" t="s">
        <v>928</v>
      </c>
      <c r="Q16" s="20" t="s">
        <v>263</v>
      </c>
      <c r="R16" s="854" t="s">
        <v>930</v>
      </c>
      <c r="S16" s="20" t="s">
        <v>825</v>
      </c>
      <c r="T16" s="20" t="s">
        <v>304</v>
      </c>
      <c r="U16" s="60" t="s">
        <v>305</v>
      </c>
      <c r="V16" s="114" t="s">
        <v>316</v>
      </c>
      <c r="W16" s="20" t="s">
        <v>317</v>
      </c>
      <c r="X16" s="868" t="s">
        <v>313</v>
      </c>
      <c r="Y16" s="69" t="s">
        <v>929</v>
      </c>
    </row>
    <row r="17" spans="1:29">
      <c r="A17" s="68"/>
      <c r="B17" s="873" t="s">
        <v>268</v>
      </c>
      <c r="C17" s="115"/>
      <c r="D17" s="856" t="s">
        <v>626</v>
      </c>
      <c r="E17" s="61" t="s">
        <v>19</v>
      </c>
      <c r="F17" s="863" t="s">
        <v>303</v>
      </c>
      <c r="G17" s="864"/>
      <c r="H17" s="119" t="s">
        <v>604</v>
      </c>
      <c r="I17" s="119" t="s">
        <v>778</v>
      </c>
      <c r="J17" s="62" t="s">
        <v>266</v>
      </c>
      <c r="K17" s="61" t="s">
        <v>302</v>
      </c>
      <c r="L17" s="61" t="s">
        <v>8</v>
      </c>
      <c r="M17" s="61" t="s">
        <v>265</v>
      </c>
      <c r="N17" s="116"/>
      <c r="O17" s="993"/>
      <c r="P17" s="61" t="s">
        <v>19</v>
      </c>
      <c r="Q17" s="851" t="s">
        <v>303</v>
      </c>
      <c r="R17" s="855" t="s">
        <v>302</v>
      </c>
      <c r="S17" s="61" t="s">
        <v>302</v>
      </c>
      <c r="T17" s="9" t="s">
        <v>8</v>
      </c>
      <c r="U17" s="65" t="s">
        <v>10</v>
      </c>
      <c r="V17" s="117" t="s">
        <v>8</v>
      </c>
      <c r="W17" s="9" t="s">
        <v>10</v>
      </c>
      <c r="X17" s="869" t="s">
        <v>22</v>
      </c>
      <c r="Z17" s="69" t="s">
        <v>627</v>
      </c>
      <c r="AA17" s="69" t="s">
        <v>628</v>
      </c>
      <c r="AB17" s="69" t="s">
        <v>630</v>
      </c>
    </row>
    <row r="18" spans="1:29" ht="18.75">
      <c r="A18" s="68"/>
      <c r="B18" s="110" t="s">
        <v>318</v>
      </c>
      <c r="C18" s="588" t="s">
        <v>262</v>
      </c>
      <c r="D18" s="589">
        <v>2008</v>
      </c>
      <c r="E18" s="585">
        <v>7.5</v>
      </c>
      <c r="F18" s="1066" t="s">
        <v>274</v>
      </c>
      <c r="G18" s="1067"/>
      <c r="H18" s="585">
        <v>200</v>
      </c>
      <c r="I18" s="585">
        <v>10</v>
      </c>
      <c r="J18" s="587">
        <v>0.6</v>
      </c>
      <c r="K18" s="590">
        <f>IF(OR(F18="",J18=""),"",IF(Z18&lt;&gt;5,INDEX(cmp_mode,Z18,MATCH(J18,$G$54:$N$54,1))+(INDEX(cmp_mode,Z18,MATCH(J18,$G$54:$N$54,1)+1)-INDEX(cmp_mode,Z18,MATCH(J18,$G$54:$N$54,1)))*(J18-INDEX($G$54:$N$54,1,MATCH(J18,$G$54:$N$54,1)))/0.2,-0.5*J18^2+1.23*J18+0.26))</f>
        <v>0.87999999999999989</v>
      </c>
      <c r="L18" s="591">
        <f>IFERROR(E18*K18*X18,"")</f>
        <v>13200</v>
      </c>
      <c r="M18" s="592">
        <f>IFERROR(L18*'CO₂係数 '!$I$33,"")</f>
        <v>6.5339999999999998</v>
      </c>
      <c r="N18" s="588" t="s">
        <v>264</v>
      </c>
      <c r="O18" s="589">
        <v>2</v>
      </c>
      <c r="P18" s="586">
        <v>7.5</v>
      </c>
      <c r="Q18" s="593" t="s">
        <v>281</v>
      </c>
      <c r="R18" s="593">
        <v>3</v>
      </c>
      <c r="S18" s="594">
        <f>IF(OR(J18="",Q18=""),"",IF(AA18&lt;&gt;5,INDEX(cmp_mode,AA18,MATCH(AC18,$G$54:$N$54,1))+(INDEX(cmp_mode,AA18,MATCH(AC18,$G$54:$N$54,1)+1)-INDEX(cmp_mode,AA18,MATCH(AC18,$G$54:$N$54,1)))*(AC18-INDEX($G$54:$N$54,1,MATCH(AC18,$G$54:$N$54,1)))/0.2,-0.5*AC18^2+1.23*AC18+0.26))</f>
        <v>0.6</v>
      </c>
      <c r="T18" s="526">
        <f>IFERROR(P18*S18*X18*Y18,"")</f>
        <v>8730</v>
      </c>
      <c r="U18" s="595">
        <f>IFERROR(T18*'CO₂係数 '!$I$33,"")</f>
        <v>4.3213499999999998</v>
      </c>
      <c r="V18" s="596">
        <f t="shared" ref="V18:V29" si="0">IFERROR(L18-T18,"")</f>
        <v>4470</v>
      </c>
      <c r="W18" s="597">
        <f t="shared" ref="W18:W29" si="1">IFERROR(M18-U18,"")</f>
        <v>2.21265</v>
      </c>
      <c r="X18" s="872">
        <v>2000</v>
      </c>
      <c r="Y18" s="69">
        <f>IF(R18="",1,1-R18*0.01)</f>
        <v>0.97</v>
      </c>
      <c r="Z18" s="69">
        <f>MATCH(F18,$C$33:$C$39,0)</f>
        <v>3</v>
      </c>
      <c r="AA18" s="69">
        <f>MATCH(Q18,$C$33:$C$39,0)</f>
        <v>7</v>
      </c>
      <c r="AB18" s="69">
        <f>IF(AND(E20&lt;&gt;0,P20="",P21=""),(J18*E18+J20*E20+J21*E21)/P18,IF(AND(E20&lt;&gt;0,P20=""),(J18*E18+J20*E20)/P18,J18))</f>
        <v>0.6</v>
      </c>
      <c r="AC18" s="69">
        <f>IF(AB18&gt;1,1,AB18)</f>
        <v>0.6</v>
      </c>
    </row>
    <row r="19" spans="1:29" ht="14.25" thickBot="1">
      <c r="A19" s="68"/>
      <c r="B19" s="676" t="s">
        <v>884</v>
      </c>
      <c r="C19" s="722"/>
      <c r="D19" s="720"/>
      <c r="E19" s="684">
        <f>_xlfn.AGGREGATE(9,7,E20:E29)</f>
        <v>0</v>
      </c>
      <c r="F19" s="1070"/>
      <c r="G19" s="1071"/>
      <c r="H19" s="720"/>
      <c r="I19" s="720"/>
      <c r="J19" s="721"/>
      <c r="K19" s="723"/>
      <c r="L19" s="684">
        <f>_xlfn.AGGREGATE(9,7,L20:L29)</f>
        <v>0</v>
      </c>
      <c r="M19" s="686">
        <f>_xlfn.AGGREGATE(9,7,M20:M29)</f>
        <v>0</v>
      </c>
      <c r="N19" s="722"/>
      <c r="O19" s="720"/>
      <c r="P19" s="684">
        <f>_xlfn.AGGREGATE(9,7,P20:P29)</f>
        <v>0</v>
      </c>
      <c r="Q19" s="720"/>
      <c r="R19" s="720"/>
      <c r="S19" s="723"/>
      <c r="T19" s="685">
        <f>_xlfn.AGGREGATE(9,7,T20:T29)</f>
        <v>0</v>
      </c>
      <c r="U19" s="687">
        <f>_xlfn.AGGREGATE(9,7,U20:U29)</f>
        <v>0</v>
      </c>
      <c r="V19" s="688">
        <f>_xlfn.AGGREGATE(9,7,V20:V29)</f>
        <v>0</v>
      </c>
      <c r="W19" s="685">
        <f>_xlfn.AGGREGATE(9,7,W20:W29)</f>
        <v>0</v>
      </c>
      <c r="X19" s="870"/>
    </row>
    <row r="20" spans="1:29">
      <c r="A20" s="68"/>
      <c r="B20" s="646">
        <v>1</v>
      </c>
      <c r="C20" s="671"/>
      <c r="D20" s="902">
        <v>2010</v>
      </c>
      <c r="E20" s="672"/>
      <c r="F20" s="1068"/>
      <c r="G20" s="1069"/>
      <c r="H20" s="669"/>
      <c r="I20" s="669"/>
      <c r="J20" s="670"/>
      <c r="K20" s="837" t="str">
        <f t="shared" ref="K20:K29" si="2">IF(OR(F20="",J20=""),"",IF(Z20&lt;&gt;5,INDEX(cmp_mode,Z20,MATCH(J20,$G$54:$N$54,1))+(INDEX(cmp_mode,Z20,MATCH(J20,$G$54:$N$54,1)+1)-INDEX(cmp_mode,Z20,MATCH(J20,$G$54:$N$54,1)))*(J20-INDEX($G$54:$N$54,1,MATCH(J20,$G$54:$N$54,1)))/0.2,-0.5*J20^2+1.23*J20+0.26))</f>
        <v/>
      </c>
      <c r="L20" s="838">
        <f t="shared" ref="L20:L29" si="3">IFERROR(E20*K20*X20,0)</f>
        <v>0</v>
      </c>
      <c r="M20" s="838">
        <f>IFERROR(L20*'CO₂係数 '!$I$33,0)</f>
        <v>0</v>
      </c>
      <c r="N20" s="673"/>
      <c r="O20" s="941"/>
      <c r="P20" s="672"/>
      <c r="Q20" s="674"/>
      <c r="R20" s="857"/>
      <c r="S20" s="839" t="str">
        <f t="shared" ref="S20:S29" si="4">IF(OR(J20="",Q20=""),"",IF(AA20&lt;&gt;5,INDEX(cmp_mode,AA20,MATCH(AC20,$G$54:$N$54,1))+(INDEX(cmp_mode,AA20,MATCH(AC20,$G$54:$N$54,1)+1)-INDEX(cmp_mode,AA20,MATCH(AC20,$G$54:$N$54,1)))*(AC20-INDEX($G$54:$N$54,1,MATCH(AC20,$G$54:$N$54,1)))/0.2,-0.5*AC20^2+1.23*AC20+0.26))</f>
        <v/>
      </c>
      <c r="T20" s="840" t="str">
        <f t="shared" ref="T20:T29" si="5">IFERROR(P20*S20*X20*Y20,"")</f>
        <v/>
      </c>
      <c r="U20" s="841" t="str">
        <f>IFERROR(T20*'CO₂係数 '!$I$33,"")</f>
        <v/>
      </c>
      <c r="V20" s="842" t="str">
        <f t="shared" si="0"/>
        <v/>
      </c>
      <c r="W20" s="843" t="str">
        <f t="shared" si="1"/>
        <v/>
      </c>
      <c r="X20" s="871">
        <f t="shared" ref="X20:X29" si="6">H20*I20</f>
        <v>0</v>
      </c>
      <c r="Y20" s="859">
        <f t="shared" ref="Y20:Y29" si="7">IF(R20="",1,1-R20*0.01)</f>
        <v>1</v>
      </c>
      <c r="Z20" s="69" t="e">
        <f t="shared" ref="Z20:Z29" si="8">MATCH(F20,$C$33:$C$39,0)</f>
        <v>#N/A</v>
      </c>
      <c r="AA20" s="69" t="e">
        <f t="shared" ref="AA20:AA29" si="9">MATCH(Q20,$C$33:$C$39,0)</f>
        <v>#N/A</v>
      </c>
      <c r="AB20" s="69">
        <f t="shared" ref="AB20:AB27" si="10">IF(AND(E21&lt;&gt;0,P21="",P22=""),(J20*E20+J21*E21+J22*E22)/P20,IF(AND(E21&lt;&gt;0,P21=""),(J20*E20+J21*E21)/P20,J20))</f>
        <v>0</v>
      </c>
      <c r="AC20" s="69">
        <f>IF(AB20&gt;1,1,AB20)</f>
        <v>0</v>
      </c>
    </row>
    <row r="21" spans="1:29">
      <c r="A21" s="68"/>
      <c r="B21" s="16">
        <v>2</v>
      </c>
      <c r="C21" s="598"/>
      <c r="D21" s="902"/>
      <c r="E21" s="623"/>
      <c r="F21" s="1072"/>
      <c r="G21" s="1073"/>
      <c r="H21" s="624"/>
      <c r="I21" s="624"/>
      <c r="J21" s="622"/>
      <c r="K21" s="844" t="str">
        <f t="shared" si="2"/>
        <v/>
      </c>
      <c r="L21" s="845">
        <f t="shared" si="3"/>
        <v>0</v>
      </c>
      <c r="M21" s="845">
        <f>IFERROR(L21*'CO₂係数 '!$I$33,0)</f>
        <v>0</v>
      </c>
      <c r="N21" s="599"/>
      <c r="O21" s="942"/>
      <c r="P21" s="624"/>
      <c r="Q21" s="600"/>
      <c r="R21" s="858"/>
      <c r="S21" s="846" t="str">
        <f t="shared" si="4"/>
        <v/>
      </c>
      <c r="T21" s="847" t="str">
        <f t="shared" si="5"/>
        <v/>
      </c>
      <c r="U21" s="848" t="str">
        <f>IFERROR(T21*'CO₂係数 '!$I$33,"")</f>
        <v/>
      </c>
      <c r="V21" s="849" t="str">
        <f t="shared" si="0"/>
        <v/>
      </c>
      <c r="W21" s="850" t="str">
        <f t="shared" si="1"/>
        <v/>
      </c>
      <c r="X21" s="871">
        <f t="shared" si="6"/>
        <v>0</v>
      </c>
      <c r="Y21" s="859">
        <f t="shared" si="7"/>
        <v>1</v>
      </c>
      <c r="Z21" s="69" t="e">
        <f t="shared" si="8"/>
        <v>#N/A</v>
      </c>
      <c r="AA21" s="69" t="e">
        <f t="shared" si="9"/>
        <v>#N/A</v>
      </c>
      <c r="AB21" s="69">
        <f t="shared" si="10"/>
        <v>0</v>
      </c>
      <c r="AC21" s="69">
        <f t="shared" ref="AC21:AC28" si="11">IF(AB21&gt;1,1,AB21)</f>
        <v>0</v>
      </c>
    </row>
    <row r="22" spans="1:29">
      <c r="A22" s="68"/>
      <c r="B22" s="16">
        <v>3</v>
      </c>
      <c r="C22" s="598"/>
      <c r="D22" s="902"/>
      <c r="E22" s="623"/>
      <c r="F22" s="1072"/>
      <c r="G22" s="1073"/>
      <c r="H22" s="624"/>
      <c r="I22" s="624"/>
      <c r="J22" s="622"/>
      <c r="K22" s="844" t="str">
        <f t="shared" si="2"/>
        <v/>
      </c>
      <c r="L22" s="845">
        <f t="shared" si="3"/>
        <v>0</v>
      </c>
      <c r="M22" s="845">
        <f>IFERROR(L22*'CO₂係数 '!$I$33,0)</f>
        <v>0</v>
      </c>
      <c r="N22" s="599"/>
      <c r="O22" s="942"/>
      <c r="P22" s="624"/>
      <c r="Q22" s="600"/>
      <c r="R22" s="858"/>
      <c r="S22" s="846" t="str">
        <f t="shared" si="4"/>
        <v/>
      </c>
      <c r="T22" s="847" t="str">
        <f t="shared" si="5"/>
        <v/>
      </c>
      <c r="U22" s="848" t="str">
        <f>IFERROR(T22*'CO₂係数 '!$I$33,"")</f>
        <v/>
      </c>
      <c r="V22" s="849" t="str">
        <f t="shared" si="0"/>
        <v/>
      </c>
      <c r="W22" s="850" t="str">
        <f t="shared" si="1"/>
        <v/>
      </c>
      <c r="X22" s="871">
        <f t="shared" si="6"/>
        <v>0</v>
      </c>
      <c r="Y22" s="859">
        <f t="shared" si="7"/>
        <v>1</v>
      </c>
      <c r="Z22" s="69" t="e">
        <f t="shared" si="8"/>
        <v>#N/A</v>
      </c>
      <c r="AA22" s="69" t="e">
        <f t="shared" si="9"/>
        <v>#N/A</v>
      </c>
      <c r="AB22" s="69">
        <f t="shared" si="10"/>
        <v>0</v>
      </c>
      <c r="AC22" s="69">
        <f t="shared" si="11"/>
        <v>0</v>
      </c>
    </row>
    <row r="23" spans="1:29">
      <c r="A23" s="68"/>
      <c r="B23" s="16">
        <v>4</v>
      </c>
      <c r="C23" s="598"/>
      <c r="D23" s="902"/>
      <c r="E23" s="623"/>
      <c r="F23" s="1072"/>
      <c r="G23" s="1073"/>
      <c r="H23" s="624"/>
      <c r="I23" s="624"/>
      <c r="J23" s="622"/>
      <c r="K23" s="844" t="str">
        <f t="shared" si="2"/>
        <v/>
      </c>
      <c r="L23" s="845">
        <f t="shared" si="3"/>
        <v>0</v>
      </c>
      <c r="M23" s="845">
        <f>IFERROR(L23*'CO₂係数 '!$I$33,0)</f>
        <v>0</v>
      </c>
      <c r="N23" s="599"/>
      <c r="O23" s="942"/>
      <c r="P23" s="624"/>
      <c r="Q23" s="600"/>
      <c r="R23" s="858"/>
      <c r="S23" s="846" t="str">
        <f t="shared" si="4"/>
        <v/>
      </c>
      <c r="T23" s="847" t="str">
        <f t="shared" si="5"/>
        <v/>
      </c>
      <c r="U23" s="848" t="str">
        <f>IFERROR(T23*'CO₂係数 '!$I$33,"")</f>
        <v/>
      </c>
      <c r="V23" s="849" t="str">
        <f t="shared" si="0"/>
        <v/>
      </c>
      <c r="W23" s="850" t="str">
        <f t="shared" si="1"/>
        <v/>
      </c>
      <c r="X23" s="871">
        <f t="shared" si="6"/>
        <v>0</v>
      </c>
      <c r="Y23" s="859">
        <f t="shared" si="7"/>
        <v>1</v>
      </c>
      <c r="Z23" s="69" t="e">
        <f t="shared" si="8"/>
        <v>#N/A</v>
      </c>
      <c r="AA23" s="69" t="e">
        <f t="shared" si="9"/>
        <v>#N/A</v>
      </c>
      <c r="AB23" s="69">
        <f t="shared" si="10"/>
        <v>0</v>
      </c>
      <c r="AC23" s="69">
        <f t="shared" si="11"/>
        <v>0</v>
      </c>
    </row>
    <row r="24" spans="1:29">
      <c r="A24" s="68"/>
      <c r="B24" s="16">
        <v>5</v>
      </c>
      <c r="C24" s="598"/>
      <c r="D24" s="902"/>
      <c r="E24" s="623"/>
      <c r="F24" s="1072"/>
      <c r="G24" s="1073"/>
      <c r="H24" s="624"/>
      <c r="I24" s="624"/>
      <c r="J24" s="622"/>
      <c r="K24" s="844" t="str">
        <f t="shared" si="2"/>
        <v/>
      </c>
      <c r="L24" s="845">
        <f t="shared" si="3"/>
        <v>0</v>
      </c>
      <c r="M24" s="845">
        <f>IFERROR(L24*'CO₂係数 '!$I$33,0)</f>
        <v>0</v>
      </c>
      <c r="N24" s="599"/>
      <c r="O24" s="942"/>
      <c r="P24" s="624"/>
      <c r="Q24" s="600"/>
      <c r="R24" s="858"/>
      <c r="S24" s="846" t="str">
        <f t="shared" si="4"/>
        <v/>
      </c>
      <c r="T24" s="847" t="str">
        <f t="shared" si="5"/>
        <v/>
      </c>
      <c r="U24" s="848" t="str">
        <f>IFERROR(T24*'CO₂係数 '!$I$33,"")</f>
        <v/>
      </c>
      <c r="V24" s="849" t="str">
        <f t="shared" si="0"/>
        <v/>
      </c>
      <c r="W24" s="850" t="str">
        <f t="shared" si="1"/>
        <v/>
      </c>
      <c r="X24" s="871">
        <f t="shared" si="6"/>
        <v>0</v>
      </c>
      <c r="Y24" s="859">
        <f t="shared" si="7"/>
        <v>1</v>
      </c>
      <c r="Z24" s="69" t="e">
        <f t="shared" si="8"/>
        <v>#N/A</v>
      </c>
      <c r="AA24" s="69" t="e">
        <f t="shared" si="9"/>
        <v>#N/A</v>
      </c>
      <c r="AB24" s="69">
        <f t="shared" si="10"/>
        <v>0</v>
      </c>
      <c r="AC24" s="69">
        <f t="shared" si="11"/>
        <v>0</v>
      </c>
    </row>
    <row r="25" spans="1:29">
      <c r="A25" s="68"/>
      <c r="B25" s="16">
        <v>6</v>
      </c>
      <c r="C25" s="598"/>
      <c r="D25" s="902"/>
      <c r="E25" s="623"/>
      <c r="F25" s="1072"/>
      <c r="G25" s="1073"/>
      <c r="H25" s="624"/>
      <c r="I25" s="624"/>
      <c r="J25" s="622"/>
      <c r="K25" s="844" t="str">
        <f t="shared" si="2"/>
        <v/>
      </c>
      <c r="L25" s="845">
        <f t="shared" si="3"/>
        <v>0</v>
      </c>
      <c r="M25" s="845">
        <f>IFERROR(L25*'CO₂係数 '!$I$33,0)</f>
        <v>0</v>
      </c>
      <c r="N25" s="599"/>
      <c r="O25" s="942"/>
      <c r="P25" s="624"/>
      <c r="Q25" s="600"/>
      <c r="R25" s="858"/>
      <c r="S25" s="846" t="str">
        <f t="shared" si="4"/>
        <v/>
      </c>
      <c r="T25" s="847" t="str">
        <f t="shared" si="5"/>
        <v/>
      </c>
      <c r="U25" s="848" t="str">
        <f>IFERROR(T25*'CO₂係数 '!$I$33,"")</f>
        <v/>
      </c>
      <c r="V25" s="849" t="str">
        <f t="shared" si="0"/>
        <v/>
      </c>
      <c r="W25" s="850" t="str">
        <f t="shared" si="1"/>
        <v/>
      </c>
      <c r="X25" s="871">
        <f t="shared" si="6"/>
        <v>0</v>
      </c>
      <c r="Y25" s="859">
        <f t="shared" si="7"/>
        <v>1</v>
      </c>
      <c r="Z25" s="69" t="e">
        <f t="shared" si="8"/>
        <v>#N/A</v>
      </c>
      <c r="AA25" s="69" t="e">
        <f t="shared" si="9"/>
        <v>#N/A</v>
      </c>
      <c r="AB25" s="69">
        <f t="shared" si="10"/>
        <v>0</v>
      </c>
      <c r="AC25" s="69">
        <f t="shared" si="11"/>
        <v>0</v>
      </c>
    </row>
    <row r="26" spans="1:29">
      <c r="A26" s="68"/>
      <c r="B26" s="16">
        <v>7</v>
      </c>
      <c r="C26" s="598"/>
      <c r="D26" s="902"/>
      <c r="E26" s="623"/>
      <c r="F26" s="1072"/>
      <c r="G26" s="1073"/>
      <c r="H26" s="624"/>
      <c r="I26" s="624"/>
      <c r="J26" s="622"/>
      <c r="K26" s="844" t="str">
        <f t="shared" si="2"/>
        <v/>
      </c>
      <c r="L26" s="845">
        <f t="shared" si="3"/>
        <v>0</v>
      </c>
      <c r="M26" s="845">
        <f>IFERROR(L26*'CO₂係数 '!$I$33,0)</f>
        <v>0</v>
      </c>
      <c r="N26" s="599"/>
      <c r="O26" s="942"/>
      <c r="P26" s="624"/>
      <c r="Q26" s="600"/>
      <c r="R26" s="858"/>
      <c r="S26" s="846" t="str">
        <f t="shared" si="4"/>
        <v/>
      </c>
      <c r="T26" s="847" t="str">
        <f t="shared" si="5"/>
        <v/>
      </c>
      <c r="U26" s="848" t="str">
        <f>IFERROR(T26*'CO₂係数 '!$I$33,"")</f>
        <v/>
      </c>
      <c r="V26" s="849" t="str">
        <f t="shared" si="0"/>
        <v/>
      </c>
      <c r="W26" s="850" t="str">
        <f t="shared" si="1"/>
        <v/>
      </c>
      <c r="X26" s="871">
        <f t="shared" si="6"/>
        <v>0</v>
      </c>
      <c r="Y26" s="859">
        <f t="shared" si="7"/>
        <v>1</v>
      </c>
      <c r="Z26" s="69" t="e">
        <f t="shared" si="8"/>
        <v>#N/A</v>
      </c>
      <c r="AA26" s="69" t="e">
        <f t="shared" si="9"/>
        <v>#N/A</v>
      </c>
      <c r="AB26" s="69">
        <f t="shared" si="10"/>
        <v>0</v>
      </c>
      <c r="AC26" s="69">
        <f t="shared" si="11"/>
        <v>0</v>
      </c>
    </row>
    <row r="27" spans="1:29">
      <c r="A27" s="68"/>
      <c r="B27" s="16">
        <v>8</v>
      </c>
      <c r="C27" s="598"/>
      <c r="D27" s="902"/>
      <c r="E27" s="623"/>
      <c r="F27" s="1072"/>
      <c r="G27" s="1073"/>
      <c r="H27" s="624"/>
      <c r="I27" s="624"/>
      <c r="J27" s="622"/>
      <c r="K27" s="844" t="str">
        <f t="shared" si="2"/>
        <v/>
      </c>
      <c r="L27" s="845">
        <f t="shared" si="3"/>
        <v>0</v>
      </c>
      <c r="M27" s="845">
        <f>IFERROR(L27*'CO₂係数 '!$I$33,0)</f>
        <v>0</v>
      </c>
      <c r="N27" s="599"/>
      <c r="O27" s="942"/>
      <c r="P27" s="624"/>
      <c r="Q27" s="600"/>
      <c r="R27" s="858"/>
      <c r="S27" s="846" t="str">
        <f t="shared" si="4"/>
        <v/>
      </c>
      <c r="T27" s="847" t="str">
        <f t="shared" si="5"/>
        <v/>
      </c>
      <c r="U27" s="848" t="str">
        <f>IFERROR(T27*'CO₂係数 '!$I$33,"")</f>
        <v/>
      </c>
      <c r="V27" s="849" t="str">
        <f t="shared" si="0"/>
        <v/>
      </c>
      <c r="W27" s="850" t="str">
        <f t="shared" si="1"/>
        <v/>
      </c>
      <c r="X27" s="871">
        <f t="shared" si="6"/>
        <v>0</v>
      </c>
      <c r="Y27" s="859">
        <f t="shared" si="7"/>
        <v>1</v>
      </c>
      <c r="Z27" s="69" t="e">
        <f t="shared" si="8"/>
        <v>#N/A</v>
      </c>
      <c r="AA27" s="69" t="e">
        <f t="shared" si="9"/>
        <v>#N/A</v>
      </c>
      <c r="AB27" s="69">
        <f t="shared" si="10"/>
        <v>0</v>
      </c>
      <c r="AC27" s="69">
        <f t="shared" si="11"/>
        <v>0</v>
      </c>
    </row>
    <row r="28" spans="1:29">
      <c r="A28" s="68"/>
      <c r="B28" s="16">
        <v>9</v>
      </c>
      <c r="C28" s="598"/>
      <c r="D28" s="902"/>
      <c r="E28" s="623"/>
      <c r="F28" s="1072"/>
      <c r="G28" s="1073"/>
      <c r="H28" s="624"/>
      <c r="I28" s="624"/>
      <c r="J28" s="622"/>
      <c r="K28" s="844" t="str">
        <f t="shared" si="2"/>
        <v/>
      </c>
      <c r="L28" s="845">
        <f t="shared" si="3"/>
        <v>0</v>
      </c>
      <c r="M28" s="845">
        <f>IFERROR(L28*'CO₂係数 '!$I$33,0)</f>
        <v>0</v>
      </c>
      <c r="N28" s="599"/>
      <c r="O28" s="942"/>
      <c r="P28" s="624"/>
      <c r="Q28" s="600"/>
      <c r="R28" s="858"/>
      <c r="S28" s="846" t="str">
        <f t="shared" si="4"/>
        <v/>
      </c>
      <c r="T28" s="847" t="str">
        <f t="shared" si="5"/>
        <v/>
      </c>
      <c r="U28" s="848" t="str">
        <f>IFERROR(T28*'CO₂係数 '!$I$33,"")</f>
        <v/>
      </c>
      <c r="V28" s="849" t="str">
        <f t="shared" si="0"/>
        <v/>
      </c>
      <c r="W28" s="850" t="str">
        <f t="shared" si="1"/>
        <v/>
      </c>
      <c r="X28" s="871">
        <f t="shared" si="6"/>
        <v>0</v>
      </c>
      <c r="Y28" s="859">
        <f t="shared" si="7"/>
        <v>1</v>
      </c>
      <c r="Z28" s="69" t="e">
        <f t="shared" si="8"/>
        <v>#N/A</v>
      </c>
      <c r="AA28" s="69" t="e">
        <f t="shared" si="9"/>
        <v>#N/A</v>
      </c>
      <c r="AB28" s="69">
        <f>IF(AND(E29&lt;&gt;0,P29="",P19=""),(J28*E28+J29*E29+E19*#REF!)/P28,IF(AND(E29&lt;&gt;0,P29=""),(J28*E28+J29*E29)/P28,J28))</f>
        <v>0</v>
      </c>
      <c r="AC28" s="69">
        <f t="shared" si="11"/>
        <v>0</v>
      </c>
    </row>
    <row r="29" spans="1:29">
      <c r="A29" s="68"/>
      <c r="B29" s="16">
        <v>10</v>
      </c>
      <c r="C29" s="598"/>
      <c r="D29" s="902"/>
      <c r="E29" s="623"/>
      <c r="F29" s="1072"/>
      <c r="G29" s="1073"/>
      <c r="H29" s="624"/>
      <c r="I29" s="624"/>
      <c r="J29" s="622"/>
      <c r="K29" s="844" t="str">
        <f t="shared" si="2"/>
        <v/>
      </c>
      <c r="L29" s="845">
        <f t="shared" si="3"/>
        <v>0</v>
      </c>
      <c r="M29" s="845">
        <f>IFERROR(L29*'CO₂係数 '!$I$33,0)</f>
        <v>0</v>
      </c>
      <c r="N29" s="599"/>
      <c r="O29" s="942"/>
      <c r="P29" s="624"/>
      <c r="Q29" s="600"/>
      <c r="R29" s="858"/>
      <c r="S29" s="846" t="str">
        <f t="shared" si="4"/>
        <v/>
      </c>
      <c r="T29" s="847" t="str">
        <f t="shared" si="5"/>
        <v/>
      </c>
      <c r="U29" s="848" t="str">
        <f>IFERROR(T29*'CO₂係数 '!$I$33,"")</f>
        <v/>
      </c>
      <c r="V29" s="849" t="str">
        <f t="shared" si="0"/>
        <v/>
      </c>
      <c r="W29" s="850" t="str">
        <f t="shared" si="1"/>
        <v/>
      </c>
      <c r="X29" s="871">
        <f t="shared" si="6"/>
        <v>0</v>
      </c>
      <c r="Y29" s="859">
        <f t="shared" si="7"/>
        <v>1</v>
      </c>
      <c r="Z29" s="69" t="e">
        <f t="shared" si="8"/>
        <v>#N/A</v>
      </c>
      <c r="AA29" s="69" t="e">
        <f t="shared" si="9"/>
        <v>#N/A</v>
      </c>
      <c r="AB29" s="69">
        <f>IF(AND(E19&lt;&gt;0,P19="",Q30=""),(J29*E29+J19*E19+I30*#REF!)/P29,IF(AND(E19&lt;&gt;0,P19=""),(J29*E29+J19*E19)/P29,J29))</f>
        <v>0</v>
      </c>
      <c r="AC29" s="69">
        <f t="shared" ref="AC29" si="12">IF(AB29&gt;1,1,AB29)</f>
        <v>0</v>
      </c>
    </row>
    <row r="31" spans="1:29" ht="18" customHeight="1">
      <c r="A31" s="106" t="s">
        <v>312</v>
      </c>
    </row>
    <row r="32" spans="1:29" ht="24" customHeight="1">
      <c r="B32" s="1055" t="s">
        <v>307</v>
      </c>
      <c r="C32" s="1056"/>
      <c r="D32" s="1056"/>
      <c r="E32" s="1053"/>
      <c r="F32" s="1053"/>
      <c r="G32" s="1053"/>
      <c r="H32" s="1052" t="s">
        <v>306</v>
      </c>
      <c r="I32" s="1053"/>
      <c r="J32" s="1053"/>
      <c r="K32" s="1053"/>
      <c r="L32" s="1053"/>
      <c r="M32" s="1053"/>
      <c r="N32" s="1053"/>
      <c r="O32" s="1053"/>
      <c r="P32" s="1054"/>
    </row>
    <row r="33" spans="2:29" ht="20.25" customHeight="1">
      <c r="B33" s="469" t="s">
        <v>288</v>
      </c>
      <c r="C33" s="470" t="s">
        <v>301</v>
      </c>
      <c r="D33" s="470"/>
      <c r="E33" s="470"/>
      <c r="F33" s="470"/>
      <c r="G33" s="470"/>
      <c r="H33" s="475" t="s">
        <v>287</v>
      </c>
      <c r="I33" s="470"/>
      <c r="J33" s="470"/>
      <c r="K33" s="470"/>
      <c r="L33" s="470"/>
      <c r="M33" s="470"/>
      <c r="N33" s="470"/>
      <c r="O33" s="470"/>
      <c r="P33" s="476"/>
    </row>
    <row r="34" spans="2:29" ht="20.25" customHeight="1">
      <c r="B34" s="471" t="s">
        <v>289</v>
      </c>
      <c r="C34" s="472" t="s">
        <v>272</v>
      </c>
      <c r="D34" s="472"/>
      <c r="E34" s="472"/>
      <c r="F34" s="472"/>
      <c r="G34" s="472"/>
      <c r="H34" s="477" t="s">
        <v>299</v>
      </c>
      <c r="I34" s="472"/>
      <c r="J34" s="472"/>
      <c r="K34" s="472"/>
      <c r="L34" s="472"/>
      <c r="M34" s="472"/>
      <c r="N34" s="472"/>
      <c r="O34" s="472"/>
      <c r="P34" s="478"/>
    </row>
    <row r="35" spans="2:29" ht="20.25" customHeight="1">
      <c r="B35" s="471" t="s">
        <v>290</v>
      </c>
      <c r="C35" s="472" t="s">
        <v>274</v>
      </c>
      <c r="D35" s="472"/>
      <c r="E35" s="472"/>
      <c r="F35" s="472"/>
      <c r="G35" s="472"/>
      <c r="H35" s="477" t="s">
        <v>295</v>
      </c>
      <c r="I35" s="472"/>
      <c r="J35" s="472"/>
      <c r="K35" s="472"/>
      <c r="L35" s="472"/>
      <c r="M35" s="472"/>
      <c r="N35" s="472"/>
      <c r="O35" s="472"/>
      <c r="P35" s="478"/>
    </row>
    <row r="36" spans="2:29" ht="20.25" customHeight="1">
      <c r="B36" s="471" t="s">
        <v>291</v>
      </c>
      <c r="C36" s="472" t="s">
        <v>276</v>
      </c>
      <c r="D36" s="472"/>
      <c r="E36" s="472"/>
      <c r="F36" s="472"/>
      <c r="G36" s="472"/>
      <c r="H36" s="477" t="s">
        <v>296</v>
      </c>
      <c r="I36" s="472"/>
      <c r="J36" s="472"/>
      <c r="K36" s="472"/>
      <c r="L36" s="472"/>
      <c r="M36" s="472"/>
      <c r="N36" s="472"/>
      <c r="O36" s="472"/>
      <c r="P36" s="478"/>
    </row>
    <row r="37" spans="2:29" ht="20.25" customHeight="1">
      <c r="B37" s="471" t="s">
        <v>292</v>
      </c>
      <c r="C37" s="472" t="s">
        <v>278</v>
      </c>
      <c r="D37" s="472"/>
      <c r="E37" s="472"/>
      <c r="F37" s="472"/>
      <c r="G37" s="472"/>
      <c r="H37" s="1049" t="s">
        <v>300</v>
      </c>
      <c r="I37" s="1050"/>
      <c r="J37" s="1050"/>
      <c r="K37" s="1050"/>
      <c r="L37" s="1050"/>
      <c r="M37" s="1050"/>
      <c r="N37" s="1050"/>
      <c r="O37" s="1050"/>
      <c r="P37" s="1051"/>
    </row>
    <row r="38" spans="2:29" ht="20.25" customHeight="1">
      <c r="B38" s="471" t="s">
        <v>293</v>
      </c>
      <c r="C38" s="472" t="s">
        <v>279</v>
      </c>
      <c r="D38" s="472"/>
      <c r="E38" s="472"/>
      <c r="F38" s="472"/>
      <c r="G38" s="472"/>
      <c r="H38" s="477" t="s">
        <v>297</v>
      </c>
      <c r="I38" s="472"/>
      <c r="J38" s="472"/>
      <c r="K38" s="472"/>
      <c r="L38" s="472"/>
      <c r="M38" s="472"/>
      <c r="N38" s="472"/>
      <c r="O38" s="472"/>
      <c r="P38" s="478"/>
    </row>
    <row r="39" spans="2:29" ht="20.25" customHeight="1">
      <c r="B39" s="473" t="s">
        <v>294</v>
      </c>
      <c r="C39" s="474" t="s">
        <v>281</v>
      </c>
      <c r="D39" s="474"/>
      <c r="E39" s="474"/>
      <c r="F39" s="474"/>
      <c r="G39" s="474"/>
      <c r="H39" s="479" t="s">
        <v>298</v>
      </c>
      <c r="I39" s="474"/>
      <c r="J39" s="474"/>
      <c r="K39" s="474"/>
      <c r="L39" s="474"/>
      <c r="M39" s="474"/>
      <c r="N39" s="474"/>
      <c r="O39" s="474"/>
      <c r="P39" s="480"/>
    </row>
    <row r="40" spans="2:29" ht="27" customHeight="1"/>
    <row r="41" spans="2:29" ht="13.5" customHeight="1">
      <c r="B41" s="66"/>
      <c r="C41" s="66"/>
      <c r="D41" s="66"/>
      <c r="E41" s="74"/>
      <c r="F41" s="74"/>
      <c r="G41" s="66"/>
      <c r="H41" s="66"/>
      <c r="I41" s="66"/>
      <c r="J41" s="66"/>
      <c r="K41" s="66"/>
      <c r="L41" s="66"/>
      <c r="M41" s="66"/>
      <c r="N41" s="66"/>
      <c r="O41" s="66"/>
      <c r="P41" s="66"/>
      <c r="Q41" s="66"/>
      <c r="R41" s="66"/>
      <c r="S41" s="66"/>
      <c r="T41" s="66"/>
      <c r="U41" s="66"/>
      <c r="V41" s="66"/>
      <c r="W41" s="66"/>
      <c r="X41" s="66"/>
      <c r="Y41" s="66"/>
      <c r="Z41" s="66"/>
      <c r="AA41" s="66"/>
      <c r="AB41" s="66"/>
      <c r="AC41" s="66"/>
    </row>
    <row r="42" spans="2:29" ht="18.75">
      <c r="B42" s="66"/>
      <c r="C42" s="66"/>
      <c r="D42" s="66"/>
      <c r="E42" s="66"/>
      <c r="F42" s="75"/>
      <c r="G42" s="66"/>
      <c r="H42" s="66"/>
      <c r="I42" s="66"/>
      <c r="J42" s="66"/>
      <c r="K42" s="66"/>
      <c r="L42" s="66"/>
      <c r="M42" s="66"/>
      <c r="N42" s="66"/>
      <c r="O42" s="66"/>
      <c r="P42" s="66"/>
      <c r="Q42" s="66"/>
      <c r="R42" s="66"/>
      <c r="S42" s="66"/>
      <c r="T42" s="66"/>
      <c r="U42" s="66"/>
      <c r="V42" s="66"/>
      <c r="W42" s="66"/>
      <c r="X42" s="66"/>
      <c r="Y42" s="66"/>
      <c r="Z42" s="66"/>
      <c r="AA42" s="66"/>
      <c r="AB42" s="66"/>
      <c r="AC42" s="66"/>
    </row>
    <row r="43" spans="2:29" ht="18.75">
      <c r="B43" s="66"/>
      <c r="C43" s="66"/>
      <c r="D43" s="66"/>
      <c r="E43" s="66"/>
      <c r="F43" s="75"/>
      <c r="G43" s="66"/>
      <c r="H43" s="66"/>
      <c r="I43" s="66"/>
      <c r="J43" s="66"/>
      <c r="K43" s="66"/>
      <c r="L43" s="66"/>
      <c r="M43" s="66"/>
      <c r="N43" s="66"/>
      <c r="O43" s="66"/>
      <c r="P43" s="66"/>
      <c r="Q43" s="66"/>
      <c r="R43" s="66"/>
      <c r="S43" s="66"/>
      <c r="T43" s="66"/>
      <c r="U43" s="66"/>
      <c r="V43" s="66"/>
      <c r="W43" s="66"/>
      <c r="X43" s="66"/>
      <c r="Y43" s="66"/>
      <c r="Z43" s="66"/>
      <c r="AA43" s="66"/>
      <c r="AB43" s="66"/>
      <c r="AC43" s="66"/>
    </row>
    <row r="44" spans="2:29" ht="18.75">
      <c r="B44" s="74"/>
      <c r="C44" s="74"/>
      <c r="D44" s="74"/>
      <c r="E44" s="66"/>
      <c r="F44" s="75"/>
      <c r="G44" s="66"/>
      <c r="H44" s="66"/>
      <c r="I44" s="66"/>
      <c r="J44" s="66"/>
      <c r="K44" s="66"/>
      <c r="L44" s="66"/>
      <c r="M44" s="66"/>
      <c r="N44" s="66"/>
      <c r="O44" s="66"/>
      <c r="P44" s="66"/>
      <c r="Q44" s="66"/>
      <c r="R44" s="66"/>
      <c r="S44" s="66"/>
      <c r="T44" s="66"/>
      <c r="U44" s="66"/>
      <c r="V44" s="66"/>
      <c r="W44" s="66"/>
      <c r="X44" s="66"/>
      <c r="Y44" s="66"/>
      <c r="Z44" s="66"/>
      <c r="AA44" s="66"/>
      <c r="AB44" s="66"/>
      <c r="AC44" s="66"/>
    </row>
    <row r="45" spans="2:29" ht="18.75">
      <c r="B45" s="74"/>
      <c r="C45" s="74"/>
      <c r="D45" s="74"/>
      <c r="E45" s="74"/>
      <c r="F45" s="75"/>
      <c r="G45" s="66"/>
      <c r="H45" s="66"/>
      <c r="I45" s="66"/>
      <c r="J45" s="66"/>
      <c r="K45" s="66"/>
      <c r="L45" s="66"/>
      <c r="M45" s="66"/>
      <c r="N45" s="66"/>
      <c r="O45" s="66"/>
      <c r="P45" s="66"/>
      <c r="Q45" s="66"/>
      <c r="R45" s="66"/>
      <c r="S45" s="66"/>
      <c r="T45" s="66"/>
      <c r="U45" s="66"/>
      <c r="V45" s="66"/>
      <c r="W45" s="66"/>
      <c r="X45" s="66"/>
      <c r="Y45" s="66"/>
      <c r="Z45" s="66"/>
      <c r="AA45" s="66"/>
      <c r="AB45" s="66"/>
      <c r="AC45" s="66"/>
    </row>
    <row r="46" spans="2:29" ht="18.75">
      <c r="B46" s="74"/>
      <c r="C46" s="74"/>
      <c r="D46" s="74"/>
      <c r="E46" s="74"/>
      <c r="F46" s="75"/>
      <c r="G46" s="66"/>
      <c r="H46" s="66"/>
      <c r="I46" s="66"/>
      <c r="J46" s="66"/>
      <c r="K46" s="66"/>
      <c r="L46" s="66"/>
      <c r="M46" s="66"/>
      <c r="N46" s="66"/>
      <c r="O46" s="66"/>
      <c r="P46" s="66"/>
      <c r="Q46" s="66"/>
      <c r="R46" s="66"/>
      <c r="S46" s="66"/>
      <c r="T46" s="66"/>
      <c r="U46" s="66"/>
      <c r="V46" s="66"/>
      <c r="W46" s="66"/>
      <c r="X46" s="66"/>
      <c r="Y46" s="66"/>
      <c r="Z46" s="66"/>
      <c r="AA46" s="66"/>
      <c r="AB46" s="66"/>
      <c r="AC46" s="66"/>
    </row>
    <row r="47" spans="2:29" ht="18.75">
      <c r="B47" s="74"/>
      <c r="C47" s="74"/>
      <c r="D47" s="74"/>
      <c r="E47" s="74"/>
      <c r="F47" s="75"/>
      <c r="G47" s="66"/>
      <c r="H47" s="66"/>
      <c r="I47" s="66"/>
      <c r="J47" s="66"/>
      <c r="K47" s="66"/>
      <c r="L47" s="66"/>
      <c r="M47" s="66"/>
      <c r="N47" s="66"/>
      <c r="O47" s="66"/>
      <c r="P47" s="66"/>
      <c r="Q47" s="66"/>
      <c r="R47" s="66"/>
      <c r="S47" s="66"/>
      <c r="T47" s="66"/>
      <c r="U47" s="66"/>
      <c r="V47" s="66"/>
      <c r="W47" s="66"/>
      <c r="X47" s="66"/>
      <c r="Y47" s="66"/>
      <c r="Z47" s="66"/>
      <c r="AA47" s="66"/>
      <c r="AB47" s="66"/>
      <c r="AC47" s="66"/>
    </row>
    <row r="48" spans="2:29" ht="18.75">
      <c r="B48" s="74"/>
      <c r="C48" s="74"/>
      <c r="D48" s="74"/>
      <c r="E48" s="74"/>
      <c r="F48" s="75"/>
      <c r="G48" s="66"/>
      <c r="H48" s="66"/>
      <c r="I48" s="66"/>
      <c r="J48" s="66"/>
      <c r="K48" s="66"/>
      <c r="L48" s="66"/>
      <c r="M48" s="66"/>
      <c r="N48" s="66"/>
      <c r="O48" s="66"/>
      <c r="P48" s="66"/>
      <c r="Q48" s="66"/>
      <c r="R48" s="66"/>
      <c r="S48" s="66"/>
      <c r="T48" s="66"/>
      <c r="U48" s="66"/>
      <c r="V48" s="66"/>
      <c r="W48" s="66"/>
      <c r="X48" s="66"/>
      <c r="Y48" s="66"/>
      <c r="Z48" s="66"/>
      <c r="AA48" s="66"/>
      <c r="AB48" s="66"/>
      <c r="AC48" s="66"/>
    </row>
    <row r="49" spans="2:29" ht="18.75">
      <c r="B49" s="74"/>
      <c r="C49" s="74"/>
      <c r="D49" s="74"/>
      <c r="E49" s="66"/>
      <c r="F49" s="75"/>
      <c r="G49" s="66"/>
      <c r="H49" s="66"/>
      <c r="I49" s="66"/>
      <c r="J49" s="66"/>
      <c r="K49" s="66"/>
      <c r="L49" s="66"/>
      <c r="M49" s="66"/>
      <c r="N49" s="66"/>
      <c r="O49" s="66"/>
      <c r="P49" s="66"/>
      <c r="Q49" s="66"/>
      <c r="R49" s="66"/>
      <c r="S49" s="66"/>
      <c r="T49" s="66"/>
      <c r="U49" s="66"/>
      <c r="V49" s="66"/>
      <c r="W49" s="66"/>
      <c r="X49" s="66"/>
      <c r="Y49" s="66"/>
      <c r="Z49" s="66"/>
      <c r="AA49" s="66"/>
      <c r="AB49" s="66"/>
      <c r="AC49" s="66"/>
    </row>
    <row r="50" spans="2:29" ht="18.75">
      <c r="B50" s="74"/>
      <c r="C50" s="74"/>
      <c r="D50" s="74"/>
      <c r="E50" s="74"/>
      <c r="F50" s="75"/>
      <c r="G50" s="66"/>
      <c r="H50" s="66"/>
      <c r="I50" s="66"/>
      <c r="J50" s="66"/>
      <c r="K50" s="66"/>
      <c r="L50" s="66"/>
      <c r="M50" s="66"/>
      <c r="N50" s="66"/>
      <c r="O50" s="66"/>
      <c r="P50" s="66"/>
      <c r="Q50" s="66"/>
      <c r="R50" s="66"/>
      <c r="S50" s="66"/>
      <c r="T50" s="66"/>
      <c r="U50" s="66"/>
      <c r="V50" s="66"/>
      <c r="W50" s="66"/>
      <c r="X50" s="66"/>
      <c r="Y50" s="66"/>
      <c r="Z50" s="66"/>
      <c r="AA50" s="66"/>
      <c r="AB50" s="66"/>
      <c r="AC50" s="66"/>
    </row>
    <row r="51" spans="2:29" ht="18.75">
      <c r="B51" s="74"/>
      <c r="C51" s="74"/>
      <c r="D51" s="74"/>
      <c r="E51" s="74"/>
      <c r="F51" s="75"/>
      <c r="G51" s="66"/>
      <c r="H51" s="66"/>
      <c r="I51" s="66"/>
      <c r="J51" s="66"/>
      <c r="K51" s="66"/>
      <c r="L51" s="66"/>
      <c r="M51" s="66"/>
      <c r="N51" s="66"/>
      <c r="O51" s="66"/>
      <c r="P51" s="66"/>
      <c r="Q51" s="66"/>
      <c r="R51" s="66"/>
      <c r="S51" s="66"/>
      <c r="T51" s="66"/>
      <c r="U51" s="66"/>
      <c r="V51" s="66"/>
      <c r="W51" s="66"/>
      <c r="X51" s="66"/>
      <c r="Y51" s="66"/>
      <c r="Z51" s="66"/>
      <c r="AA51" s="66"/>
      <c r="AB51" s="66"/>
      <c r="AC51" s="66"/>
    </row>
    <row r="52" spans="2:29" ht="18.75" hidden="1">
      <c r="B52" s="66"/>
      <c r="C52" s="66"/>
      <c r="D52" s="66"/>
      <c r="E52" s="66"/>
      <c r="F52" s="66"/>
      <c r="G52" s="66"/>
      <c r="H52" s="66"/>
      <c r="I52" s="66"/>
      <c r="J52" s="66"/>
      <c r="K52" s="66"/>
      <c r="L52" s="66"/>
      <c r="M52" s="66"/>
      <c r="N52" s="66"/>
      <c r="O52" s="66"/>
      <c r="P52" s="66"/>
      <c r="Q52" s="66" t="s">
        <v>271</v>
      </c>
      <c r="R52" s="66"/>
      <c r="S52" s="66"/>
      <c r="T52" s="66"/>
      <c r="U52" s="66"/>
    </row>
    <row r="53" spans="2:29" ht="18.75" hidden="1">
      <c r="B53" s="66"/>
      <c r="C53" s="66"/>
      <c r="D53" s="66"/>
      <c r="E53" s="66"/>
      <c r="G53" s="66">
        <v>1</v>
      </c>
      <c r="H53" s="66"/>
      <c r="I53" s="66"/>
      <c r="J53" s="66">
        <v>2</v>
      </c>
      <c r="K53" s="66">
        <v>3</v>
      </c>
      <c r="L53" s="66">
        <v>4</v>
      </c>
      <c r="M53" s="66">
        <v>5</v>
      </c>
      <c r="N53" s="66">
        <v>6</v>
      </c>
      <c r="O53" s="66"/>
      <c r="P53" s="66"/>
      <c r="Q53" s="66"/>
      <c r="R53" s="66">
        <f>MATCH(R54,$G$54:$N$54,1)</f>
        <v>5</v>
      </c>
      <c r="S53" s="66"/>
      <c r="T53" s="66"/>
      <c r="U53" s="66"/>
    </row>
    <row r="54" spans="2:29" ht="18.75" hidden="1">
      <c r="B54" s="66"/>
      <c r="C54" s="66"/>
      <c r="D54" s="66"/>
      <c r="E54" s="66"/>
      <c r="F54" s="76" t="s">
        <v>270</v>
      </c>
      <c r="G54" s="77">
        <v>0</v>
      </c>
      <c r="H54" s="77"/>
      <c r="I54" s="77"/>
      <c r="J54" s="77">
        <v>0.2</v>
      </c>
      <c r="K54" s="77">
        <v>0.4</v>
      </c>
      <c r="L54" s="77">
        <v>0.6</v>
      </c>
      <c r="M54" s="77">
        <v>0.8</v>
      </c>
      <c r="N54" s="77">
        <v>1</v>
      </c>
      <c r="O54" s="77"/>
      <c r="P54" s="77"/>
      <c r="Q54" s="83">
        <v>0.5</v>
      </c>
      <c r="R54" s="84">
        <f>Q54</f>
        <v>0.5</v>
      </c>
      <c r="S54" s="84"/>
      <c r="T54" s="84">
        <v>0</v>
      </c>
      <c r="U54" s="85">
        <f>Q54</f>
        <v>0.5</v>
      </c>
    </row>
    <row r="55" spans="2:29" ht="18.75" hidden="1">
      <c r="B55" s="66"/>
      <c r="C55" s="66"/>
      <c r="D55" s="66"/>
      <c r="E55" s="66">
        <v>1</v>
      </c>
      <c r="F55" s="76">
        <f>E33</f>
        <v>0</v>
      </c>
      <c r="G55" s="77">
        <v>0</v>
      </c>
      <c r="H55" s="77"/>
      <c r="I55" s="77"/>
      <c r="J55" s="77">
        <v>0.2</v>
      </c>
      <c r="K55" s="77">
        <v>0.4</v>
      </c>
      <c r="L55" s="77">
        <v>0.6</v>
      </c>
      <c r="M55" s="77">
        <v>0.8</v>
      </c>
      <c r="N55" s="77">
        <v>1</v>
      </c>
      <c r="O55" s="77"/>
      <c r="P55" s="77">
        <v>1</v>
      </c>
      <c r="Q55" s="86">
        <v>0</v>
      </c>
      <c r="R55" s="79">
        <f>INDEX($G55:$N55,1,R$53)+(INDEX($G55:$N55,1,R$53+1)-INDEX($G55:$N55,1,R$53))*(R$54-INDEX($G54:$N$54,1,R$53))/0.2</f>
        <v>0.5</v>
      </c>
      <c r="S55" s="852"/>
      <c r="T55" s="87">
        <f t="shared" ref="T55" si="13">R55</f>
        <v>0.5</v>
      </c>
      <c r="U55" s="88">
        <f t="shared" ref="U55" si="14">R55</f>
        <v>0.5</v>
      </c>
    </row>
    <row r="56" spans="2:29" ht="18.75" hidden="1">
      <c r="B56" s="66"/>
      <c r="C56" s="66"/>
      <c r="D56" s="66"/>
      <c r="E56" s="66">
        <v>2</v>
      </c>
      <c r="F56" s="76" t="s">
        <v>273</v>
      </c>
      <c r="G56" s="78">
        <v>0.7</v>
      </c>
      <c r="H56" s="78"/>
      <c r="I56" s="78"/>
      <c r="J56" s="78">
        <f>$G56+0.3*J54</f>
        <v>0.76</v>
      </c>
      <c r="K56" s="78">
        <f>$G56+0.3*K54</f>
        <v>0.82</v>
      </c>
      <c r="L56" s="78">
        <f t="shared" ref="L56" si="15">$G56+0.3*L54</f>
        <v>0.87999999999999989</v>
      </c>
      <c r="M56" s="78">
        <f>$G56+0.3*M54</f>
        <v>0.94</v>
      </c>
      <c r="N56" s="78">
        <v>1</v>
      </c>
      <c r="O56" s="78"/>
      <c r="P56" s="78">
        <v>1</v>
      </c>
      <c r="Q56" s="89">
        <v>0</v>
      </c>
      <c r="R56" s="79">
        <f>INDEX($G56:$N56,1,R$53)+(INDEX($G56:$N56,1,R$53+1)-INDEX($G56:$N56,1,R$53))*(R$54-INDEX($G$54:$N55,1,R$53))/0.2</f>
        <v>0.84999999999999987</v>
      </c>
      <c r="S56" s="79"/>
      <c r="T56" s="80">
        <f t="shared" ref="T56:T61" si="16">R56</f>
        <v>0.84999999999999987</v>
      </c>
      <c r="U56" s="90">
        <f t="shared" ref="U56:U61" si="17">R56</f>
        <v>0.84999999999999987</v>
      </c>
    </row>
    <row r="57" spans="2:29" ht="18.75" hidden="1">
      <c r="B57" s="66"/>
      <c r="C57" s="66"/>
      <c r="D57" s="66"/>
      <c r="E57" s="66">
        <v>3</v>
      </c>
      <c r="F57" s="76" t="s">
        <v>275</v>
      </c>
      <c r="G57" s="78">
        <v>0.4</v>
      </c>
      <c r="H57" s="78"/>
      <c r="I57" s="78"/>
      <c r="J57" s="78">
        <f>(K57-G57)*0.5+G57</f>
        <v>0.61</v>
      </c>
      <c r="K57" s="78">
        <f t="shared" ref="K57:M58" si="18">K56</f>
        <v>0.82</v>
      </c>
      <c r="L57" s="78">
        <f t="shared" si="18"/>
        <v>0.87999999999999989</v>
      </c>
      <c r="M57" s="78">
        <f t="shared" si="18"/>
        <v>0.94</v>
      </c>
      <c r="N57" s="78">
        <v>1</v>
      </c>
      <c r="O57" s="78"/>
      <c r="P57" s="78">
        <v>1</v>
      </c>
      <c r="Q57" s="89">
        <v>0</v>
      </c>
      <c r="R57" s="79">
        <f>INDEX($G57:$N57,1,R$53)+(INDEX($G57:$N57,1,R$53+1)-INDEX($G57:$N57,1,R$53))*(R$54-INDEX($G$54:$N56,1,R$53))/0.2</f>
        <v>0.84999999999999987</v>
      </c>
      <c r="S57" s="79"/>
      <c r="T57" s="80">
        <f t="shared" si="16"/>
        <v>0.84999999999999987</v>
      </c>
      <c r="U57" s="90">
        <f t="shared" si="17"/>
        <v>0.84999999999999987</v>
      </c>
    </row>
    <row r="58" spans="2:29" ht="18.75" hidden="1">
      <c r="B58" s="66"/>
      <c r="C58" s="66"/>
      <c r="D58" s="66"/>
      <c r="E58" s="66">
        <v>4</v>
      </c>
      <c r="F58" s="76" t="s">
        <v>277</v>
      </c>
      <c r="G58" s="78">
        <v>0</v>
      </c>
      <c r="H58" s="78"/>
      <c r="I58" s="78"/>
      <c r="J58" s="78">
        <f>(K58-G58)*0.5+G58</f>
        <v>0.41</v>
      </c>
      <c r="K58" s="78">
        <f t="shared" si="18"/>
        <v>0.82</v>
      </c>
      <c r="L58" s="78">
        <f t="shared" si="18"/>
        <v>0.87999999999999989</v>
      </c>
      <c r="M58" s="78">
        <f t="shared" si="18"/>
        <v>0.94</v>
      </c>
      <c r="N58" s="78">
        <v>1</v>
      </c>
      <c r="O58" s="78"/>
      <c r="P58" s="78">
        <v>1</v>
      </c>
      <c r="Q58" s="89">
        <v>0</v>
      </c>
      <c r="R58" s="79">
        <f>INDEX($G58:$N58,1,R$53)+(INDEX($G58:$N58,1,R$53+1)-INDEX($G58:$N58,1,R$53))*(R$54-INDEX($G$54:$N57,1,R$53))/0.2</f>
        <v>0.84999999999999987</v>
      </c>
      <c r="S58" s="79"/>
      <c r="T58" s="80">
        <f t="shared" si="16"/>
        <v>0.84999999999999987</v>
      </c>
      <c r="U58" s="90">
        <f t="shared" si="17"/>
        <v>0.84999999999999987</v>
      </c>
    </row>
    <row r="59" spans="2:29" ht="18.75" hidden="1">
      <c r="B59" s="66"/>
      <c r="C59" s="66"/>
      <c r="D59" s="66"/>
      <c r="E59" s="66">
        <v>5</v>
      </c>
      <c r="F59" s="76" t="s">
        <v>278</v>
      </c>
      <c r="G59" s="78">
        <v>0.25</v>
      </c>
      <c r="H59" s="78"/>
      <c r="I59" s="78"/>
      <c r="J59" s="78">
        <v>0.5</v>
      </c>
      <c r="K59" s="78">
        <v>0.68</v>
      </c>
      <c r="L59" s="78">
        <v>0.81</v>
      </c>
      <c r="M59" s="78">
        <v>0.91</v>
      </c>
      <c r="N59" s="78">
        <v>1</v>
      </c>
      <c r="O59" s="78"/>
      <c r="P59" s="78">
        <v>1</v>
      </c>
      <c r="Q59" s="89">
        <v>0</v>
      </c>
      <c r="R59" s="79">
        <f>-0.5*R54^2+1.23*R54+0.26</f>
        <v>0.75</v>
      </c>
      <c r="S59" s="79"/>
      <c r="T59" s="80">
        <f t="shared" si="16"/>
        <v>0.75</v>
      </c>
      <c r="U59" s="90">
        <f t="shared" si="17"/>
        <v>0.75</v>
      </c>
    </row>
    <row r="60" spans="2:29" ht="18.75" hidden="1">
      <c r="B60" s="66"/>
      <c r="C60" s="66"/>
      <c r="D60" s="66"/>
      <c r="E60" s="66">
        <v>6</v>
      </c>
      <c r="F60" s="81" t="s">
        <v>280</v>
      </c>
      <c r="G60" s="82">
        <v>0.25</v>
      </c>
      <c r="H60" s="82"/>
      <c r="I60" s="82"/>
      <c r="J60" s="78">
        <f>(K60-G60)*0.5+G60</f>
        <v>0.435</v>
      </c>
      <c r="K60" s="78">
        <v>0.62</v>
      </c>
      <c r="L60" s="78">
        <v>0.65</v>
      </c>
      <c r="M60" s="78">
        <v>0.8</v>
      </c>
      <c r="N60" s="78">
        <v>1</v>
      </c>
      <c r="O60" s="78"/>
      <c r="P60" s="78">
        <v>1</v>
      </c>
      <c r="Q60" s="89">
        <v>0</v>
      </c>
      <c r="R60" s="79">
        <f>INDEX($G60:$N60,1,R$53)+(INDEX($G60:$N60,1,R$53+1)-INDEX($G60:$N60,1,R$53))*(R$54-INDEX($G$54:$N59,1,R$53))/0.2</f>
        <v>0.63500000000000001</v>
      </c>
      <c r="S60" s="79"/>
      <c r="T60" s="80">
        <f t="shared" si="16"/>
        <v>0.63500000000000001</v>
      </c>
      <c r="U60" s="90">
        <f t="shared" si="17"/>
        <v>0.63500000000000001</v>
      </c>
    </row>
    <row r="61" spans="2:29" ht="19.5" hidden="1" thickBot="1">
      <c r="B61" s="66"/>
      <c r="C61" s="66"/>
      <c r="D61" s="66"/>
      <c r="E61" s="91">
        <v>7</v>
      </c>
      <c r="F61" s="81" t="s">
        <v>281</v>
      </c>
      <c r="G61" s="82">
        <v>0</v>
      </c>
      <c r="H61" s="82"/>
      <c r="I61" s="82"/>
      <c r="J61" s="78">
        <v>0.2</v>
      </c>
      <c r="K61" s="78">
        <v>0.4</v>
      </c>
      <c r="L61" s="78">
        <v>0.6</v>
      </c>
      <c r="M61" s="78">
        <v>0.8</v>
      </c>
      <c r="N61" s="78">
        <v>1</v>
      </c>
      <c r="O61" s="78"/>
      <c r="P61" s="78">
        <v>1</v>
      </c>
      <c r="Q61" s="92">
        <v>0</v>
      </c>
      <c r="R61" s="79">
        <f>INDEX($G61:$N61,1,R$53)+(INDEX($G61:$N61,1,R$53+1)-INDEX($G61:$N61,1,R$53))*(R$54-INDEX($G$54:$N60,1,R$53))/0.2</f>
        <v>0.5</v>
      </c>
      <c r="S61" s="853"/>
      <c r="T61" s="93">
        <f t="shared" si="16"/>
        <v>0.5</v>
      </c>
      <c r="U61" s="94">
        <f t="shared" si="17"/>
        <v>0.5</v>
      </c>
    </row>
    <row r="62" spans="2:29" ht="18.75" hidden="1">
      <c r="B62" s="66"/>
      <c r="C62" s="66"/>
      <c r="D62" s="66"/>
      <c r="E62" s="66"/>
      <c r="F62" s="66"/>
      <c r="G62" s="66"/>
      <c r="H62" s="66"/>
      <c r="I62" s="66"/>
      <c r="J62" s="66"/>
      <c r="K62" s="66"/>
      <c r="L62" s="66"/>
      <c r="M62" s="66"/>
      <c r="N62" s="66"/>
      <c r="O62" s="66"/>
      <c r="P62" s="66"/>
      <c r="Q62" s="66"/>
      <c r="R62" s="66"/>
      <c r="S62" s="66"/>
      <c r="T62" s="66"/>
      <c r="U62" s="66"/>
    </row>
    <row r="63" spans="2:29" ht="18.75" hidden="1">
      <c r="B63" s="66"/>
      <c r="C63" s="66"/>
      <c r="D63" s="66"/>
      <c r="E63" s="66"/>
      <c r="F63" s="66"/>
      <c r="G63" s="66"/>
      <c r="H63" s="66"/>
      <c r="I63" s="66"/>
      <c r="J63" s="66"/>
      <c r="K63" s="66"/>
      <c r="L63" s="66"/>
      <c r="M63" s="66"/>
      <c r="N63" s="66"/>
      <c r="O63" s="66"/>
      <c r="P63" s="66"/>
      <c r="Q63" s="66"/>
      <c r="R63" s="66"/>
      <c r="S63" s="66"/>
      <c r="T63" s="66"/>
      <c r="U63" s="66"/>
    </row>
    <row r="64" spans="2:29" ht="18.75" hidden="1">
      <c r="B64" s="66"/>
      <c r="C64" s="66"/>
      <c r="D64" s="66"/>
      <c r="E64" s="66"/>
      <c r="F64" s="95" t="s">
        <v>282</v>
      </c>
      <c r="G64" s="66"/>
      <c r="H64" s="66"/>
      <c r="I64" s="66"/>
      <c r="J64" s="66" t="s">
        <v>283</v>
      </c>
      <c r="K64" s="66"/>
      <c r="L64" s="66"/>
      <c r="M64" s="66"/>
      <c r="N64" s="66"/>
      <c r="O64" s="66"/>
      <c r="P64" s="66"/>
      <c r="Q64" s="66"/>
      <c r="R64" s="66"/>
      <c r="S64" s="66"/>
      <c r="T64" s="66"/>
      <c r="U64" s="66"/>
    </row>
    <row r="65" spans="2:29" ht="18.75" hidden="1">
      <c r="B65" s="66"/>
      <c r="C65" s="66"/>
      <c r="D65" s="66"/>
      <c r="E65" s="66"/>
      <c r="F65" s="66"/>
      <c r="G65" s="66"/>
      <c r="H65" s="66"/>
      <c r="I65" s="66"/>
      <c r="J65" s="66" t="s">
        <v>284</v>
      </c>
      <c r="K65" s="66"/>
      <c r="L65" s="66"/>
      <c r="M65" s="66"/>
      <c r="N65" s="66"/>
      <c r="O65" s="66"/>
      <c r="P65" s="66"/>
      <c r="Q65" s="66"/>
      <c r="R65" s="66"/>
      <c r="S65" s="66"/>
      <c r="T65" s="66"/>
      <c r="U65" s="66"/>
      <c r="V65" s="66"/>
      <c r="W65" s="66"/>
      <c r="X65" s="66"/>
      <c r="Y65" s="66"/>
      <c r="Z65" s="66"/>
      <c r="AA65" s="66"/>
      <c r="AB65" s="66"/>
      <c r="AC65" s="66"/>
    </row>
    <row r="66" spans="2:29" ht="18.75" hidden="1">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row>
    <row r="67" spans="2:29" ht="18.75" hidden="1">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row>
    <row r="68" spans="2:29" ht="18.75" hidden="1">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row>
    <row r="69" spans="2:29" ht="18.75" hidden="1">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row>
    <row r="70" spans="2:29" ht="18.75" hidden="1">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row>
    <row r="71" spans="2:29" ht="18.75" hidden="1">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row>
    <row r="72" spans="2:29" ht="18.75" hidden="1">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row>
    <row r="73" spans="2:29" ht="18.75" hidden="1">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row>
    <row r="74" spans="2:29" ht="18.75" hidden="1">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row>
    <row r="75" spans="2:29" ht="18.75" hidden="1">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row>
    <row r="76" spans="2:29" ht="18.75" hidden="1">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row>
    <row r="77" spans="2:29" ht="18.75" hidden="1">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row>
    <row r="78" spans="2:29" ht="18.75" hidden="1">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row>
    <row r="79" spans="2:29" ht="18.75" hidden="1">
      <c r="B79" s="66"/>
      <c r="C79" s="66"/>
      <c r="D79" s="66"/>
      <c r="E79" s="66"/>
      <c r="F79" s="66"/>
      <c r="G79" s="66"/>
      <c r="H79" s="66"/>
      <c r="I79" s="66"/>
      <c r="J79" s="66"/>
      <c r="K79" s="96" t="s">
        <v>285</v>
      </c>
      <c r="L79" s="96" t="s">
        <v>269</v>
      </c>
      <c r="M79" s="96" t="s">
        <v>285</v>
      </c>
      <c r="N79" s="96" t="s">
        <v>269</v>
      </c>
      <c r="O79" s="71"/>
      <c r="P79" s="66"/>
      <c r="Q79" s="66"/>
      <c r="R79" s="66"/>
      <c r="S79" s="66"/>
      <c r="T79" s="66"/>
      <c r="U79" s="66"/>
      <c r="V79" s="66"/>
      <c r="W79" s="66"/>
      <c r="X79" s="66"/>
      <c r="Y79" s="66"/>
      <c r="Z79" s="66"/>
      <c r="AA79" s="66"/>
      <c r="AB79" s="66"/>
      <c r="AC79" s="66"/>
    </row>
    <row r="80" spans="2:29" ht="18.75" hidden="1">
      <c r="B80" s="66"/>
      <c r="C80" s="66"/>
      <c r="D80" s="66"/>
      <c r="E80" s="66"/>
      <c r="F80" s="66"/>
      <c r="G80" s="66"/>
      <c r="H80" s="66"/>
      <c r="I80" s="66"/>
      <c r="J80" s="66"/>
      <c r="K80" s="97" t="e">
        <f>#REF!</f>
        <v>#REF!</v>
      </c>
      <c r="L80" s="98">
        <v>0.8</v>
      </c>
      <c r="M80" s="96">
        <v>-15</v>
      </c>
      <c r="N80" s="73" t="e">
        <f>L81</f>
        <v>#REF!</v>
      </c>
      <c r="O80" s="943"/>
      <c r="P80" s="66"/>
      <c r="Q80" s="66"/>
      <c r="R80" s="66"/>
      <c r="S80" s="66"/>
      <c r="T80" s="66"/>
      <c r="U80" s="66"/>
      <c r="V80" s="66"/>
      <c r="W80" s="66"/>
      <c r="X80" s="66"/>
      <c r="Y80" s="66"/>
      <c r="Z80" s="66"/>
      <c r="AA80" s="66"/>
      <c r="AB80" s="66"/>
      <c r="AC80" s="66"/>
    </row>
    <row r="81" spans="2:29" ht="18.75" hidden="1">
      <c r="B81" s="66"/>
      <c r="C81" s="66"/>
      <c r="D81" s="66"/>
      <c r="E81" s="66"/>
      <c r="F81" s="66"/>
      <c r="G81" s="66"/>
      <c r="H81" s="66"/>
      <c r="I81" s="66"/>
      <c r="J81" s="66"/>
      <c r="K81" s="96" t="e">
        <f>K80</f>
        <v>#REF!</v>
      </c>
      <c r="L81" s="98" t="e">
        <f>0.9288*EXP(0.0047*K81)</f>
        <v>#REF!</v>
      </c>
      <c r="M81" s="96" t="e">
        <f>K80</f>
        <v>#REF!</v>
      </c>
      <c r="N81" s="73" t="e">
        <f>N80</f>
        <v>#REF!</v>
      </c>
      <c r="O81" s="943"/>
      <c r="P81" s="66"/>
      <c r="Q81" s="66"/>
      <c r="R81" s="66"/>
      <c r="S81" s="66"/>
      <c r="T81" s="66"/>
      <c r="U81" s="66"/>
      <c r="V81" s="66"/>
      <c r="W81" s="66"/>
      <c r="X81" s="66"/>
      <c r="Y81" s="66"/>
      <c r="Z81" s="66"/>
      <c r="AA81" s="66"/>
      <c r="AB81" s="66"/>
      <c r="AC81" s="66"/>
    </row>
    <row r="82" spans="2:29" ht="18.75" hidden="1">
      <c r="B82" s="66"/>
      <c r="C82" s="66"/>
      <c r="D82" s="66"/>
      <c r="E82" s="66"/>
      <c r="F82" s="66"/>
      <c r="G82" s="66"/>
      <c r="H82" s="66"/>
      <c r="I82" s="66"/>
      <c r="J82" s="66"/>
      <c r="K82" s="97" t="e">
        <f>#REF!</f>
        <v>#REF!</v>
      </c>
      <c r="L82" s="98">
        <v>0.8</v>
      </c>
      <c r="M82" s="96">
        <f>M80</f>
        <v>-15</v>
      </c>
      <c r="N82" s="73" t="e">
        <f>L83</f>
        <v>#REF!</v>
      </c>
      <c r="O82" s="943"/>
      <c r="P82" s="66"/>
      <c r="Q82" s="66"/>
      <c r="R82" s="66"/>
      <c r="S82" s="66"/>
      <c r="T82" s="66"/>
      <c r="U82" s="66"/>
      <c r="V82" s="66"/>
      <c r="W82" s="66"/>
      <c r="X82" s="66"/>
      <c r="Y82" s="66"/>
      <c r="Z82" s="66"/>
      <c r="AA82" s="66"/>
      <c r="AB82" s="66"/>
      <c r="AC82" s="66"/>
    </row>
    <row r="83" spans="2:29" ht="18.75" hidden="1">
      <c r="B83" s="66"/>
      <c r="C83" s="66"/>
      <c r="D83" s="66"/>
      <c r="E83" s="66"/>
      <c r="F83" s="66"/>
      <c r="G83" s="66"/>
      <c r="H83" s="66"/>
      <c r="I83" s="66"/>
      <c r="J83" s="66"/>
      <c r="K83" s="96" t="e">
        <f>K82</f>
        <v>#REF!</v>
      </c>
      <c r="L83" s="98" t="e">
        <f>0.9288*EXP(0.0047*K83)</f>
        <v>#REF!</v>
      </c>
      <c r="M83" s="96" t="e">
        <f>K82</f>
        <v>#REF!</v>
      </c>
      <c r="N83" s="73" t="e">
        <f>L83</f>
        <v>#REF!</v>
      </c>
      <c r="O83" s="943"/>
      <c r="P83" s="66"/>
      <c r="Q83" s="66"/>
      <c r="R83" s="66"/>
      <c r="S83" s="66"/>
      <c r="T83" s="66"/>
      <c r="U83" s="66"/>
      <c r="V83" s="66"/>
      <c r="W83" s="66"/>
      <c r="X83" s="66"/>
      <c r="Y83" s="66"/>
      <c r="Z83" s="66"/>
      <c r="AA83" s="66"/>
      <c r="AB83" s="66"/>
      <c r="AC83" s="66"/>
    </row>
    <row r="84" spans="2:29" ht="18.75" hidden="1">
      <c r="B84" s="66"/>
      <c r="C84" s="66"/>
      <c r="D84" s="66"/>
      <c r="E84" s="66"/>
      <c r="F84" s="66"/>
      <c r="G84" s="66"/>
      <c r="H84" s="66"/>
      <c r="I84" s="66"/>
      <c r="J84" s="66"/>
      <c r="K84" s="68"/>
      <c r="L84" s="68"/>
      <c r="M84" s="99" t="s">
        <v>286</v>
      </c>
      <c r="N84" s="100" t="e">
        <f>N80-N82</f>
        <v>#REF!</v>
      </c>
      <c r="O84" s="944"/>
      <c r="P84" s="66"/>
      <c r="Q84" s="66"/>
      <c r="R84" s="66"/>
      <c r="S84" s="66"/>
      <c r="T84" s="66"/>
      <c r="U84" s="66"/>
      <c r="V84" s="66"/>
      <c r="W84" s="66"/>
      <c r="X84" s="66"/>
      <c r="Y84" s="66"/>
      <c r="Z84" s="66"/>
      <c r="AA84" s="66"/>
      <c r="AB84" s="66"/>
      <c r="AC84" s="66"/>
    </row>
    <row r="85" spans="2:29" ht="18.75" hidden="1">
      <c r="B85" s="66"/>
      <c r="C85" s="66"/>
      <c r="D85" s="66"/>
      <c r="E85" s="66"/>
      <c r="F85" s="66"/>
      <c r="G85" s="66"/>
      <c r="H85" s="66"/>
      <c r="I85" s="66"/>
      <c r="J85" s="66"/>
      <c r="K85" s="96">
        <v>-20</v>
      </c>
      <c r="L85" s="101">
        <f>0.9288*EXP(0.0047*K85)</f>
        <v>0.84547062956922436</v>
      </c>
      <c r="M85" s="68"/>
      <c r="N85" s="68"/>
      <c r="O85" s="68"/>
      <c r="P85" s="66"/>
      <c r="Q85" s="66"/>
      <c r="R85" s="66"/>
      <c r="S85" s="66"/>
      <c r="T85" s="66"/>
      <c r="U85" s="66"/>
      <c r="V85" s="66"/>
      <c r="W85" s="66"/>
      <c r="X85" s="66"/>
      <c r="Y85" s="66"/>
      <c r="Z85" s="66"/>
      <c r="AA85" s="66"/>
      <c r="AB85" s="66"/>
      <c r="AC85" s="66"/>
    </row>
    <row r="86" spans="2:29" ht="18.75" hidden="1">
      <c r="B86" s="66"/>
      <c r="C86" s="66"/>
      <c r="D86" s="66"/>
      <c r="E86" s="66"/>
      <c r="F86" s="66"/>
      <c r="G86" s="66"/>
      <c r="H86" s="66"/>
      <c r="I86" s="66"/>
      <c r="J86" s="66"/>
      <c r="K86" s="96">
        <v>-10</v>
      </c>
      <c r="L86" s="101">
        <f t="shared" ref="L86:L92" si="19">0.9288*EXP(0.0047*K86)</f>
        <v>0.88615637488193666</v>
      </c>
      <c r="M86" s="68"/>
      <c r="N86" s="68"/>
      <c r="O86" s="68"/>
      <c r="P86" s="66"/>
      <c r="Q86" s="66"/>
      <c r="R86" s="66"/>
      <c r="S86" s="66"/>
      <c r="T86" s="66"/>
      <c r="U86" s="66"/>
      <c r="V86" s="66"/>
      <c r="W86" s="66"/>
      <c r="X86" s="66"/>
      <c r="Y86" s="66"/>
      <c r="Z86" s="66"/>
      <c r="AA86" s="66"/>
      <c r="AB86" s="66"/>
      <c r="AC86" s="66"/>
    </row>
    <row r="87" spans="2:29" ht="18.75" hidden="1">
      <c r="B87" s="66"/>
      <c r="C87" s="66"/>
      <c r="D87" s="66"/>
      <c r="E87" s="66"/>
      <c r="F87" s="66"/>
      <c r="G87" s="66"/>
      <c r="H87" s="66"/>
      <c r="I87" s="66"/>
      <c r="J87" s="66"/>
      <c r="K87" s="96">
        <v>0</v>
      </c>
      <c r="L87" s="101">
        <f t="shared" si="19"/>
        <v>0.92879999999999996</v>
      </c>
      <c r="M87" s="68"/>
      <c r="N87" s="68"/>
      <c r="O87" s="68"/>
      <c r="P87" s="66"/>
      <c r="Q87" s="66"/>
      <c r="R87" s="66"/>
      <c r="S87" s="66"/>
      <c r="T87" s="66"/>
      <c r="U87" s="66"/>
      <c r="V87" s="66"/>
      <c r="W87" s="66"/>
      <c r="X87" s="66"/>
      <c r="Y87" s="66"/>
      <c r="Z87" s="66"/>
      <c r="AA87" s="66"/>
      <c r="AB87" s="66"/>
      <c r="AC87" s="66"/>
    </row>
    <row r="88" spans="2:29" ht="18.75" hidden="1">
      <c r="B88" s="66"/>
      <c r="C88" s="66"/>
      <c r="D88" s="66"/>
      <c r="E88" s="66"/>
      <c r="F88" s="66"/>
      <c r="G88" s="66"/>
      <c r="H88" s="66"/>
      <c r="I88" s="66"/>
      <c r="J88" s="66"/>
      <c r="K88" s="96">
        <v>10</v>
      </c>
      <c r="L88" s="101">
        <f t="shared" si="19"/>
        <v>0.97349572203318413</v>
      </c>
      <c r="M88" s="68"/>
      <c r="N88" s="68"/>
      <c r="O88" s="68"/>
      <c r="P88" s="66"/>
      <c r="Q88" s="66"/>
      <c r="R88" s="66"/>
      <c r="S88" s="66"/>
      <c r="T88" s="66"/>
      <c r="U88" s="66"/>
      <c r="V88" s="66"/>
      <c r="W88" s="66"/>
      <c r="X88" s="66"/>
      <c r="Y88" s="66"/>
      <c r="Z88" s="66"/>
      <c r="AA88" s="66"/>
      <c r="AB88" s="66"/>
      <c r="AC88" s="66"/>
    </row>
    <row r="89" spans="2:29" ht="18.75" hidden="1">
      <c r="B89" s="66"/>
      <c r="C89" s="66"/>
      <c r="D89" s="66"/>
      <c r="E89" s="66"/>
      <c r="F89" s="66"/>
      <c r="G89" s="66"/>
      <c r="H89" s="66"/>
      <c r="I89" s="66"/>
      <c r="J89" s="66"/>
      <c r="K89" s="96">
        <v>20</v>
      </c>
      <c r="L89" s="101">
        <f t="shared" si="19"/>
        <v>1.0203422920078709</v>
      </c>
      <c r="M89" s="68"/>
      <c r="N89" s="68"/>
      <c r="O89" s="68"/>
      <c r="P89" s="66"/>
      <c r="Q89" s="66"/>
      <c r="R89" s="66"/>
      <c r="S89" s="66"/>
      <c r="T89" s="66"/>
      <c r="U89" s="66"/>
      <c r="V89" s="66"/>
      <c r="W89" s="66"/>
      <c r="X89" s="66"/>
      <c r="Y89" s="66"/>
      <c r="Z89" s="66"/>
      <c r="AA89" s="66"/>
      <c r="AB89" s="66"/>
      <c r="AC89" s="66"/>
    </row>
    <row r="90" spans="2:29" ht="18.75" hidden="1">
      <c r="B90" s="66"/>
      <c r="C90" s="66"/>
      <c r="D90" s="66"/>
      <c r="E90" s="66"/>
      <c r="F90" s="66"/>
      <c r="G90" s="66"/>
      <c r="H90" s="66"/>
      <c r="I90" s="66"/>
      <c r="J90" s="66"/>
      <c r="K90" s="96">
        <v>30</v>
      </c>
      <c r="L90" s="101">
        <f t="shared" si="19"/>
        <v>1.0694432130482303</v>
      </c>
      <c r="M90" s="68"/>
      <c r="N90" s="68"/>
      <c r="O90" s="68"/>
      <c r="P90" s="66"/>
      <c r="Q90" s="66"/>
      <c r="R90" s="66"/>
      <c r="S90" s="66"/>
      <c r="T90" s="66"/>
      <c r="U90" s="66"/>
      <c r="V90" s="66"/>
      <c r="W90" s="66"/>
      <c r="X90" s="66"/>
      <c r="Y90" s="66"/>
      <c r="Z90" s="66"/>
      <c r="AA90" s="66"/>
      <c r="AB90" s="66"/>
      <c r="AC90" s="66"/>
    </row>
    <row r="91" spans="2:29" ht="18.75" hidden="1">
      <c r="B91" s="66"/>
      <c r="C91" s="66"/>
      <c r="D91" s="66"/>
      <c r="E91" s="66"/>
      <c r="F91" s="66"/>
      <c r="G91" s="66"/>
      <c r="H91" s="66"/>
      <c r="I91" s="66"/>
      <c r="J91" s="66"/>
      <c r="K91" s="96">
        <v>40</v>
      </c>
      <c r="L91" s="101">
        <f t="shared" si="19"/>
        <v>1.1209069690567133</v>
      </c>
      <c r="M91" s="68"/>
      <c r="N91" s="68"/>
      <c r="O91" s="68"/>
      <c r="P91" s="66"/>
      <c r="Q91" s="66"/>
      <c r="R91" s="66"/>
      <c r="S91" s="66"/>
      <c r="T91" s="66"/>
      <c r="U91" s="66"/>
      <c r="V91" s="66"/>
      <c r="W91" s="66"/>
      <c r="X91" s="66"/>
      <c r="Y91" s="66"/>
      <c r="Z91" s="66"/>
      <c r="AA91" s="66"/>
      <c r="AB91" s="66"/>
      <c r="AC91" s="66"/>
    </row>
    <row r="92" spans="2:29" ht="18.75" hidden="1">
      <c r="B92" s="66"/>
      <c r="C92" s="66"/>
      <c r="D92" s="66"/>
      <c r="E92" s="66"/>
      <c r="F92" s="66"/>
      <c r="G92" s="66"/>
      <c r="H92" s="66"/>
      <c r="I92" s="66"/>
      <c r="J92" s="66"/>
      <c r="K92" s="96">
        <v>50</v>
      </c>
      <c r="L92" s="101">
        <f t="shared" si="19"/>
        <v>1.1748472643991097</v>
      </c>
      <c r="M92" s="68"/>
      <c r="N92" s="68"/>
      <c r="O92" s="68"/>
      <c r="P92" s="66"/>
      <c r="Q92" s="66"/>
      <c r="R92" s="66"/>
      <c r="S92" s="66"/>
      <c r="T92" s="66"/>
      <c r="U92" s="66"/>
      <c r="V92" s="66"/>
      <c r="W92" s="66"/>
      <c r="X92" s="66"/>
      <c r="Y92" s="66"/>
      <c r="Z92" s="66"/>
      <c r="AA92" s="66"/>
      <c r="AB92" s="66"/>
      <c r="AC92" s="66"/>
    </row>
  </sheetData>
  <sheetProtection algorithmName="SHA-512" hashValue="q1+v/yeLI6BCxJg1jvpxCx/Skh/GuTjYnl/3HJUPyrP6pN5DTtUp7S0SDSFoC6spulASlIxi1jbfgq0IreSjzA==" saltValue="nDvdETUgXRFI1MSrewQahQ==" spinCount="100000" sheet="1" formatCells="0"/>
  <dataConsolidate/>
  <mergeCells count="37">
    <mergeCell ref="Q14:W14"/>
    <mergeCell ref="F18:G18"/>
    <mergeCell ref="F20:G20"/>
    <mergeCell ref="F19:G19"/>
    <mergeCell ref="F29:G29"/>
    <mergeCell ref="F28:G28"/>
    <mergeCell ref="F27:G27"/>
    <mergeCell ref="F26:G26"/>
    <mergeCell ref="F25:G25"/>
    <mergeCell ref="F24:G24"/>
    <mergeCell ref="F23:G23"/>
    <mergeCell ref="F22:G22"/>
    <mergeCell ref="F21:G21"/>
    <mergeCell ref="O16:O17"/>
    <mergeCell ref="H37:P37"/>
    <mergeCell ref="H32:P32"/>
    <mergeCell ref="B32:G32"/>
    <mergeCell ref="B15:B16"/>
    <mergeCell ref="Q3:W3"/>
    <mergeCell ref="Q5:W5"/>
    <mergeCell ref="N7:W12"/>
    <mergeCell ref="B6:C6"/>
    <mergeCell ref="B5:C5"/>
    <mergeCell ref="B7:C7"/>
    <mergeCell ref="B8:C8"/>
    <mergeCell ref="I8:J8"/>
    <mergeCell ref="I7:J7"/>
    <mergeCell ref="I6:J6"/>
    <mergeCell ref="I5:J5"/>
    <mergeCell ref="E8:F8"/>
    <mergeCell ref="E7:F7"/>
    <mergeCell ref="E6:F6"/>
    <mergeCell ref="E5:F5"/>
    <mergeCell ref="G8:H8"/>
    <mergeCell ref="G7:H7"/>
    <mergeCell ref="G6:H6"/>
    <mergeCell ref="G5:H5"/>
  </mergeCells>
  <phoneticPr fontId="3"/>
  <conditionalFormatting sqref="U20:U29">
    <cfRule type="expression" dxfId="66" priority="13">
      <formula>#REF!="なし"</formula>
    </cfRule>
  </conditionalFormatting>
  <conditionalFormatting sqref="G8 E8 K6:K8">
    <cfRule type="expression" dxfId="65" priority="12">
      <formula>$G$3="なし"</formula>
    </cfRule>
  </conditionalFormatting>
  <conditionalFormatting sqref="K8">
    <cfRule type="expression" dxfId="64" priority="9">
      <formula>$G$3="なし"</formula>
    </cfRule>
  </conditionalFormatting>
  <conditionalFormatting sqref="P19">
    <cfRule type="expression" dxfId="63" priority="113">
      <formula>$P$19-$E$19&gt;0</formula>
    </cfRule>
  </conditionalFormatting>
  <conditionalFormatting sqref="N7:O7">
    <cfRule type="expression" dxfId="62" priority="125">
      <formula>E19-P19&lt;0</formula>
    </cfRule>
  </conditionalFormatting>
  <conditionalFormatting sqref="D20:D29">
    <cfRule type="cellIs" dxfId="61" priority="1" operator="greaterThan">
      <formula>2009</formula>
    </cfRule>
  </conditionalFormatting>
  <dataValidations count="2">
    <dataValidation type="whole" allowBlank="1" showInputMessage="1" showErrorMessage="1" sqref="D20:D29" xr:uid="{BCDBE84F-6CAE-417F-9913-A3246C9394CC}">
      <formula1>1900</formula1>
      <formula2>2050</formula2>
    </dataValidation>
    <dataValidation type="list" allowBlank="1" showInputMessage="1" showErrorMessage="1" sqref="F20:F29 F18 Q18:Q29" xr:uid="{4A229C4A-1F3A-4146-8431-7D41A4CED074}">
      <formula1>$C$33:$C$39</formula1>
    </dataValidation>
  </dataValidations>
  <printOptions horizontalCentered="1"/>
  <pageMargins left="0.59055118110236227" right="0.59055118110236227" top="0.45" bottom="0" header="0.31496062992125984" footer="0.31496062992125984"/>
  <pageSetup paperSize="9" scale="81" orientation="landscape" r:id="rId1"/>
  <headerFooter>
    <oddHeader>&amp;L&amp;10様式第1-1号（別紙）&amp;C&amp;10R5年度_《緊急予算枠》_CO₂削減量算定シート</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2C530C6-79ED-4620-A039-D14117589690}">
          <x14:formula1>
            <xm:f>記入方法!$X$18:$X$20</xm:f>
          </x14:formula1>
          <xm:sqref>O20:O29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3F5AE-0E97-4AEB-8E80-534ADDCD7712}">
  <sheetPr codeName="Sheet6">
    <tabColor rgb="FF00B0F0"/>
    <pageSetUpPr fitToPage="1"/>
  </sheetPr>
  <dimension ref="A1:CQ90"/>
  <sheetViews>
    <sheetView view="pageBreakPreview" topLeftCell="A3" zoomScaleNormal="100" zoomScaleSheetLayoutView="100" workbookViewId="0">
      <selection activeCell="D30" sqref="D30"/>
    </sheetView>
  </sheetViews>
  <sheetFormatPr defaultColWidth="9" defaultRowHeight="18.75"/>
  <cols>
    <col min="1" max="1" width="3.25" style="130" customWidth="1"/>
    <col min="2" max="2" width="14.125" style="130" customWidth="1"/>
    <col min="3" max="3" width="5.625" style="130" customWidth="1"/>
    <col min="4" max="4" width="6.875" style="130" customWidth="1"/>
    <col min="5" max="5" width="4.875" style="130" customWidth="1"/>
    <col min="6" max="6" width="7.375" style="130" customWidth="1"/>
    <col min="7" max="7" width="6.375" style="130" customWidth="1"/>
    <col min="8" max="8" width="6.625" style="130" customWidth="1"/>
    <col min="9" max="9" width="4.75" style="130" customWidth="1"/>
    <col min="10" max="12" width="5.625" style="130" customWidth="1"/>
    <col min="13" max="13" width="6.375" style="130" hidden="1" customWidth="1"/>
    <col min="14" max="14" width="5.625" style="130" customWidth="1"/>
    <col min="15" max="15" width="8.375" style="130" customWidth="1"/>
    <col min="16" max="16" width="7.375" style="130" customWidth="1"/>
    <col min="17" max="17" width="5.875" style="130" customWidth="1"/>
    <col min="18" max="18" width="7.375" style="130" customWidth="1"/>
    <col min="19" max="19" width="4.125" style="130" customWidth="1"/>
    <col min="20" max="20" width="3.625" style="130" customWidth="1"/>
    <col min="21" max="21" width="14.25" style="130" customWidth="1"/>
    <col min="22" max="22" width="5.375" style="130" customWidth="1"/>
    <col min="23" max="23" width="4.75" style="130" customWidth="1"/>
    <col min="24" max="24" width="5.875" style="130" customWidth="1"/>
    <col min="25" max="27" width="5.625" style="130" customWidth="1"/>
    <col min="28" max="28" width="5" style="130" customWidth="1"/>
    <col min="29" max="29" width="5.625" style="130" customWidth="1"/>
    <col min="30" max="30" width="8" style="130" customWidth="1"/>
    <col min="31" max="31" width="5.375" style="130" customWidth="1"/>
    <col min="32" max="32" width="6.5" style="130" customWidth="1"/>
    <col min="33" max="33" width="9.25" style="130" customWidth="1"/>
    <col min="34" max="34" width="8" style="130" customWidth="1"/>
    <col min="35" max="35" width="7.375" style="130" hidden="1" customWidth="1"/>
    <col min="36" max="36" width="3.875" style="130" hidden="1" customWidth="1"/>
    <col min="37" max="37" width="5.625" style="130" hidden="1" customWidth="1"/>
    <col min="38" max="38" width="3.25" style="130" hidden="1" customWidth="1"/>
    <col min="39" max="41" width="9" style="130" hidden="1" customWidth="1"/>
    <col min="42" max="42" width="6.5" style="130" hidden="1" customWidth="1"/>
    <col min="43" max="44" width="6.875" style="130" hidden="1" customWidth="1"/>
    <col min="45" max="45" width="10.125" style="130" hidden="1" customWidth="1"/>
    <col min="46" max="46" width="8.375" style="130" hidden="1" customWidth="1"/>
    <col min="47" max="48" width="6.875" style="130" hidden="1" customWidth="1"/>
    <col min="49" max="49" width="6.125" style="130" hidden="1" customWidth="1"/>
    <col min="50" max="51" width="9" style="130" hidden="1" customWidth="1"/>
    <col min="52" max="52" width="9.5" style="130" hidden="1" customWidth="1"/>
    <col min="53" max="53" width="9" style="130" hidden="1" customWidth="1"/>
    <col min="54" max="54" width="13.625" style="130" hidden="1" customWidth="1"/>
    <col min="55" max="57" width="9" style="130" hidden="1" customWidth="1"/>
    <col min="58" max="62" width="9" style="134" hidden="1" customWidth="1"/>
    <col min="63" max="63" width="16.625" style="134" hidden="1" customWidth="1"/>
    <col min="64" max="64" width="9" style="134" hidden="1" customWidth="1"/>
    <col min="65" max="92" width="9" style="134" customWidth="1"/>
    <col min="93" max="95" width="9" style="134"/>
    <col min="96" max="16384" width="9" style="130"/>
  </cols>
  <sheetData>
    <row r="1" spans="1:95" hidden="1">
      <c r="B1" s="130" t="s">
        <v>936</v>
      </c>
      <c r="C1" s="130" t="s">
        <v>938</v>
      </c>
      <c r="D1" s="130" t="s">
        <v>4</v>
      </c>
      <c r="E1" s="130" t="s">
        <v>941</v>
      </c>
      <c r="F1" s="130" t="s">
        <v>943</v>
      </c>
      <c r="G1" s="130" t="s">
        <v>938</v>
      </c>
      <c r="H1" s="130" t="s">
        <v>4</v>
      </c>
      <c r="I1" s="130" t="s">
        <v>941</v>
      </c>
      <c r="T1" s="130" t="s">
        <v>945</v>
      </c>
      <c r="U1" s="130" t="s">
        <v>947</v>
      </c>
    </row>
    <row r="2" spans="1:95" hidden="1">
      <c r="B2" s="130">
        <f>E7</f>
        <v>0</v>
      </c>
      <c r="C2" s="130">
        <f>G7</f>
        <v>0</v>
      </c>
      <c r="D2" s="130">
        <f>I7</f>
        <v>0</v>
      </c>
      <c r="E2" s="130">
        <f>K7</f>
        <v>0</v>
      </c>
      <c r="F2" s="130">
        <f>E8</f>
        <v>0</v>
      </c>
      <c r="G2" s="130">
        <f>G8</f>
        <v>0</v>
      </c>
      <c r="H2" s="130">
        <f>I8</f>
        <v>0</v>
      </c>
      <c r="I2" s="130">
        <f>K8</f>
        <v>0</v>
      </c>
      <c r="T2" s="130" t="str">
        <f>V5</f>
        <v/>
      </c>
      <c r="U2" s="130">
        <f>R7</f>
        <v>0</v>
      </c>
    </row>
    <row r="3" spans="1:95" ht="28.5" customHeight="1">
      <c r="A3" s="67" t="s">
        <v>574</v>
      </c>
      <c r="Z3" s="1085">
        <f>CO２削減量算定シート!O7</f>
        <v>0</v>
      </c>
      <c r="AA3" s="1086"/>
      <c r="AB3" s="1086"/>
      <c r="AC3" s="1086"/>
      <c r="AD3" s="1086"/>
      <c r="AE3" s="1086"/>
      <c r="AF3" s="1086"/>
      <c r="AG3" s="1086"/>
      <c r="AH3" s="1087"/>
      <c r="AV3" s="130" t="s">
        <v>570</v>
      </c>
      <c r="AW3" s="130" t="s">
        <v>571</v>
      </c>
      <c r="BA3" s="57" t="s">
        <v>538</v>
      </c>
      <c r="BB3" s="57"/>
      <c r="BC3" s="57" t="s">
        <v>539</v>
      </c>
      <c r="BD3" s="57" t="s">
        <v>540</v>
      </c>
      <c r="BE3" s="57" t="s">
        <v>541</v>
      </c>
      <c r="BF3" s="57" t="s">
        <v>542</v>
      </c>
      <c r="BG3" s="57" t="s">
        <v>543</v>
      </c>
      <c r="BH3" s="146" t="s">
        <v>580</v>
      </c>
    </row>
    <row r="4" spans="1:95">
      <c r="A4" s="129" t="s">
        <v>308</v>
      </c>
      <c r="B4" s="1"/>
      <c r="C4" s="1"/>
      <c r="D4" s="1"/>
      <c r="E4" s="1"/>
      <c r="F4" s="1"/>
      <c r="G4" s="1"/>
      <c r="H4" s="6"/>
      <c r="I4" s="1"/>
      <c r="Q4" s="248"/>
      <c r="R4" s="105" t="s">
        <v>310</v>
      </c>
      <c r="S4" s="105"/>
      <c r="T4" s="105"/>
      <c r="W4" s="468" t="s">
        <v>719</v>
      </c>
      <c r="X4" s="105"/>
      <c r="Z4" s="104"/>
      <c r="AB4" s="68"/>
      <c r="AC4" s="68"/>
      <c r="AD4" s="68"/>
      <c r="AE4" s="68"/>
      <c r="AF4" s="68"/>
      <c r="AV4" s="130" t="s">
        <v>525</v>
      </c>
      <c r="AW4" s="130" t="s">
        <v>526</v>
      </c>
      <c r="AX4" s="130" t="s">
        <v>527</v>
      </c>
      <c r="BA4" s="267" t="s">
        <v>544</v>
      </c>
      <c r="BB4" s="57" t="s">
        <v>591</v>
      </c>
      <c r="BC4" s="268">
        <v>45</v>
      </c>
      <c r="BD4" s="269">
        <v>40.799999999999997</v>
      </c>
      <c r="BE4" s="57" t="s">
        <v>545</v>
      </c>
      <c r="BF4" s="57" t="s">
        <v>546</v>
      </c>
      <c r="BG4" s="57" t="s">
        <v>584</v>
      </c>
      <c r="BH4" s="146">
        <v>2.2440000000000002</v>
      </c>
      <c r="BJ4" s="146" t="s">
        <v>538</v>
      </c>
      <c r="BK4" s="146"/>
    </row>
    <row r="5" spans="1:95" ht="20.100000000000001" customHeight="1">
      <c r="A5" s="1"/>
      <c r="B5" s="980" t="s">
        <v>0</v>
      </c>
      <c r="C5" s="981"/>
      <c r="D5" s="125" t="s">
        <v>590</v>
      </c>
      <c r="E5" s="986" t="s">
        <v>2</v>
      </c>
      <c r="F5" s="987"/>
      <c r="G5" s="986" t="s">
        <v>3</v>
      </c>
      <c r="H5" s="987"/>
      <c r="I5" s="986" t="s">
        <v>4</v>
      </c>
      <c r="J5" s="987"/>
      <c r="K5" s="210" t="s">
        <v>5</v>
      </c>
      <c r="R5" s="1010" t="s">
        <v>11</v>
      </c>
      <c r="S5" s="1011"/>
      <c r="T5" s="1011"/>
      <c r="U5" s="1012"/>
      <c r="V5" s="1060" t="str">
        <f>IF(AG28="","",IF(AI28&lt;0,"設備容量が増加していませんか？確認し、内容が増加しているのであれば、下蘭に事由を記載してください。",""))</f>
        <v/>
      </c>
      <c r="W5" s="1061"/>
      <c r="X5" s="1061"/>
      <c r="Y5" s="1061"/>
      <c r="Z5" s="1061"/>
      <c r="AA5" s="1061"/>
      <c r="AB5" s="1061"/>
      <c r="AC5" s="1061"/>
      <c r="AD5" s="1061"/>
      <c r="AE5" s="1061"/>
      <c r="AF5" s="1061"/>
      <c r="AG5" s="1061"/>
      <c r="AH5" s="1062"/>
      <c r="AS5" s="243"/>
      <c r="AV5" s="130" t="s">
        <v>529</v>
      </c>
      <c r="AW5" s="130" t="s">
        <v>530</v>
      </c>
      <c r="AX5" s="130" t="s">
        <v>531</v>
      </c>
      <c r="BA5" s="270"/>
      <c r="BB5" s="273" t="s">
        <v>568</v>
      </c>
      <c r="BC5" s="57">
        <v>50.8</v>
      </c>
      <c r="BD5" s="57">
        <v>45.8</v>
      </c>
      <c r="BE5" s="57" t="s">
        <v>547</v>
      </c>
      <c r="BF5" s="57" t="s">
        <v>548</v>
      </c>
      <c r="BG5" s="57" t="s">
        <v>549</v>
      </c>
      <c r="BH5" s="146">
        <v>2.9988999999999999</v>
      </c>
      <c r="BJ5" s="331" t="s">
        <v>525</v>
      </c>
      <c r="BK5" s="146" t="s">
        <v>591</v>
      </c>
      <c r="CD5" s="130"/>
      <c r="CE5" s="130"/>
      <c r="CF5" s="130"/>
      <c r="CG5" s="130"/>
      <c r="CH5" s="130"/>
      <c r="CI5" s="130"/>
      <c r="CJ5" s="130"/>
      <c r="CK5" s="130"/>
      <c r="CL5" s="130"/>
      <c r="CM5" s="130"/>
      <c r="CN5" s="130"/>
      <c r="CO5" s="130"/>
      <c r="CP5" s="130"/>
      <c r="CQ5" s="130"/>
    </row>
    <row r="6" spans="1:95" ht="20.100000000000001" customHeight="1">
      <c r="A6" s="1"/>
      <c r="B6" s="980" t="s">
        <v>54</v>
      </c>
      <c r="C6" s="981"/>
      <c r="D6" s="527" t="str">
        <f>AG26</f>
        <v>/年</v>
      </c>
      <c r="E6" s="1092">
        <f>P28</f>
        <v>0</v>
      </c>
      <c r="F6" s="1093"/>
      <c r="G6" s="1092">
        <f>AD28</f>
        <v>0</v>
      </c>
      <c r="H6" s="1093"/>
      <c r="I6" s="1092">
        <f>AG28</f>
        <v>0</v>
      </c>
      <c r="J6" s="1093"/>
      <c r="K6" s="416">
        <f>IFERROR(I6/E6,0)</f>
        <v>0</v>
      </c>
      <c r="L6" s="1074" t="str">
        <f>IF(BB28=12,"","注：燃転や燃料単位が異なっている場合は燃料削減量等は表示されません")</f>
        <v/>
      </c>
      <c r="M6" s="1075"/>
      <c r="N6" s="1075"/>
      <c r="O6" s="1075"/>
      <c r="P6" s="1075"/>
      <c r="R6" s="18" t="s">
        <v>6</v>
      </c>
      <c r="S6" s="17"/>
      <c r="T6" s="17"/>
      <c r="U6" s="107"/>
      <c r="V6" s="107"/>
      <c r="W6" s="107"/>
      <c r="X6" s="107"/>
      <c r="Y6" s="107"/>
      <c r="Z6" s="107"/>
      <c r="AA6" s="107"/>
      <c r="AB6" s="107"/>
      <c r="AC6" s="107"/>
      <c r="AD6" s="107"/>
      <c r="AE6" s="107"/>
      <c r="AF6" s="107"/>
      <c r="AG6" s="107"/>
      <c r="AH6" s="108"/>
      <c r="AT6" s="244"/>
      <c r="AV6" s="130" t="s">
        <v>532</v>
      </c>
      <c r="AW6" s="130" t="s">
        <v>533</v>
      </c>
      <c r="AX6" s="130" t="s">
        <v>534</v>
      </c>
      <c r="BA6" s="270"/>
      <c r="BB6" s="273" t="s">
        <v>569</v>
      </c>
      <c r="BC6" s="274">
        <f>50.8/0.482</f>
        <v>105.39419087136929</v>
      </c>
      <c r="BD6" s="275">
        <f>45.8/0.482</f>
        <v>95.020746887966808</v>
      </c>
      <c r="BE6" s="276" t="s">
        <v>504</v>
      </c>
      <c r="BF6" s="276" t="s">
        <v>582</v>
      </c>
      <c r="BG6" s="57" t="s">
        <v>584</v>
      </c>
      <c r="BH6" s="146">
        <v>6.22</v>
      </c>
      <c r="BJ6" s="333"/>
      <c r="BK6" s="146" t="s">
        <v>567</v>
      </c>
      <c r="CD6" s="130"/>
      <c r="CE6" s="130"/>
      <c r="CF6" s="130"/>
      <c r="CG6" s="130"/>
      <c r="CH6" s="130"/>
      <c r="CI6" s="130"/>
      <c r="CJ6" s="130"/>
      <c r="CK6" s="130"/>
      <c r="CL6" s="130"/>
      <c r="CM6" s="130"/>
      <c r="CN6" s="130"/>
      <c r="CO6" s="130"/>
      <c r="CP6" s="130"/>
      <c r="CQ6" s="130"/>
    </row>
    <row r="7" spans="1:95" ht="20.100000000000001" customHeight="1">
      <c r="A7" s="1"/>
      <c r="B7" s="980" t="s">
        <v>9</v>
      </c>
      <c r="C7" s="1034"/>
      <c r="D7" s="119" t="s">
        <v>479</v>
      </c>
      <c r="E7" s="1094">
        <f>R28</f>
        <v>0</v>
      </c>
      <c r="F7" s="1095"/>
      <c r="G7" s="1094">
        <f>AF28</f>
        <v>0</v>
      </c>
      <c r="H7" s="1095"/>
      <c r="I7" s="1088">
        <f>E7-G7</f>
        <v>0</v>
      </c>
      <c r="J7" s="1089"/>
      <c r="K7" s="416">
        <f>IFERROR(I7/E7,0)</f>
        <v>0</v>
      </c>
      <c r="L7" s="1074"/>
      <c r="M7" s="1075"/>
      <c r="N7" s="1075"/>
      <c r="O7" s="1075"/>
      <c r="P7" s="1075"/>
      <c r="R7" s="1001"/>
      <c r="S7" s="1002"/>
      <c r="T7" s="1002"/>
      <c r="U7" s="1002"/>
      <c r="V7" s="1002"/>
      <c r="W7" s="1002"/>
      <c r="X7" s="1002"/>
      <c r="Y7" s="1002"/>
      <c r="Z7" s="1002"/>
      <c r="AA7" s="1002"/>
      <c r="AB7" s="1002"/>
      <c r="AC7" s="1002"/>
      <c r="AD7" s="1002"/>
      <c r="AE7" s="1002"/>
      <c r="AF7" s="1002"/>
      <c r="AG7" s="1002"/>
      <c r="AH7" s="1003"/>
      <c r="AT7" s="244"/>
      <c r="AV7" s="130" t="s">
        <v>572</v>
      </c>
      <c r="AW7" s="130" t="s">
        <v>526</v>
      </c>
      <c r="AX7" s="130" t="s">
        <v>527</v>
      </c>
      <c r="BA7" s="270"/>
      <c r="BB7" s="57" t="s">
        <v>505</v>
      </c>
      <c r="BC7" s="57">
        <v>54.6</v>
      </c>
      <c r="BD7" s="57">
        <v>49.2</v>
      </c>
      <c r="BE7" s="57" t="s">
        <v>547</v>
      </c>
      <c r="BF7" s="57" t="s">
        <v>548</v>
      </c>
      <c r="BG7" s="57" t="s">
        <v>549</v>
      </c>
      <c r="BH7" s="146">
        <v>2.7027000000000001</v>
      </c>
      <c r="BJ7" s="333"/>
      <c r="BK7" s="146" t="s">
        <v>601</v>
      </c>
      <c r="CD7" s="130"/>
      <c r="CE7" s="130"/>
      <c r="CF7" s="130"/>
      <c r="CG7" s="130"/>
      <c r="CH7" s="130"/>
      <c r="CI7" s="130"/>
      <c r="CJ7" s="130"/>
      <c r="CK7" s="130"/>
      <c r="CL7" s="130"/>
      <c r="CM7" s="130"/>
      <c r="CN7" s="130"/>
      <c r="CO7" s="130"/>
      <c r="CP7" s="130"/>
      <c r="CQ7" s="130"/>
    </row>
    <row r="8" spans="1:95" ht="20.100000000000001" customHeight="1">
      <c r="A8" s="1"/>
      <c r="B8" s="980" t="s">
        <v>12</v>
      </c>
      <c r="C8" s="1034"/>
      <c r="D8" s="713" t="s">
        <v>13</v>
      </c>
      <c r="E8" s="1088">
        <f>AO28</f>
        <v>0</v>
      </c>
      <c r="F8" s="1089"/>
      <c r="G8" s="1088">
        <f>AU28</f>
        <v>0</v>
      </c>
      <c r="H8" s="1089"/>
      <c r="I8" s="1088">
        <f>E8-G8</f>
        <v>0</v>
      </c>
      <c r="J8" s="1089"/>
      <c r="K8" s="874">
        <f>IFERROR(I8/E8,0)</f>
        <v>0</v>
      </c>
      <c r="R8" s="1004"/>
      <c r="S8" s="1005"/>
      <c r="T8" s="1005"/>
      <c r="U8" s="1005"/>
      <c r="V8" s="1005"/>
      <c r="W8" s="1005"/>
      <c r="X8" s="1005"/>
      <c r="Y8" s="1005"/>
      <c r="Z8" s="1005"/>
      <c r="AA8" s="1005"/>
      <c r="AB8" s="1005"/>
      <c r="AC8" s="1005"/>
      <c r="AD8" s="1005"/>
      <c r="AE8" s="1005"/>
      <c r="AF8" s="1005"/>
      <c r="AG8" s="1005"/>
      <c r="AH8" s="1006"/>
      <c r="AT8" s="244"/>
      <c r="BA8" s="271"/>
      <c r="BB8" s="57" t="s">
        <v>566</v>
      </c>
      <c r="BC8" s="57">
        <f>W18</f>
        <v>0</v>
      </c>
      <c r="BD8" s="57">
        <f>W19</f>
        <v>0</v>
      </c>
      <c r="BE8" s="57" t="s">
        <v>526</v>
      </c>
      <c r="BF8" s="57" t="s">
        <v>528</v>
      </c>
      <c r="BG8" s="57" t="s">
        <v>549</v>
      </c>
      <c r="BH8" s="146">
        <f>W20</f>
        <v>0</v>
      </c>
      <c r="BJ8" s="333"/>
      <c r="BK8" s="146" t="s">
        <v>581</v>
      </c>
      <c r="CD8" s="130"/>
      <c r="CE8" s="130"/>
      <c r="CF8" s="130"/>
      <c r="CG8" s="130"/>
      <c r="CH8" s="130"/>
      <c r="CI8" s="130"/>
      <c r="CJ8" s="130"/>
      <c r="CK8" s="130"/>
      <c r="CL8" s="130"/>
      <c r="CM8" s="130"/>
      <c r="CN8" s="130"/>
      <c r="CO8" s="130"/>
      <c r="CP8" s="130"/>
      <c r="CQ8" s="130"/>
    </row>
    <row r="9" spans="1:95" ht="20.100000000000001" customHeight="1">
      <c r="A9" s="1"/>
      <c r="M9" s="174"/>
      <c r="Q9" s="251"/>
      <c r="R9" s="1004"/>
      <c r="S9" s="1005"/>
      <c r="T9" s="1005"/>
      <c r="U9" s="1005"/>
      <c r="V9" s="1005"/>
      <c r="W9" s="1005"/>
      <c r="X9" s="1005"/>
      <c r="Y9" s="1005"/>
      <c r="Z9" s="1005"/>
      <c r="AA9" s="1005"/>
      <c r="AB9" s="1005"/>
      <c r="AC9" s="1005"/>
      <c r="AD9" s="1005"/>
      <c r="AE9" s="1005"/>
      <c r="AF9" s="1005"/>
      <c r="AG9" s="1005"/>
      <c r="AH9" s="1006"/>
      <c r="AT9" s="244"/>
      <c r="BA9" s="267" t="s">
        <v>550</v>
      </c>
      <c r="BB9" s="57" t="s">
        <v>551</v>
      </c>
      <c r="BC9" s="57">
        <v>36.700000000000003</v>
      </c>
      <c r="BD9" s="57">
        <v>34.200000000000003</v>
      </c>
      <c r="BE9" s="57" t="s">
        <v>552</v>
      </c>
      <c r="BF9" s="57" t="s">
        <v>553</v>
      </c>
      <c r="BG9" s="57" t="s">
        <v>554</v>
      </c>
      <c r="BH9" s="146">
        <v>2.4895</v>
      </c>
      <c r="BJ9" s="331" t="s">
        <v>550</v>
      </c>
      <c r="BK9" s="146" t="s">
        <v>551</v>
      </c>
      <c r="CD9" s="130"/>
      <c r="CE9" s="130"/>
      <c r="CF9" s="130"/>
      <c r="CG9" s="130"/>
      <c r="CH9" s="130"/>
      <c r="CI9" s="130"/>
      <c r="CJ9" s="130"/>
      <c r="CK9" s="130"/>
      <c r="CL9" s="130"/>
      <c r="CM9" s="130"/>
      <c r="CN9" s="130"/>
      <c r="CO9" s="130"/>
      <c r="CP9" s="130"/>
      <c r="CQ9" s="130"/>
    </row>
    <row r="10" spans="1:95" ht="9.75" customHeight="1">
      <c r="B10" s="284"/>
      <c r="C10" s="284"/>
      <c r="D10" s="284"/>
      <c r="E10" s="283"/>
      <c r="F10" s="285"/>
      <c r="G10" s="285"/>
      <c r="H10" s="285"/>
      <c r="I10" s="285"/>
      <c r="J10" s="285"/>
      <c r="K10" s="285"/>
      <c r="L10" s="285"/>
      <c r="M10" s="285"/>
      <c r="N10" s="285"/>
      <c r="Q10" s="250"/>
      <c r="R10" s="1004"/>
      <c r="S10" s="1005"/>
      <c r="T10" s="1005"/>
      <c r="U10" s="1005"/>
      <c r="V10" s="1005"/>
      <c r="W10" s="1005"/>
      <c r="X10" s="1005"/>
      <c r="Y10" s="1005"/>
      <c r="Z10" s="1005"/>
      <c r="AA10" s="1005"/>
      <c r="AB10" s="1005"/>
      <c r="AC10" s="1005"/>
      <c r="AD10" s="1005"/>
      <c r="AE10" s="1005"/>
      <c r="AF10" s="1005"/>
      <c r="AG10" s="1005"/>
      <c r="AH10" s="1006"/>
      <c r="AT10" s="244"/>
      <c r="AW10" s="57" t="s">
        <v>526</v>
      </c>
      <c r="AX10" s="134" t="s">
        <v>598</v>
      </c>
      <c r="BA10" s="270"/>
      <c r="BB10" s="57" t="s">
        <v>555</v>
      </c>
      <c r="BC10" s="57">
        <v>37.700000000000003</v>
      </c>
      <c r="BD10" s="57">
        <v>35.1</v>
      </c>
      <c r="BE10" s="57" t="s">
        <v>552</v>
      </c>
      <c r="BF10" s="57" t="s">
        <v>553</v>
      </c>
      <c r="BG10" s="57" t="s">
        <v>554</v>
      </c>
      <c r="BH10" s="146">
        <v>2.585</v>
      </c>
      <c r="BJ10" s="333"/>
      <c r="BK10" s="146" t="s">
        <v>555</v>
      </c>
      <c r="CD10" s="130"/>
      <c r="CE10" s="130"/>
      <c r="CF10" s="130"/>
      <c r="CG10" s="130"/>
      <c r="CH10" s="130"/>
      <c r="CI10" s="130"/>
      <c r="CJ10" s="130"/>
      <c r="CK10" s="130"/>
      <c r="CL10" s="130"/>
      <c r="CM10" s="130"/>
      <c r="CN10" s="130"/>
      <c r="CO10" s="130"/>
      <c r="CP10" s="130"/>
      <c r="CQ10" s="130"/>
    </row>
    <row r="11" spans="1:95" ht="20.25" customHeight="1">
      <c r="A11" s="105" t="s">
        <v>309</v>
      </c>
      <c r="R11" s="1004"/>
      <c r="S11" s="1005"/>
      <c r="T11" s="1005"/>
      <c r="U11" s="1005"/>
      <c r="V11" s="1005"/>
      <c r="W11" s="1005"/>
      <c r="X11" s="1005"/>
      <c r="Y11" s="1005"/>
      <c r="Z11" s="1005"/>
      <c r="AA11" s="1005"/>
      <c r="AB11" s="1005"/>
      <c r="AC11" s="1005"/>
      <c r="AD11" s="1005"/>
      <c r="AE11" s="1005"/>
      <c r="AF11" s="1005"/>
      <c r="AG11" s="1005"/>
      <c r="AH11" s="1006"/>
      <c r="AW11" s="57" t="s">
        <v>552</v>
      </c>
      <c r="AX11" s="134" t="s">
        <v>600</v>
      </c>
      <c r="BA11" s="270"/>
      <c r="BB11" s="57" t="s">
        <v>556</v>
      </c>
      <c r="BC11" s="57">
        <v>39.1</v>
      </c>
      <c r="BD11" s="57">
        <v>36.6</v>
      </c>
      <c r="BE11" s="57" t="s">
        <v>552</v>
      </c>
      <c r="BF11" s="57" t="s">
        <v>553</v>
      </c>
      <c r="BG11" s="57" t="s">
        <v>554</v>
      </c>
      <c r="BH11" s="146">
        <v>2.7096</v>
      </c>
      <c r="BJ11" s="333"/>
      <c r="BK11" s="146" t="s">
        <v>556</v>
      </c>
      <c r="CD11" s="130"/>
      <c r="CE11" s="130"/>
      <c r="CF11" s="130"/>
      <c r="CG11" s="130"/>
      <c r="CH11" s="130"/>
      <c r="CI11" s="130"/>
      <c r="CJ11" s="130"/>
      <c r="CK11" s="130"/>
      <c r="CL11" s="130"/>
      <c r="CM11" s="130"/>
      <c r="CN11" s="130"/>
      <c r="CO11" s="130"/>
      <c r="CP11" s="130"/>
      <c r="CQ11" s="130"/>
    </row>
    <row r="12" spans="1:95" ht="20.25" customHeight="1">
      <c r="R12" s="1007"/>
      <c r="S12" s="1008"/>
      <c r="T12" s="1008"/>
      <c r="U12" s="1008"/>
      <c r="V12" s="1008"/>
      <c r="W12" s="1008"/>
      <c r="X12" s="1008"/>
      <c r="Y12" s="1008"/>
      <c r="Z12" s="1008"/>
      <c r="AA12" s="1008"/>
      <c r="AB12" s="1008"/>
      <c r="AC12" s="1008"/>
      <c r="AD12" s="1008"/>
      <c r="AE12" s="1008"/>
      <c r="AF12" s="1008"/>
      <c r="AG12" s="1008"/>
      <c r="AH12" s="1009"/>
      <c r="AR12" s="134"/>
      <c r="AS12" s="134"/>
      <c r="AT12" s="134"/>
      <c r="AW12" s="57" t="s">
        <v>560</v>
      </c>
      <c r="AX12" s="134" t="s">
        <v>599</v>
      </c>
      <c r="BA12" s="270"/>
      <c r="BB12" s="57" t="s">
        <v>557</v>
      </c>
      <c r="BC12" s="57">
        <v>41.9</v>
      </c>
      <c r="BD12" s="57">
        <v>39.4</v>
      </c>
      <c r="BE12" s="57" t="s">
        <v>552</v>
      </c>
      <c r="BF12" s="57" t="s">
        <v>553</v>
      </c>
      <c r="BG12" s="57" t="s">
        <v>554</v>
      </c>
      <c r="BH12" s="146">
        <v>2.7955999999999999</v>
      </c>
      <c r="BJ12" s="333"/>
      <c r="BK12" s="146" t="s">
        <v>557</v>
      </c>
      <c r="CD12" s="130"/>
      <c r="CE12" s="130"/>
      <c r="CF12" s="130"/>
      <c r="CG12" s="130"/>
      <c r="CH12" s="130"/>
      <c r="CI12" s="130"/>
      <c r="CJ12" s="130"/>
      <c r="CK12" s="130"/>
      <c r="CL12" s="130"/>
      <c r="CM12" s="130"/>
      <c r="CN12" s="130"/>
      <c r="CO12" s="130"/>
      <c r="CP12" s="130"/>
      <c r="CQ12" s="130"/>
    </row>
    <row r="13" spans="1:95" ht="20.25" customHeight="1">
      <c r="U13" s="247"/>
      <c r="V13" s="247"/>
      <c r="W13" s="247"/>
      <c r="X13" s="247"/>
      <c r="Y13" s="247"/>
      <c r="Z13" s="247"/>
      <c r="AA13" s="247"/>
      <c r="AB13" s="247"/>
      <c r="AC13" s="247"/>
      <c r="AD13" s="247"/>
      <c r="AE13" s="247"/>
      <c r="AF13" s="247"/>
      <c r="AG13" s="247"/>
      <c r="AH13" s="247"/>
      <c r="AI13" s="247"/>
      <c r="BA13" s="270"/>
      <c r="BB13" s="57" t="s">
        <v>558</v>
      </c>
      <c r="BC13" s="57">
        <v>41.9</v>
      </c>
      <c r="BD13" s="57">
        <v>39.4</v>
      </c>
      <c r="BE13" s="57" t="s">
        <v>552</v>
      </c>
      <c r="BF13" s="57" t="s">
        <v>553</v>
      </c>
      <c r="BG13" s="57" t="s">
        <v>554</v>
      </c>
      <c r="BH13" s="146">
        <v>2.7955999999999999</v>
      </c>
      <c r="BJ13" s="334"/>
      <c r="BK13" s="146" t="s">
        <v>558</v>
      </c>
      <c r="CD13" s="130"/>
      <c r="CE13" s="130"/>
      <c r="CF13" s="130"/>
      <c r="CG13" s="130"/>
      <c r="CH13" s="130"/>
      <c r="CI13" s="130"/>
      <c r="CJ13" s="130"/>
      <c r="CK13" s="130"/>
      <c r="CL13" s="130"/>
      <c r="CM13" s="130"/>
      <c r="CN13" s="130"/>
      <c r="CO13" s="130"/>
      <c r="CP13" s="130"/>
      <c r="CQ13" s="130"/>
    </row>
    <row r="14" spans="1:95" ht="12" customHeight="1">
      <c r="W14" s="177"/>
      <c r="X14" s="177"/>
      <c r="Y14" s="177"/>
      <c r="Z14" s="247"/>
      <c r="AA14" s="247"/>
      <c r="AB14" s="247"/>
      <c r="AC14" s="247"/>
      <c r="AD14" s="247"/>
      <c r="AE14" s="247"/>
      <c r="AF14" s="247"/>
      <c r="AG14" s="247"/>
      <c r="AH14" s="247"/>
      <c r="AI14" s="247"/>
      <c r="BA14" s="271"/>
      <c r="BB14" s="57" t="s">
        <v>564</v>
      </c>
      <c r="BC14" s="57">
        <f>W18</f>
        <v>0</v>
      </c>
      <c r="BD14" s="57">
        <f>W19</f>
        <v>0</v>
      </c>
      <c r="BE14" s="57" t="s">
        <v>552</v>
      </c>
      <c r="BF14" s="57" t="s">
        <v>553</v>
      </c>
      <c r="BG14" s="57" t="s">
        <v>554</v>
      </c>
      <c r="BH14" s="146">
        <f>W20</f>
        <v>0</v>
      </c>
      <c r="BJ14" s="146" t="s">
        <v>559</v>
      </c>
      <c r="BK14" s="146" t="s">
        <v>532</v>
      </c>
      <c r="CD14" s="130"/>
      <c r="CE14" s="130"/>
      <c r="CF14" s="130"/>
      <c r="CG14" s="130"/>
      <c r="CH14" s="130"/>
      <c r="CI14" s="130"/>
      <c r="CJ14" s="130"/>
      <c r="CK14" s="130"/>
      <c r="CL14" s="130"/>
      <c r="CM14" s="130"/>
      <c r="CN14" s="130"/>
      <c r="CO14" s="130"/>
      <c r="CP14" s="130"/>
      <c r="CQ14" s="130"/>
    </row>
    <row r="15" spans="1:95" ht="20.25" customHeight="1">
      <c r="U15" s="130" t="s">
        <v>684</v>
      </c>
      <c r="W15" s="247"/>
      <c r="X15" s="247"/>
      <c r="Y15" s="247"/>
      <c r="Z15" s="247"/>
      <c r="AA15" s="247"/>
      <c r="AB15" s="247"/>
      <c r="AC15" s="247"/>
      <c r="AD15" s="247"/>
      <c r="AE15" s="247"/>
      <c r="AF15" s="247"/>
      <c r="AG15" s="247"/>
      <c r="AH15" s="247"/>
      <c r="AI15" s="247"/>
      <c r="BA15" s="267" t="s">
        <v>559</v>
      </c>
      <c r="BB15" s="57" t="s">
        <v>532</v>
      </c>
      <c r="BC15" s="272">
        <v>9.76</v>
      </c>
      <c r="BD15" s="57">
        <v>9.76</v>
      </c>
      <c r="BE15" s="57" t="s">
        <v>560</v>
      </c>
      <c r="BF15" s="332" t="s">
        <v>561</v>
      </c>
      <c r="BG15" s="57" t="s">
        <v>562</v>
      </c>
      <c r="BH15" s="146">
        <v>0.495</v>
      </c>
      <c r="BJ15" s="331" t="s">
        <v>563</v>
      </c>
      <c r="BK15" s="146" t="s">
        <v>536</v>
      </c>
      <c r="CD15" s="130"/>
      <c r="CE15" s="130"/>
      <c r="CF15" s="130"/>
      <c r="CG15" s="130"/>
      <c r="CH15" s="130"/>
      <c r="CI15" s="130"/>
      <c r="CJ15" s="130"/>
      <c r="CK15" s="130"/>
      <c r="CL15" s="130"/>
      <c r="CM15" s="130"/>
      <c r="CN15" s="130"/>
      <c r="CO15" s="130"/>
      <c r="CP15" s="130"/>
      <c r="CQ15" s="130"/>
    </row>
    <row r="16" spans="1:95" ht="20.25" customHeight="1">
      <c r="U16" s="336" t="s">
        <v>573</v>
      </c>
      <c r="V16" s="1096"/>
      <c r="W16" s="1096"/>
      <c r="X16" s="1096"/>
      <c r="Y16" s="247"/>
      <c r="AA16" s="247"/>
      <c r="AB16" s="247"/>
      <c r="AC16" s="247"/>
      <c r="AD16" s="247"/>
      <c r="AE16" s="247"/>
      <c r="AF16" s="247"/>
      <c r="AG16" s="247"/>
      <c r="AH16" s="247"/>
      <c r="AI16" s="247"/>
      <c r="BA16" s="271"/>
      <c r="BB16" s="57" t="s">
        <v>565</v>
      </c>
      <c r="BC16" s="57">
        <f>W18</f>
        <v>0</v>
      </c>
      <c r="BD16" s="57">
        <f>W19</f>
        <v>0</v>
      </c>
      <c r="BE16" s="57" t="s">
        <v>526</v>
      </c>
      <c r="BF16" s="57" t="s">
        <v>561</v>
      </c>
      <c r="BG16" s="57" t="s">
        <v>562</v>
      </c>
      <c r="BH16" s="146">
        <f>W20</f>
        <v>0</v>
      </c>
      <c r="BJ16" s="334"/>
      <c r="BK16" s="146" t="s">
        <v>537</v>
      </c>
    </row>
    <row r="17" spans="1:95" ht="20.25" customHeight="1">
      <c r="A17" s="207"/>
      <c r="B17" s="313"/>
      <c r="C17" s="314"/>
      <c r="D17" s="314"/>
      <c r="E17" s="314"/>
      <c r="F17" s="314"/>
      <c r="G17" s="314"/>
      <c r="H17" s="315"/>
      <c r="I17" s="315"/>
      <c r="J17" s="314"/>
      <c r="K17" s="314"/>
      <c r="L17" s="314"/>
      <c r="M17" s="246"/>
      <c r="N17" s="246"/>
      <c r="O17" s="246"/>
      <c r="P17" s="315"/>
      <c r="Q17" s="315"/>
      <c r="R17" s="246"/>
      <c r="S17" s="246"/>
      <c r="T17" s="246"/>
      <c r="U17" s="337" t="s">
        <v>597</v>
      </c>
      <c r="V17" s="341" t="s">
        <v>590</v>
      </c>
      <c r="W17" s="1096"/>
      <c r="X17" s="1096"/>
      <c r="Y17" s="208"/>
      <c r="AA17" s="208"/>
      <c r="AB17" s="208"/>
      <c r="AC17" s="208"/>
      <c r="AD17" s="209"/>
      <c r="AE17" s="209"/>
      <c r="AF17" s="209"/>
      <c r="AG17" s="209"/>
      <c r="AH17" s="209"/>
      <c r="AI17" s="209"/>
      <c r="AJ17" s="209"/>
      <c r="AK17" s="209"/>
      <c r="BA17" s="267" t="s">
        <v>563</v>
      </c>
      <c r="BB17" s="57" t="s">
        <v>536</v>
      </c>
      <c r="BC17" s="57">
        <v>25.7</v>
      </c>
      <c r="BD17" s="57">
        <v>24.4</v>
      </c>
      <c r="BE17" s="57" t="s">
        <v>547</v>
      </c>
      <c r="BF17" s="57" t="s">
        <v>548</v>
      </c>
      <c r="BG17" s="57" t="s">
        <v>549</v>
      </c>
      <c r="BH17" s="146">
        <v>2.3275999999999999</v>
      </c>
    </row>
    <row r="18" spans="1:95" ht="20.25" customHeight="1">
      <c r="A18" s="207"/>
      <c r="B18" s="313"/>
      <c r="C18" s="314"/>
      <c r="D18" s="314"/>
      <c r="E18" s="314"/>
      <c r="F18" s="314"/>
      <c r="G18" s="314"/>
      <c r="H18" s="315"/>
      <c r="I18" s="315"/>
      <c r="J18" s="314"/>
      <c r="K18" s="314"/>
      <c r="L18" s="314"/>
      <c r="M18" s="246"/>
      <c r="N18" s="246"/>
      <c r="O18" s="246"/>
      <c r="P18" s="315"/>
      <c r="Q18" s="246"/>
      <c r="R18" s="252"/>
      <c r="S18" s="252"/>
      <c r="T18" s="252"/>
      <c r="U18" s="338" t="s">
        <v>594</v>
      </c>
      <c r="V18" s="414"/>
      <c r="W18" s="1097"/>
      <c r="X18" s="1097"/>
      <c r="Y18" s="208"/>
      <c r="AA18" s="208"/>
      <c r="AB18" s="208"/>
      <c r="AC18" s="208"/>
      <c r="AD18" s="209"/>
      <c r="AE18" s="209"/>
      <c r="AF18" s="209"/>
      <c r="AG18" s="209"/>
      <c r="AH18" s="209"/>
      <c r="AI18" s="209"/>
      <c r="AJ18" s="209"/>
      <c r="AK18" s="209"/>
      <c r="BA18" s="270"/>
      <c r="BB18" s="57" t="s">
        <v>537</v>
      </c>
      <c r="BC18" s="57">
        <v>29.4</v>
      </c>
      <c r="BD18" s="57">
        <v>27.9</v>
      </c>
      <c r="BE18" s="57" t="s">
        <v>547</v>
      </c>
      <c r="BF18" s="57" t="s">
        <v>548</v>
      </c>
      <c r="BG18" s="57" t="s">
        <v>549</v>
      </c>
      <c r="BH18" s="146">
        <v>3.1692999999999998</v>
      </c>
    </row>
    <row r="19" spans="1:95" ht="21" customHeight="1">
      <c r="A19" s="133"/>
      <c r="B19" s="133"/>
      <c r="C19" s="175"/>
      <c r="D19" s="175"/>
      <c r="E19" s="314"/>
      <c r="F19" s="175"/>
      <c r="G19" s="175"/>
      <c r="H19" s="175"/>
      <c r="I19" s="175"/>
      <c r="J19" s="175"/>
      <c r="K19" s="175"/>
      <c r="L19" s="175"/>
      <c r="M19" s="175"/>
      <c r="N19" s="175"/>
      <c r="O19" s="175"/>
      <c r="P19" s="133"/>
      <c r="Q19" s="133"/>
      <c r="R19" s="133"/>
      <c r="S19" s="133"/>
      <c r="T19" s="133"/>
      <c r="U19" s="339" t="s">
        <v>595</v>
      </c>
      <c r="V19" s="414"/>
      <c r="W19" s="1096"/>
      <c r="X19" s="1096"/>
      <c r="Y19" s="175"/>
      <c r="AA19" s="175"/>
      <c r="AB19" s="175"/>
      <c r="AC19" s="175"/>
      <c r="AD19" s="175"/>
      <c r="AE19" s="175"/>
      <c r="AF19" s="175"/>
      <c r="AG19" s="175"/>
      <c r="AH19" s="175"/>
      <c r="AI19" s="206"/>
      <c r="AJ19" s="131"/>
      <c r="BA19" s="57" t="s">
        <v>535</v>
      </c>
      <c r="BB19" s="57" t="s">
        <v>673</v>
      </c>
      <c r="BC19" s="57">
        <f>W18</f>
        <v>0</v>
      </c>
      <c r="BD19" s="57">
        <f>W19</f>
        <v>0</v>
      </c>
      <c r="BE19" s="57" t="s">
        <v>548</v>
      </c>
      <c r="BF19" s="57" t="s">
        <v>549</v>
      </c>
      <c r="BG19" s="57" t="s">
        <v>549</v>
      </c>
      <c r="BH19" s="146">
        <f>W20</f>
        <v>0</v>
      </c>
      <c r="BI19" s="134" t="s">
        <v>598</v>
      </c>
    </row>
    <row r="20" spans="1:95" ht="21" customHeight="1">
      <c r="A20" s="133"/>
      <c r="B20" s="133"/>
      <c r="C20" s="176"/>
      <c r="D20" s="176"/>
      <c r="E20" s="176"/>
      <c r="F20" s="176"/>
      <c r="G20" s="176"/>
      <c r="H20" s="176"/>
      <c r="I20" s="175"/>
      <c r="J20" s="175"/>
      <c r="K20" s="175"/>
      <c r="L20" s="175"/>
      <c r="M20" s="175"/>
      <c r="N20" s="175"/>
      <c r="O20" s="792"/>
      <c r="P20" s="133"/>
      <c r="Q20" s="133"/>
      <c r="R20" s="133"/>
      <c r="S20" s="133"/>
      <c r="T20" s="133"/>
      <c r="U20" s="340" t="s">
        <v>596</v>
      </c>
      <c r="V20" s="413" t="str">
        <f>IFERROR(INDEX(AX10:AX12,MATCH(V18,AW10:AW12,0),1),"")</f>
        <v/>
      </c>
      <c r="W20" s="1098"/>
      <c r="X20" s="1098"/>
      <c r="Y20" s="177"/>
      <c r="AA20" s="177"/>
      <c r="AB20" s="1076"/>
      <c r="AC20" s="1076"/>
      <c r="AD20" s="175"/>
      <c r="AE20" s="175"/>
      <c r="AF20" s="175"/>
      <c r="AG20" s="175"/>
      <c r="AH20" s="175"/>
      <c r="AI20" s="134"/>
      <c r="BE20" s="134"/>
      <c r="CQ20" s="130"/>
    </row>
    <row r="21" spans="1:95" s="134" customFormat="1" ht="15" customHeight="1">
      <c r="A21" s="133"/>
      <c r="B21" s="133"/>
      <c r="C21" s="133"/>
      <c r="D21" s="178"/>
      <c r="E21" s="178"/>
      <c r="F21" s="179"/>
      <c r="G21" s="179"/>
      <c r="H21" s="180"/>
      <c r="I21" s="180"/>
      <c r="J21" s="180"/>
      <c r="K21" s="180"/>
      <c r="L21" s="180"/>
      <c r="M21" s="180"/>
      <c r="N21" s="180"/>
      <c r="O21" s="792"/>
      <c r="P21" s="133"/>
      <c r="Q21" s="133"/>
      <c r="R21" s="133"/>
      <c r="S21" s="815" t="str">
        <f>IF(OR(AI29:AI38,"◎"&gt;0,AI29:AI38,"○"&gt;0),IF(SUM($T$29:$T$38)&lt;&gt;$AQ$26,"按分比が指定通り記入されていますか？",""),"")</f>
        <v/>
      </c>
      <c r="T21" s="133"/>
      <c r="W21" s="133"/>
      <c r="X21" s="133"/>
      <c r="Y21" s="133"/>
      <c r="Z21" s="133"/>
      <c r="AA21" s="133"/>
      <c r="AB21" s="133"/>
      <c r="AC21" s="178"/>
      <c r="AD21" s="178"/>
      <c r="AE21" s="178"/>
      <c r="AF21" s="178"/>
      <c r="AG21" s="178"/>
      <c r="AH21" s="181"/>
      <c r="AI21" s="181"/>
      <c r="AJ21" s="136"/>
      <c r="AK21" s="137"/>
      <c r="AL21" s="137"/>
      <c r="AM21" s="138"/>
      <c r="AN21" s="138"/>
      <c r="AO21" s="139"/>
      <c r="AP21" s="139"/>
      <c r="AQ21" s="139"/>
      <c r="AR21" s="139"/>
      <c r="AS21" s="139"/>
      <c r="AT21" s="139"/>
      <c r="AU21" s="139"/>
      <c r="AV21" s="139"/>
      <c r="BJ21" s="169"/>
      <c r="BK21" s="228"/>
      <c r="BL21" s="228"/>
      <c r="BM21" s="169"/>
      <c r="BN21" s="169"/>
      <c r="BO21" s="169"/>
      <c r="BP21" s="169"/>
      <c r="BQ21" s="169"/>
      <c r="BR21" s="169"/>
      <c r="CA21" s="164"/>
      <c r="CD21" s="256"/>
      <c r="CE21" s="256"/>
      <c r="CF21" s="256"/>
      <c r="CG21" s="256"/>
      <c r="CH21" s="258"/>
      <c r="CI21" s="258"/>
      <c r="CJ21" s="258"/>
      <c r="CK21" s="259"/>
      <c r="CL21" s="259"/>
      <c r="CM21" s="259"/>
    </row>
    <row r="22" spans="1:95" ht="18" customHeight="1">
      <c r="A22" s="132"/>
      <c r="B22" s="206"/>
      <c r="C22" s="206"/>
      <c r="E22" s="206"/>
      <c r="F22" s="206"/>
      <c r="G22" s="554"/>
      <c r="H22" s="206"/>
      <c r="I22" s="505" t="s">
        <v>932</v>
      </c>
      <c r="J22" s="770"/>
      <c r="K22" s="770"/>
      <c r="L22" s="770"/>
      <c r="M22" s="770"/>
      <c r="N22" s="770"/>
      <c r="O22" s="770"/>
      <c r="P22" s="770"/>
      <c r="Q22" s="770"/>
      <c r="R22" s="770"/>
      <c r="S22" s="505" t="s">
        <v>933</v>
      </c>
      <c r="T22" s="770"/>
      <c r="U22" s="770"/>
      <c r="V22" s="770"/>
      <c r="W22" s="770"/>
      <c r="X22" s="770"/>
      <c r="Y22" s="770"/>
      <c r="Z22" s="770"/>
      <c r="AA22" s="770"/>
      <c r="AB22" s="505" t="s">
        <v>932</v>
      </c>
      <c r="AC22" s="770"/>
      <c r="AD22" s="206"/>
      <c r="AE22" s="206"/>
      <c r="AF22" s="206"/>
      <c r="AG22" s="206"/>
      <c r="AH22" s="206"/>
      <c r="AI22" s="133"/>
      <c r="AK22" s="133"/>
      <c r="BE22" s="134"/>
      <c r="CQ22" s="130"/>
    </row>
    <row r="23" spans="1:95" ht="21" customHeight="1">
      <c r="A23" s="977" t="s">
        <v>0</v>
      </c>
      <c r="B23" s="213" t="s">
        <v>2</v>
      </c>
      <c r="C23" s="214"/>
      <c r="D23" s="214"/>
      <c r="E23" s="214"/>
      <c r="F23" s="214"/>
      <c r="G23" s="214"/>
      <c r="H23" s="214"/>
      <c r="I23" s="214"/>
      <c r="J23" s="214"/>
      <c r="K23" s="214"/>
      <c r="L23" s="214"/>
      <c r="M23" s="214"/>
      <c r="N23" s="214"/>
      <c r="O23" s="214"/>
      <c r="P23" s="215"/>
      <c r="Q23" s="215"/>
      <c r="R23" s="215"/>
      <c r="S23" s="215"/>
      <c r="T23" s="217" t="s">
        <v>46</v>
      </c>
      <c r="U23" s="218"/>
      <c r="V23" s="218"/>
      <c r="W23" s="218"/>
      <c r="X23" s="218"/>
      <c r="Y23" s="218"/>
      <c r="Z23" s="218"/>
      <c r="AA23" s="218"/>
      <c r="AB23" s="218"/>
      <c r="AC23" s="218"/>
      <c r="AD23" s="218"/>
      <c r="AE23" s="218"/>
      <c r="AF23" s="218"/>
      <c r="AG23" s="994" t="s">
        <v>14</v>
      </c>
      <c r="AH23" s="995"/>
      <c r="AI23" s="135"/>
      <c r="AJ23" s="134"/>
      <c r="AK23" s="134"/>
      <c r="AL23" s="130" t="s">
        <v>586</v>
      </c>
      <c r="AR23" s="130" t="s">
        <v>587</v>
      </c>
      <c r="AW23" s="134"/>
      <c r="AX23" s="134"/>
      <c r="BE23" s="134"/>
      <c r="CQ23" s="130"/>
    </row>
    <row r="24" spans="1:95" ht="15" customHeight="1">
      <c r="A24" s="978"/>
      <c r="B24" s="220"/>
      <c r="C24" s="221"/>
      <c r="D24" s="221"/>
      <c r="E24" s="221"/>
      <c r="F24" s="221"/>
      <c r="G24" s="221"/>
      <c r="H24" s="221"/>
      <c r="I24" s="221"/>
      <c r="J24" s="221"/>
      <c r="K24" s="319" t="s">
        <v>49</v>
      </c>
      <c r="L24" s="219"/>
      <c r="M24" s="219"/>
      <c r="N24" s="219"/>
      <c r="O24" s="219"/>
      <c r="P24" s="219"/>
      <c r="Q24" s="219"/>
      <c r="R24" s="219"/>
      <c r="S24" s="219"/>
      <c r="T24" s="220"/>
      <c r="U24" s="221"/>
      <c r="V24" s="221"/>
      <c r="W24" s="221"/>
      <c r="X24" s="221"/>
      <c r="Y24" s="221"/>
      <c r="Z24" s="221"/>
      <c r="AA24" s="221"/>
      <c r="AB24" s="221"/>
      <c r="AC24" s="221"/>
      <c r="AD24" s="319" t="s">
        <v>49</v>
      </c>
      <c r="AE24" s="219"/>
      <c r="AF24" s="216"/>
      <c r="AG24" s="996"/>
      <c r="AH24" s="997"/>
      <c r="AI24" s="135"/>
      <c r="AJ24" s="134"/>
      <c r="AK24" s="134"/>
      <c r="AQ24" s="130" t="s">
        <v>968</v>
      </c>
      <c r="AW24" s="134" t="s">
        <v>966</v>
      </c>
      <c r="AX24" s="134"/>
      <c r="AY24" s="130" t="s">
        <v>967</v>
      </c>
      <c r="AZ24" s="130" t="s">
        <v>972</v>
      </c>
      <c r="BE24" s="134"/>
      <c r="CQ24" s="130"/>
    </row>
    <row r="25" spans="1:95" s="134" customFormat="1" ht="31.5" customHeight="1">
      <c r="A25" s="979"/>
      <c r="B25" s="225" t="s">
        <v>15</v>
      </c>
      <c r="C25" s="242" t="s">
        <v>573</v>
      </c>
      <c r="D25" s="242" t="s">
        <v>410</v>
      </c>
      <c r="E25" s="226" t="s">
        <v>418</v>
      </c>
      <c r="F25" s="242" t="s">
        <v>518</v>
      </c>
      <c r="G25" s="226" t="s">
        <v>519</v>
      </c>
      <c r="H25" s="242" t="s">
        <v>1</v>
      </c>
      <c r="I25" s="1090" t="s">
        <v>885</v>
      </c>
      <c r="J25" s="226" t="s">
        <v>520</v>
      </c>
      <c r="K25" s="226" t="s">
        <v>781</v>
      </c>
      <c r="L25" s="227" t="s">
        <v>777</v>
      </c>
      <c r="M25" s="226" t="s">
        <v>521</v>
      </c>
      <c r="N25" s="226" t="s">
        <v>575</v>
      </c>
      <c r="O25" s="242" t="s">
        <v>585</v>
      </c>
      <c r="P25" s="242" t="s">
        <v>522</v>
      </c>
      <c r="Q25" s="242" t="s">
        <v>1</v>
      </c>
      <c r="R25" s="226" t="s">
        <v>508</v>
      </c>
      <c r="S25" s="1077" t="s">
        <v>934</v>
      </c>
      <c r="T25" s="1078"/>
      <c r="U25" s="225" t="s">
        <v>15</v>
      </c>
      <c r="V25" s="992" t="s">
        <v>1032</v>
      </c>
      <c r="W25" s="226" t="s">
        <v>418</v>
      </c>
      <c r="X25" s="242" t="s">
        <v>573</v>
      </c>
      <c r="Y25" s="242" t="s">
        <v>518</v>
      </c>
      <c r="Z25" s="226" t="s">
        <v>519</v>
      </c>
      <c r="AA25" s="242" t="s">
        <v>1</v>
      </c>
      <c r="AB25" s="1090" t="s">
        <v>885</v>
      </c>
      <c r="AC25" s="226" t="s">
        <v>520</v>
      </c>
      <c r="AD25" s="242" t="s">
        <v>522</v>
      </c>
      <c r="AE25" s="242" t="s">
        <v>1</v>
      </c>
      <c r="AF25" s="226" t="s">
        <v>508</v>
      </c>
      <c r="AG25" s="227" t="s">
        <v>524</v>
      </c>
      <c r="AH25" s="227" t="s">
        <v>514</v>
      </c>
      <c r="AI25" s="136" t="s">
        <v>923</v>
      </c>
      <c r="AJ25" s="137" t="s">
        <v>924</v>
      </c>
      <c r="AK25" s="137"/>
      <c r="AL25" s="883" t="s">
        <v>578</v>
      </c>
      <c r="AM25" s="883" t="s">
        <v>579</v>
      </c>
      <c r="AN25" s="883" t="s">
        <v>577</v>
      </c>
      <c r="AO25" s="884" t="s">
        <v>589</v>
      </c>
      <c r="AP25" s="883" t="s">
        <v>580</v>
      </c>
      <c r="AQ25" s="887" t="s">
        <v>969</v>
      </c>
      <c r="AR25" s="883" t="s">
        <v>578</v>
      </c>
      <c r="AS25" s="883" t="s">
        <v>579</v>
      </c>
      <c r="AT25" s="883" t="s">
        <v>577</v>
      </c>
      <c r="AU25" s="884" t="s">
        <v>589</v>
      </c>
      <c r="AV25" s="883" t="s">
        <v>580</v>
      </c>
      <c r="AW25" s="885" t="s">
        <v>901</v>
      </c>
      <c r="AX25" s="885" t="s">
        <v>902</v>
      </c>
      <c r="AY25" s="887" t="s">
        <v>970</v>
      </c>
      <c r="AZ25" s="886" t="s">
        <v>923</v>
      </c>
      <c r="BA25" s="886" t="s">
        <v>973</v>
      </c>
      <c r="BB25" s="134" t="s">
        <v>977</v>
      </c>
      <c r="BD25" s="130"/>
    </row>
    <row r="26" spans="1:95" s="134" customFormat="1" ht="16.5" customHeight="1">
      <c r="A26" s="126" t="s">
        <v>1</v>
      </c>
      <c r="B26" s="122"/>
      <c r="C26" s="266"/>
      <c r="D26" s="123" t="s">
        <v>626</v>
      </c>
      <c r="E26" s="119" t="s">
        <v>44</v>
      </c>
      <c r="F26" s="266"/>
      <c r="G26" s="119" t="s">
        <v>588</v>
      </c>
      <c r="H26" s="266"/>
      <c r="I26" s="1091"/>
      <c r="J26" s="119" t="s">
        <v>55</v>
      </c>
      <c r="K26" s="119" t="s">
        <v>779</v>
      </c>
      <c r="L26" s="119" t="s">
        <v>778</v>
      </c>
      <c r="M26" s="119" t="s">
        <v>22</v>
      </c>
      <c r="N26" s="119" t="s">
        <v>576</v>
      </c>
      <c r="O26" s="119" t="s">
        <v>583</v>
      </c>
      <c r="P26" s="266"/>
      <c r="Q26" s="266"/>
      <c r="R26" s="119" t="s">
        <v>479</v>
      </c>
      <c r="S26" s="1079"/>
      <c r="T26" s="1080"/>
      <c r="U26" s="123"/>
      <c r="V26" s="993"/>
      <c r="W26" s="119" t="s">
        <v>44</v>
      </c>
      <c r="X26" s="266"/>
      <c r="Y26" s="266"/>
      <c r="Z26" s="119" t="s">
        <v>588</v>
      </c>
      <c r="AA26" s="266"/>
      <c r="AB26" s="1091"/>
      <c r="AC26" s="119" t="s">
        <v>55</v>
      </c>
      <c r="AD26" s="266"/>
      <c r="AE26" s="266"/>
      <c r="AF26" s="119" t="s">
        <v>479</v>
      </c>
      <c r="AG26" s="119" t="str">
        <f>IF(AJ28=10,AE29,"")&amp;"/年"</f>
        <v>/年</v>
      </c>
      <c r="AH26" s="119" t="s">
        <v>479</v>
      </c>
      <c r="AI26" s="136"/>
      <c r="AJ26" s="137"/>
      <c r="AK26" s="137"/>
      <c r="AQ26" s="795">
        <f>INT(SUM(T29:T38))</f>
        <v>0</v>
      </c>
      <c r="AW26" s="139"/>
      <c r="AX26" s="139"/>
      <c r="AZ26" s="130"/>
      <c r="BK26" s="147"/>
    </row>
    <row r="27" spans="1:95" s="134" customFormat="1" ht="21.95" customHeight="1">
      <c r="A27" s="343" t="s">
        <v>419</v>
      </c>
      <c r="B27" s="556" t="s">
        <v>231</v>
      </c>
      <c r="C27" s="557" t="s">
        <v>525</v>
      </c>
      <c r="D27" s="558">
        <v>2001</v>
      </c>
      <c r="E27" s="559">
        <v>2</v>
      </c>
      <c r="F27" s="560" t="s">
        <v>601</v>
      </c>
      <c r="G27" s="561">
        <v>40</v>
      </c>
      <c r="H27" s="316" t="str">
        <f>IF(C27="","",VLOOKUP(F27,$BB$4:$BG$19,6,FALSE))</f>
        <v>m3（N)/h</v>
      </c>
      <c r="I27" s="769"/>
      <c r="J27" s="562">
        <v>0.86</v>
      </c>
      <c r="K27" s="563">
        <v>200</v>
      </c>
      <c r="L27" s="564">
        <v>10</v>
      </c>
      <c r="M27" s="539">
        <f>K27*L27</f>
        <v>2000</v>
      </c>
      <c r="N27" s="565">
        <v>0.5</v>
      </c>
      <c r="O27" s="316">
        <f>E27*G27*J27*M27*IF(N27="",1,N27)*AN27</f>
        <v>6537427.3858921165</v>
      </c>
      <c r="P27" s="316">
        <f>IF(N27="",E27*G27*M27,E27*G27*M27*N27)</f>
        <v>80000</v>
      </c>
      <c r="Q27" s="316" t="str">
        <f>IF(H27="","",IF(H27="kW","kW",LEFT(H27,FIND("/",H27)-1)))</f>
        <v>m3（N)</v>
      </c>
      <c r="R27" s="318">
        <f>P27*AP27*0.001</f>
        <v>497.6</v>
      </c>
      <c r="S27" s="1081" t="s">
        <v>900</v>
      </c>
      <c r="T27" s="1083" t="s">
        <v>898</v>
      </c>
      <c r="U27" s="556" t="s">
        <v>52</v>
      </c>
      <c r="V27" s="556">
        <v>2</v>
      </c>
      <c r="W27" s="559">
        <v>2</v>
      </c>
      <c r="X27" s="557" t="s">
        <v>525</v>
      </c>
      <c r="Y27" s="560" t="s">
        <v>591</v>
      </c>
      <c r="Z27" s="561">
        <v>100</v>
      </c>
      <c r="AA27" s="316" t="str">
        <f>IF(X27="","",VLOOKUP(Y27,$BB$4:$BG$19,6,FALSE))</f>
        <v>m3（N)/h</v>
      </c>
      <c r="AB27" s="769"/>
      <c r="AC27" s="562">
        <v>0.98</v>
      </c>
      <c r="AD27" s="316">
        <f>O27/AT27/AC27</f>
        <v>163501.08508133545</v>
      </c>
      <c r="AE27" s="316" t="str">
        <f>IF(AA27="","",IF(AA27="kW","kW",LEFT(AA27,FIND("/",AA27)-1)))</f>
        <v>m3（N)</v>
      </c>
      <c r="AF27" s="316">
        <f>AD27*AV27*0.001</f>
        <v>366.89643492251679</v>
      </c>
      <c r="AG27" s="316">
        <f>IFERROR(P27-AD27,"")</f>
        <v>-83501.085081335448</v>
      </c>
      <c r="AH27" s="316">
        <f>IFERROR(R27-AF27,"")</f>
        <v>130.70356507748323</v>
      </c>
      <c r="AI27" s="709"/>
      <c r="AJ27" s="137">
        <f>IF(F27=Y27,1,2)</f>
        <v>2</v>
      </c>
      <c r="AK27" s="137"/>
      <c r="AL27" s="138">
        <f>VLOOKUP(F27,$BB$4:$BG$19,2,FALSE)</f>
        <v>105.39419087136929</v>
      </c>
      <c r="AM27" s="138">
        <f>VLOOKUP(F27,$BB$4:$BG$19,3,FALSE)</f>
        <v>95.020746887966808</v>
      </c>
      <c r="AN27" s="139">
        <f>IF(I27="",VLOOKUP(F27,$BB$4:$BG$19,3,FALSE),VLOOKUP(F27,$BB$4:$BG$19,2,FALSE))</f>
        <v>95.020746887966808</v>
      </c>
      <c r="AO27" s="140">
        <f>P27*AL27*0.0258</f>
        <v>217533.60995850619</v>
      </c>
      <c r="AP27" s="139">
        <f>VLOOKUP(F27,$BB$4:$BH$19,7,FALSE)</f>
        <v>6.22</v>
      </c>
      <c r="AQ27" s="139"/>
      <c r="AR27" s="138">
        <f>VLOOKUP(Y27,$BB$4:$BG$19,2,FALSE)</f>
        <v>45</v>
      </c>
      <c r="AS27" s="138">
        <f>VLOOKUP(Y27,$BB$4:$BG$19,3,FALSE)</f>
        <v>40.799999999999997</v>
      </c>
      <c r="AT27" s="139">
        <f>IF(AB27="",VLOOKUP(Y27,$BB$4:$BG$19,3,FALSE),VLOOKUP(Y27,$BB$4:$BG$19,2,FALSE))</f>
        <v>40.799999999999997</v>
      </c>
      <c r="AU27" s="140">
        <f>AD27*AR27*0.0258</f>
        <v>189824.75977943046</v>
      </c>
      <c r="AV27" s="139">
        <f>VLOOKUP(Y27,$BB$4:$BH$19,7,FALSE)</f>
        <v>2.2440000000000002</v>
      </c>
      <c r="AW27" s="139"/>
      <c r="AX27" s="139"/>
      <c r="BK27" s="147"/>
      <c r="BN27" s="144"/>
      <c r="BU27" s="144"/>
    </row>
    <row r="28" spans="1:95" s="134" customFormat="1" ht="21.95" customHeight="1" thickBot="1">
      <c r="A28" s="675" t="s">
        <v>30</v>
      </c>
      <c r="B28" s="702"/>
      <c r="C28" s="752"/>
      <c r="D28" s="681"/>
      <c r="E28" s="704">
        <f>_xlfn.AGGREGATE(9,7,E29:E38)</f>
        <v>0</v>
      </c>
      <c r="F28" s="753"/>
      <c r="G28" s="681"/>
      <c r="H28" s="706"/>
      <c r="I28" s="752"/>
      <c r="J28" s="788"/>
      <c r="K28" s="788"/>
      <c r="L28" s="788"/>
      <c r="M28" s="705"/>
      <c r="N28" s="716"/>
      <c r="O28" s="707">
        <f>_xlfn.AGGREGATE(9,7,O29:O38)</f>
        <v>0</v>
      </c>
      <c r="P28" s="707">
        <f>IF(BB39=1,_xlfn.AGGREGATE(9,7,P29:P38),"")</f>
        <v>0</v>
      </c>
      <c r="Q28" s="707" t="str">
        <f>RIGHT(H28,FIND("",H28))</f>
        <v/>
      </c>
      <c r="R28" s="708">
        <f>_xlfn.AGGREGATE(9,7,R29:R38)</f>
        <v>0</v>
      </c>
      <c r="S28" s="1082"/>
      <c r="T28" s="1084"/>
      <c r="U28" s="702"/>
      <c r="V28" s="752"/>
      <c r="W28" s="704">
        <f>_xlfn.AGGREGATE(9,7,W29:W38)</f>
        <v>0</v>
      </c>
      <c r="X28" s="752"/>
      <c r="Y28" s="753"/>
      <c r="Z28" s="681"/>
      <c r="AA28" s="706"/>
      <c r="AB28" s="752"/>
      <c r="AC28" s="788"/>
      <c r="AD28" s="707">
        <f>IF(BB40=1,_xlfn.AGGREGATE(9,7,AD29:AD38),"")</f>
        <v>0</v>
      </c>
      <c r="AE28" s="707" t="str">
        <f>RIGHT(AA28,FIND("",AA28))</f>
        <v/>
      </c>
      <c r="AF28" s="708">
        <f>_xlfn.AGGREGATE(9,7,AF29:AF38)</f>
        <v>0</v>
      </c>
      <c r="AG28" s="707">
        <f>IF(BB28=12,_xlfn.AGGREGATE(9,7,AG29:AG38),"")</f>
        <v>0</v>
      </c>
      <c r="AH28" s="708">
        <f>_xlfn.AGGREGATE(9,7,AH29:AH38)</f>
        <v>0</v>
      </c>
      <c r="AI28" s="832">
        <f>AZ28</f>
        <v>0</v>
      </c>
      <c r="AJ28" s="128">
        <f t="shared" ref="AJ28" si="0">_xlfn.AGGREGATE(9,7,AJ29:AJ48)</f>
        <v>10</v>
      </c>
      <c r="AK28" s="137"/>
      <c r="AL28" s="138"/>
      <c r="AM28" s="138"/>
      <c r="AN28" s="139"/>
      <c r="AO28" s="128">
        <f t="shared" ref="AO28:AQ28" si="1">_xlfn.AGGREGATE(9,7,AO29:AO48)</f>
        <v>0</v>
      </c>
      <c r="AP28" s="139"/>
      <c r="AQ28" s="128">
        <f t="shared" si="1"/>
        <v>0</v>
      </c>
      <c r="AR28" s="138"/>
      <c r="AS28" s="138"/>
      <c r="AT28" s="139"/>
      <c r="AU28" s="128">
        <f t="shared" ref="AU28" si="2">_xlfn.AGGREGATE(9,7,AU29:AU48)</f>
        <v>0</v>
      </c>
      <c r="AV28" s="139"/>
      <c r="AW28" s="822">
        <f>_xlfn.AGGREGATE(9,7,AW29:AW38)</f>
        <v>0</v>
      </c>
      <c r="AX28" s="797">
        <f>_xlfn.AGGREGATE(9,7,AX29:AX38)</f>
        <v>0</v>
      </c>
      <c r="AY28" s="128">
        <f t="shared" ref="AY28:AZ28" si="3">_xlfn.AGGREGATE(9,7,AY29:AY48)</f>
        <v>0</v>
      </c>
      <c r="AZ28" s="128">
        <f t="shared" si="3"/>
        <v>0</v>
      </c>
      <c r="BB28" s="134">
        <f>SUM(BB29:BB40)</f>
        <v>12</v>
      </c>
      <c r="BG28" s="254"/>
      <c r="BH28" s="254"/>
      <c r="BI28" s="150"/>
      <c r="BK28" s="147"/>
    </row>
    <row r="29" spans="1:95" s="134" customFormat="1" ht="21.95" customHeight="1">
      <c r="A29" s="690">
        <v>1</v>
      </c>
      <c r="B29" s="692"/>
      <c r="C29" s="691"/>
      <c r="D29" s="662">
        <v>2010</v>
      </c>
      <c r="E29" s="692"/>
      <c r="F29" s="693"/>
      <c r="G29" s="694"/>
      <c r="H29" s="695" t="str">
        <f t="shared" ref="H29:H38" si="4">IF(C29="","",VLOOKUP(F29,$BB$4:$BG$19,6,FALSE))</f>
        <v/>
      </c>
      <c r="I29" s="767"/>
      <c r="J29" s="696"/>
      <c r="K29" s="697"/>
      <c r="L29" s="698"/>
      <c r="M29" s="327">
        <f t="shared" ref="M29:M31" si="5">K29*L29</f>
        <v>0</v>
      </c>
      <c r="N29" s="700"/>
      <c r="O29" s="701" t="str">
        <f>IFERROR(E29*G29*J29*M29*AN29*BA29,"")</f>
        <v/>
      </c>
      <c r="P29" s="816">
        <f>IFERROR(IF(N29="",E29*G29*M29,E29*G29*M29*N29),"")</f>
        <v>0</v>
      </c>
      <c r="Q29" s="663" t="str">
        <f t="shared" ref="Q29:Q30" si="6">IF(H29="","",IF(H29="kW","kW",LEFT(H29,FIND("/",H29)-1)))</f>
        <v/>
      </c>
      <c r="R29" s="665" t="str">
        <f t="shared" ref="R29:R38" si="7">IFERROR(P29*AP29*0.001,"")</f>
        <v/>
      </c>
      <c r="S29" s="798"/>
      <c r="T29" s="798"/>
      <c r="U29" s="692"/>
      <c r="V29" s="941"/>
      <c r="W29" s="692"/>
      <c r="X29" s="691"/>
      <c r="Y29" s="693"/>
      <c r="Z29" s="694"/>
      <c r="AA29" s="695" t="str">
        <f t="shared" ref="AA29:AA38" si="8">IF(X29="","",VLOOKUP(Y29,$BB$4:$BG$19,6,FALSE))</f>
        <v/>
      </c>
      <c r="AB29" s="767"/>
      <c r="AC29" s="696"/>
      <c r="AD29" s="808">
        <f>IFERROR(AQ29/AT29/AC29,0)</f>
        <v>0</v>
      </c>
      <c r="AE29" s="663" t="str">
        <f>IF(AA29="","",IF(AA29="kW","kW",LEFT(AA29,FIND("/",AA29)-1)))</f>
        <v/>
      </c>
      <c r="AF29" s="808">
        <f>IFERROR(AD29*AV29*0.001,0)</f>
        <v>0</v>
      </c>
      <c r="AG29" s="810">
        <f t="shared" ref="AG29:AG31" si="9">IFERROR(IF(P29="",AD29*-1,P29-AD29),"")</f>
        <v>0</v>
      </c>
      <c r="AH29" s="813">
        <f t="shared" ref="AH29:AH31" si="10">IFERROR(IF(R29="",AF29*-1,R29-AF29),"")</f>
        <v>0</v>
      </c>
      <c r="AI29" s="381">
        <f>IF(OR(AND(S29&lt;&gt;"",T29=""),AND(S29="",T29&lt;&gt;""),AND(T29&lt;&gt;0,W29="")),"○",0)</f>
        <v>0</v>
      </c>
      <c r="AJ29" s="137">
        <f t="shared" ref="AJ29:AJ38" si="11">IF(F29=Y29,1,2)</f>
        <v>1</v>
      </c>
      <c r="AK29" s="137"/>
      <c r="AL29" s="138" t="e">
        <f t="shared" ref="AL29:AL38" si="12">VLOOKUP(F29,$BB$4:$BG$19,2,FALSE)</f>
        <v>#N/A</v>
      </c>
      <c r="AM29" s="138" t="e">
        <f t="shared" ref="AM29:AM38" si="13">VLOOKUP(F29,$BB$4:$BG$19,3,FALSE)</f>
        <v>#N/A</v>
      </c>
      <c r="AN29" s="139" t="e">
        <f t="shared" ref="AN29:AN38" si="14">IF(I29="",VLOOKUP(F29,$BB$4:$BG$19,3,FALSE),VLOOKUP(F29,$BB$4:$BG$19,2,FALSE))</f>
        <v>#N/A</v>
      </c>
      <c r="AO29" s="140" t="e">
        <f t="shared" ref="AO29:AO38" si="15">P29*AL29*0.0258</f>
        <v>#N/A</v>
      </c>
      <c r="AP29" s="139" t="e">
        <f t="shared" ref="AP29:AP38" si="16">VLOOKUP(F29,$BB$4:$BH$19,7,FALSE)</f>
        <v>#N/A</v>
      </c>
      <c r="AQ29" s="796" t="str">
        <f>IF(S29="",O29,IF(S29="◎",$AW$28*T29,IF(S29="○",$AX$28*T29,0)))</f>
        <v/>
      </c>
      <c r="AR29" s="138" t="e">
        <f t="shared" ref="AR29:AR38" si="17">VLOOKUP(Y29,$BB$4:$BG$19,2,FALSE)</f>
        <v>#N/A</v>
      </c>
      <c r="AS29" s="138" t="e">
        <f t="shared" ref="AS29:AS38" si="18">VLOOKUP(Y29,$BB$4:$BG$19,3,FALSE)</f>
        <v>#N/A</v>
      </c>
      <c r="AT29" s="139" t="e">
        <f t="shared" ref="AT29:AT38" si="19">IF(AB29="",VLOOKUP(Y29,$BB$4:$BG$19,3,FALSE),VLOOKUP(Y29,$BB$4:$BG$19,2,FALSE))</f>
        <v>#N/A</v>
      </c>
      <c r="AU29" s="140" t="e">
        <f t="shared" ref="AU29:AU38" si="20">AD29*AR29*0.0258</f>
        <v>#N/A</v>
      </c>
      <c r="AV29" s="139" t="e">
        <f t="shared" ref="AV29:AV38" si="21">VLOOKUP(Y29,$BB$4:$BH$19,7,FALSE)</f>
        <v>#N/A</v>
      </c>
      <c r="AW29" s="796" t="e">
        <f>IF(S29="◎",1,0)*O29</f>
        <v>#VALUE!</v>
      </c>
      <c r="AX29" s="188" t="e">
        <f>IF(S29="○",1,0)*O29</f>
        <v>#VALUE!</v>
      </c>
      <c r="AY29" s="794" t="e">
        <f>W29*Z29*AC29*AT29*M29</f>
        <v>#N/A</v>
      </c>
      <c r="AZ29" s="134">
        <f>IFERROR(O29/BA29,0)-IFERROR(AY29,0)</f>
        <v>0</v>
      </c>
      <c r="BA29" s="134">
        <f>IF(N29="",1,N29)</f>
        <v>1</v>
      </c>
      <c r="BB29" s="134">
        <f>IF(U29="",1,IF(AND(F29=Y29,H29=AA29),1,0))</f>
        <v>1</v>
      </c>
      <c r="BG29" s="254"/>
      <c r="BH29" s="254"/>
      <c r="BI29" s="150"/>
      <c r="BK29" s="147"/>
      <c r="BL29" s="147"/>
      <c r="BN29" s="253"/>
      <c r="BO29" s="150"/>
      <c r="BR29" s="147"/>
      <c r="BS29" s="147"/>
      <c r="BU29" s="254"/>
      <c r="BV29" s="150"/>
    </row>
    <row r="30" spans="1:95" s="134" customFormat="1" ht="21.95" customHeight="1">
      <c r="A30" s="21">
        <v>2</v>
      </c>
      <c r="B30" s="403"/>
      <c r="C30" s="405"/>
      <c r="D30" s="404"/>
      <c r="E30" s="403"/>
      <c r="F30" s="406"/>
      <c r="G30" s="396"/>
      <c r="H30" s="407" t="str">
        <f t="shared" si="4"/>
        <v/>
      </c>
      <c r="I30" s="768"/>
      <c r="J30" s="395"/>
      <c r="K30" s="506"/>
      <c r="L30" s="507"/>
      <c r="M30" s="327">
        <f t="shared" si="5"/>
        <v>0</v>
      </c>
      <c r="N30" s="398"/>
      <c r="O30" s="410" t="str">
        <f t="shared" ref="O30:O38" si="22">IFERROR(E30*G30*J30*M30*AN30*BA30,"")</f>
        <v/>
      </c>
      <c r="P30" s="812">
        <f t="shared" ref="P30:P38" si="23">IFERROR(IF(N30="",E30*G30*M30,E30*G30*M30*N30),"")</f>
        <v>0</v>
      </c>
      <c r="Q30" s="409" t="str">
        <f t="shared" si="6"/>
        <v/>
      </c>
      <c r="R30" s="408" t="str">
        <f t="shared" si="7"/>
        <v/>
      </c>
      <c r="S30" s="799"/>
      <c r="T30" s="799"/>
      <c r="U30" s="403"/>
      <c r="V30" s="942"/>
      <c r="W30" s="403"/>
      <c r="X30" s="405"/>
      <c r="Y30" s="406"/>
      <c r="Z30" s="396"/>
      <c r="AA30" s="407" t="str">
        <f t="shared" si="8"/>
        <v/>
      </c>
      <c r="AB30" s="768"/>
      <c r="AC30" s="395"/>
      <c r="AD30" s="809">
        <f t="shared" ref="AD30:AD38" si="24">IFERROR(AQ30/AT30/AC30,0)</f>
        <v>0</v>
      </c>
      <c r="AE30" s="409" t="str">
        <f>IF(AA30="","",IF(AA30="kW","kW",LEFT(AA30,FIND("/",AA30)-1)))</f>
        <v/>
      </c>
      <c r="AF30" s="809">
        <f t="shared" ref="AF30:AF38" si="25">IFERROR(AD30*AV30*0.001,0)</f>
        <v>0</v>
      </c>
      <c r="AG30" s="811">
        <f>IF(P30="",AD30*-1,P30-AD30)</f>
        <v>0</v>
      </c>
      <c r="AH30" s="814">
        <f t="shared" si="10"/>
        <v>0</v>
      </c>
      <c r="AI30" s="381">
        <f t="shared" ref="AI30:AI38" si="26">IF(OR(AND(S30&lt;&gt;"",T30=""),AND(S30="",T30&lt;&gt;""),AND(T30&lt;&gt;0,W30="")),"○",0)</f>
        <v>0</v>
      </c>
      <c r="AJ30" s="137">
        <f t="shared" si="11"/>
        <v>1</v>
      </c>
      <c r="AK30" s="137"/>
      <c r="AL30" s="138" t="e">
        <f t="shared" si="12"/>
        <v>#N/A</v>
      </c>
      <c r="AM30" s="138" t="e">
        <f t="shared" si="13"/>
        <v>#N/A</v>
      </c>
      <c r="AN30" s="139" t="e">
        <f t="shared" si="14"/>
        <v>#N/A</v>
      </c>
      <c r="AO30" s="140" t="e">
        <f t="shared" si="15"/>
        <v>#N/A</v>
      </c>
      <c r="AP30" s="139" t="e">
        <f t="shared" si="16"/>
        <v>#N/A</v>
      </c>
      <c r="AQ30" s="796" t="str">
        <f>IF(S30="",O30,IF(S30="◎",$AW$28*T30,IF(S30="○",$AX$28*T30,0)))</f>
        <v/>
      </c>
      <c r="AR30" s="138" t="e">
        <f t="shared" si="17"/>
        <v>#N/A</v>
      </c>
      <c r="AS30" s="138" t="e">
        <f t="shared" si="18"/>
        <v>#N/A</v>
      </c>
      <c r="AT30" s="139" t="e">
        <f t="shared" si="19"/>
        <v>#N/A</v>
      </c>
      <c r="AU30" s="140" t="e">
        <f t="shared" si="20"/>
        <v>#N/A</v>
      </c>
      <c r="AV30" s="139" t="e">
        <f t="shared" si="21"/>
        <v>#N/A</v>
      </c>
      <c r="AW30" s="796" t="e">
        <f t="shared" ref="AW30:AW38" si="27">IF(S30="◎",1,0)*O30</f>
        <v>#VALUE!</v>
      </c>
      <c r="AX30" s="188" t="e">
        <f t="shared" ref="AX30:AX38" si="28">IF(S30="○",1,0)*O30</f>
        <v>#VALUE!</v>
      </c>
      <c r="AY30" s="794" t="e">
        <f t="shared" ref="AY30:AY38" si="29">W30*Z30*AC30*AT30*M30</f>
        <v>#N/A</v>
      </c>
      <c r="AZ30" s="134">
        <f t="shared" ref="AZ30:AZ37" si="30">IFERROR(O30/BA30,0)-IFERROR(AY30,0)</f>
        <v>0</v>
      </c>
      <c r="BA30" s="134">
        <f t="shared" ref="BA30:BA38" si="31">IF(N30="",1,N30)</f>
        <v>1</v>
      </c>
      <c r="BB30" s="134">
        <f t="shared" ref="BB30:BB38" si="32">IF(U30="",1,IF(AND(F30=Y30,H30=AA30),1,0))</f>
        <v>1</v>
      </c>
      <c r="BE30" s="147"/>
      <c r="BF30" s="253"/>
      <c r="BG30" s="254"/>
      <c r="BH30" s="254"/>
      <c r="BI30" s="150"/>
      <c r="BK30" s="147"/>
      <c r="BL30" s="147"/>
      <c r="BN30" s="253"/>
      <c r="BO30" s="150"/>
      <c r="BR30" s="147"/>
      <c r="BS30" s="147"/>
      <c r="BU30" s="254"/>
      <c r="BV30" s="150"/>
    </row>
    <row r="31" spans="1:95" s="134" customFormat="1" ht="21.95" customHeight="1">
      <c r="A31" s="21">
        <v>3</v>
      </c>
      <c r="B31" s="403"/>
      <c r="C31" s="405"/>
      <c r="D31" s="404"/>
      <c r="E31" s="403"/>
      <c r="F31" s="406"/>
      <c r="G31" s="396"/>
      <c r="H31" s="407" t="str">
        <f t="shared" si="4"/>
        <v/>
      </c>
      <c r="I31" s="768"/>
      <c r="J31" s="395"/>
      <c r="K31" s="506"/>
      <c r="L31" s="507"/>
      <c r="M31" s="327">
        <f t="shared" si="5"/>
        <v>0</v>
      </c>
      <c r="N31" s="398"/>
      <c r="O31" s="410" t="str">
        <f t="shared" si="22"/>
        <v/>
      </c>
      <c r="P31" s="812">
        <f t="shared" si="23"/>
        <v>0</v>
      </c>
      <c r="Q31" s="409" t="str">
        <f>IF(H31="","",IF(H31="kW","kW",LEFT(H31,FIND("/",H31)-1)))</f>
        <v/>
      </c>
      <c r="R31" s="408" t="str">
        <f t="shared" si="7"/>
        <v/>
      </c>
      <c r="S31" s="799"/>
      <c r="T31" s="799"/>
      <c r="U31" s="403"/>
      <c r="V31" s="942"/>
      <c r="W31" s="403"/>
      <c r="X31" s="405"/>
      <c r="Y31" s="406"/>
      <c r="Z31" s="396"/>
      <c r="AA31" s="407" t="str">
        <f t="shared" si="8"/>
        <v/>
      </c>
      <c r="AB31" s="768"/>
      <c r="AC31" s="395"/>
      <c r="AD31" s="809">
        <f t="shared" si="24"/>
        <v>0</v>
      </c>
      <c r="AE31" s="409" t="str">
        <f t="shared" ref="AE31:AE38" si="33">IF(AA31="","",IF(AA31="kW","kW",LEFT(AA31,FIND("/",AA31)-1)))</f>
        <v/>
      </c>
      <c r="AF31" s="809">
        <f t="shared" si="25"/>
        <v>0</v>
      </c>
      <c r="AG31" s="811">
        <f t="shared" si="9"/>
        <v>0</v>
      </c>
      <c r="AH31" s="814">
        <f t="shared" si="10"/>
        <v>0</v>
      </c>
      <c r="AI31" s="381">
        <f t="shared" si="26"/>
        <v>0</v>
      </c>
      <c r="AJ31" s="137">
        <f t="shared" si="11"/>
        <v>1</v>
      </c>
      <c r="AK31" s="137"/>
      <c r="AL31" s="138" t="e">
        <f t="shared" si="12"/>
        <v>#N/A</v>
      </c>
      <c r="AM31" s="138" t="e">
        <f t="shared" si="13"/>
        <v>#N/A</v>
      </c>
      <c r="AN31" s="139" t="e">
        <f t="shared" si="14"/>
        <v>#N/A</v>
      </c>
      <c r="AO31" s="140" t="e">
        <f t="shared" si="15"/>
        <v>#N/A</v>
      </c>
      <c r="AP31" s="139" t="e">
        <f t="shared" si="16"/>
        <v>#N/A</v>
      </c>
      <c r="AQ31" s="796" t="str">
        <f>IF(S31="",O31,IF(S31="◎",$AW$28*T31,IF(S31="○",$AX$28*T31,0)))</f>
        <v/>
      </c>
      <c r="AR31" s="138" t="e">
        <f t="shared" si="17"/>
        <v>#N/A</v>
      </c>
      <c r="AS31" s="138" t="e">
        <f t="shared" si="18"/>
        <v>#N/A</v>
      </c>
      <c r="AT31" s="139" t="e">
        <f t="shared" si="19"/>
        <v>#N/A</v>
      </c>
      <c r="AU31" s="140" t="e">
        <f t="shared" si="20"/>
        <v>#N/A</v>
      </c>
      <c r="AV31" s="139" t="e">
        <f t="shared" si="21"/>
        <v>#N/A</v>
      </c>
      <c r="AW31" s="796" t="e">
        <f t="shared" si="27"/>
        <v>#VALUE!</v>
      </c>
      <c r="AX31" s="188" t="e">
        <f t="shared" si="28"/>
        <v>#VALUE!</v>
      </c>
      <c r="AY31" s="794" t="e">
        <f t="shared" si="29"/>
        <v>#N/A</v>
      </c>
      <c r="AZ31" s="134">
        <f t="shared" si="30"/>
        <v>0</v>
      </c>
      <c r="BA31" s="134">
        <f t="shared" si="31"/>
        <v>1</v>
      </c>
      <c r="BB31" s="134">
        <f t="shared" si="32"/>
        <v>1</v>
      </c>
      <c r="BE31" s="147"/>
      <c r="BF31" s="253"/>
      <c r="BG31" s="253"/>
      <c r="BH31" s="254"/>
      <c r="BI31" s="150"/>
      <c r="BK31" s="147"/>
      <c r="BL31" s="147"/>
      <c r="BN31" s="253"/>
      <c r="BO31" s="150"/>
      <c r="BR31" s="147"/>
      <c r="BS31" s="147"/>
      <c r="BU31" s="254"/>
      <c r="BV31" s="150"/>
    </row>
    <row r="32" spans="1:95" s="134" customFormat="1" ht="21.95" customHeight="1">
      <c r="A32" s="21">
        <v>4</v>
      </c>
      <c r="B32" s="403"/>
      <c r="C32" s="405"/>
      <c r="D32" s="404"/>
      <c r="E32" s="403"/>
      <c r="F32" s="406"/>
      <c r="G32" s="396"/>
      <c r="H32" s="407" t="str">
        <f t="shared" si="4"/>
        <v/>
      </c>
      <c r="I32" s="768"/>
      <c r="J32" s="395"/>
      <c r="K32" s="506"/>
      <c r="L32" s="507"/>
      <c r="M32" s="327">
        <f t="shared" ref="M32:M38" si="34">K32*L32</f>
        <v>0</v>
      </c>
      <c r="N32" s="398"/>
      <c r="O32" s="410" t="str">
        <f t="shared" si="22"/>
        <v/>
      </c>
      <c r="P32" s="812">
        <f t="shared" si="23"/>
        <v>0</v>
      </c>
      <c r="Q32" s="409" t="str">
        <f t="shared" ref="Q32:Q38" si="35">IF(H32="","",IF(H32="kW","kW",LEFT(H32,FIND("/",H32)-1)))</f>
        <v/>
      </c>
      <c r="R32" s="408" t="str">
        <f t="shared" si="7"/>
        <v/>
      </c>
      <c r="S32" s="799"/>
      <c r="T32" s="799"/>
      <c r="U32" s="403"/>
      <c r="V32" s="942"/>
      <c r="W32" s="403"/>
      <c r="X32" s="405"/>
      <c r="Y32" s="406"/>
      <c r="Z32" s="396"/>
      <c r="AA32" s="407" t="str">
        <f t="shared" si="8"/>
        <v/>
      </c>
      <c r="AB32" s="768"/>
      <c r="AC32" s="395"/>
      <c r="AD32" s="809">
        <f t="shared" si="24"/>
        <v>0</v>
      </c>
      <c r="AE32" s="409" t="str">
        <f t="shared" si="33"/>
        <v/>
      </c>
      <c r="AF32" s="809">
        <f t="shared" si="25"/>
        <v>0</v>
      </c>
      <c r="AG32" s="811">
        <f>IFERROR(IF(P32="",AD32*-1,P32-AD32),"")</f>
        <v>0</v>
      </c>
      <c r="AH32" s="814">
        <f>IFERROR(IF(R32="",AF32*-1,R32-AF32),"")</f>
        <v>0</v>
      </c>
      <c r="AI32" s="381">
        <f t="shared" si="26"/>
        <v>0</v>
      </c>
      <c r="AJ32" s="137">
        <f t="shared" si="11"/>
        <v>1</v>
      </c>
      <c r="AK32" s="137"/>
      <c r="AL32" s="138" t="e">
        <f t="shared" si="12"/>
        <v>#N/A</v>
      </c>
      <c r="AM32" s="138" t="e">
        <f t="shared" si="13"/>
        <v>#N/A</v>
      </c>
      <c r="AN32" s="139" t="e">
        <f t="shared" si="14"/>
        <v>#N/A</v>
      </c>
      <c r="AO32" s="140" t="e">
        <f t="shared" si="15"/>
        <v>#N/A</v>
      </c>
      <c r="AP32" s="139" t="e">
        <f t="shared" si="16"/>
        <v>#N/A</v>
      </c>
      <c r="AQ32" s="796" t="str">
        <f>IF(S32="",O32,IF(S32="◎",$AW$28*T32,IF(S32="○",$AX$28*T32,0)))</f>
        <v/>
      </c>
      <c r="AR32" s="138" t="e">
        <f t="shared" si="17"/>
        <v>#N/A</v>
      </c>
      <c r="AS32" s="138" t="e">
        <f t="shared" si="18"/>
        <v>#N/A</v>
      </c>
      <c r="AT32" s="139" t="e">
        <f t="shared" si="19"/>
        <v>#N/A</v>
      </c>
      <c r="AU32" s="140" t="e">
        <f t="shared" si="20"/>
        <v>#N/A</v>
      </c>
      <c r="AV32" s="139" t="e">
        <f t="shared" si="21"/>
        <v>#N/A</v>
      </c>
      <c r="AW32" s="796" t="e">
        <f t="shared" si="27"/>
        <v>#VALUE!</v>
      </c>
      <c r="AX32" s="188" t="e">
        <f t="shared" si="28"/>
        <v>#VALUE!</v>
      </c>
      <c r="AY32" s="794" t="e">
        <f t="shared" si="29"/>
        <v>#N/A</v>
      </c>
      <c r="AZ32" s="134">
        <f t="shared" si="30"/>
        <v>0</v>
      </c>
      <c r="BA32" s="134">
        <f t="shared" si="31"/>
        <v>1</v>
      </c>
      <c r="BB32" s="134">
        <f t="shared" si="32"/>
        <v>1</v>
      </c>
      <c r="BE32" s="147"/>
      <c r="BF32" s="253"/>
      <c r="BG32" s="253"/>
      <c r="BH32" s="254"/>
      <c r="BI32" s="150"/>
      <c r="BK32" s="147"/>
      <c r="BL32" s="147"/>
      <c r="BN32" s="253"/>
      <c r="BO32" s="150"/>
      <c r="BR32" s="147"/>
      <c r="BS32" s="147"/>
      <c r="BU32" s="254"/>
      <c r="BV32" s="150"/>
    </row>
    <row r="33" spans="1:91" s="134" customFormat="1" ht="21.95" customHeight="1">
      <c r="A33" s="21">
        <v>5</v>
      </c>
      <c r="B33" s="403"/>
      <c r="C33" s="405"/>
      <c r="D33" s="404"/>
      <c r="E33" s="403"/>
      <c r="F33" s="406"/>
      <c r="G33" s="396"/>
      <c r="H33" s="407" t="str">
        <f t="shared" si="4"/>
        <v/>
      </c>
      <c r="I33" s="768"/>
      <c r="J33" s="395"/>
      <c r="K33" s="506"/>
      <c r="L33" s="507"/>
      <c r="M33" s="327">
        <f t="shared" si="34"/>
        <v>0</v>
      </c>
      <c r="N33" s="398"/>
      <c r="O33" s="410" t="str">
        <f t="shared" si="22"/>
        <v/>
      </c>
      <c r="P33" s="812">
        <f t="shared" si="23"/>
        <v>0</v>
      </c>
      <c r="Q33" s="409" t="str">
        <f t="shared" si="35"/>
        <v/>
      </c>
      <c r="R33" s="408" t="str">
        <f t="shared" si="7"/>
        <v/>
      </c>
      <c r="S33" s="799"/>
      <c r="T33" s="799"/>
      <c r="U33" s="403"/>
      <c r="V33" s="942"/>
      <c r="W33" s="403"/>
      <c r="X33" s="405"/>
      <c r="Y33" s="406"/>
      <c r="Z33" s="396"/>
      <c r="AA33" s="407" t="str">
        <f t="shared" si="8"/>
        <v/>
      </c>
      <c r="AB33" s="768"/>
      <c r="AC33" s="395"/>
      <c r="AD33" s="809">
        <f t="shared" si="24"/>
        <v>0</v>
      </c>
      <c r="AE33" s="409" t="str">
        <f t="shared" si="33"/>
        <v/>
      </c>
      <c r="AF33" s="809">
        <f t="shared" si="25"/>
        <v>0</v>
      </c>
      <c r="AG33" s="811">
        <f t="shared" ref="AG33:AG38" si="36">IFERROR(IF(P33="",AD33*-1,P33-AD33),"")</f>
        <v>0</v>
      </c>
      <c r="AH33" s="814">
        <f t="shared" ref="AH33:AH38" si="37">IFERROR(IF(R33="",AF33*-1,R33-AF33),"")</f>
        <v>0</v>
      </c>
      <c r="AI33" s="381">
        <f t="shared" si="26"/>
        <v>0</v>
      </c>
      <c r="AJ33" s="137">
        <f t="shared" si="11"/>
        <v>1</v>
      </c>
      <c r="AK33" s="137"/>
      <c r="AL33" s="138" t="e">
        <f t="shared" si="12"/>
        <v>#N/A</v>
      </c>
      <c r="AM33" s="138" t="e">
        <f t="shared" si="13"/>
        <v>#N/A</v>
      </c>
      <c r="AN33" s="139" t="e">
        <f t="shared" si="14"/>
        <v>#N/A</v>
      </c>
      <c r="AO33" s="140" t="e">
        <f t="shared" si="15"/>
        <v>#N/A</v>
      </c>
      <c r="AP33" s="139" t="e">
        <f t="shared" si="16"/>
        <v>#N/A</v>
      </c>
      <c r="AQ33" s="796" t="str">
        <f t="shared" ref="AQ33:AQ38" si="38">IF(S33="",O33,IF(S33="◎",$AW$28*T33,IF(S33="○",$AX$28*T33,0)))</f>
        <v/>
      </c>
      <c r="AR33" s="138" t="e">
        <f t="shared" si="17"/>
        <v>#N/A</v>
      </c>
      <c r="AS33" s="138" t="e">
        <f t="shared" si="18"/>
        <v>#N/A</v>
      </c>
      <c r="AT33" s="139" t="e">
        <f t="shared" si="19"/>
        <v>#N/A</v>
      </c>
      <c r="AU33" s="140" t="e">
        <f t="shared" si="20"/>
        <v>#N/A</v>
      </c>
      <c r="AV33" s="139" t="e">
        <f t="shared" si="21"/>
        <v>#N/A</v>
      </c>
      <c r="AW33" s="796" t="e">
        <f t="shared" si="27"/>
        <v>#VALUE!</v>
      </c>
      <c r="AX33" s="188" t="e">
        <f t="shared" si="28"/>
        <v>#VALUE!</v>
      </c>
      <c r="AY33" s="794" t="e">
        <f t="shared" si="29"/>
        <v>#N/A</v>
      </c>
      <c r="AZ33" s="134">
        <f t="shared" si="30"/>
        <v>0</v>
      </c>
      <c r="BA33" s="134">
        <f t="shared" si="31"/>
        <v>1</v>
      </c>
      <c r="BB33" s="134">
        <f t="shared" si="32"/>
        <v>1</v>
      </c>
      <c r="BE33" s="147"/>
      <c r="BF33" s="254"/>
      <c r="BG33" s="254"/>
      <c r="BH33" s="254"/>
      <c r="BI33" s="150"/>
      <c r="BK33" s="147"/>
      <c r="BL33" s="147"/>
      <c r="BN33" s="253"/>
      <c r="BO33" s="150"/>
      <c r="BR33" s="147"/>
      <c r="BS33" s="147"/>
      <c r="BU33" s="254"/>
      <c r="BV33" s="150"/>
    </row>
    <row r="34" spans="1:91" s="134" customFormat="1" ht="21.95" customHeight="1">
      <c r="A34" s="21">
        <v>6</v>
      </c>
      <c r="B34" s="403"/>
      <c r="C34" s="405"/>
      <c r="D34" s="404"/>
      <c r="E34" s="403"/>
      <c r="F34" s="406"/>
      <c r="G34" s="396"/>
      <c r="H34" s="407" t="str">
        <f t="shared" si="4"/>
        <v/>
      </c>
      <c r="I34" s="768"/>
      <c r="J34" s="395"/>
      <c r="K34" s="506"/>
      <c r="L34" s="507"/>
      <c r="M34" s="327">
        <f t="shared" si="34"/>
        <v>0</v>
      </c>
      <c r="N34" s="398"/>
      <c r="O34" s="410" t="str">
        <f t="shared" si="22"/>
        <v/>
      </c>
      <c r="P34" s="812">
        <f t="shared" si="23"/>
        <v>0</v>
      </c>
      <c r="Q34" s="409" t="str">
        <f t="shared" si="35"/>
        <v/>
      </c>
      <c r="R34" s="408" t="str">
        <f t="shared" si="7"/>
        <v/>
      </c>
      <c r="S34" s="799"/>
      <c r="T34" s="799"/>
      <c r="U34" s="403"/>
      <c r="V34" s="942"/>
      <c r="W34" s="403"/>
      <c r="X34" s="405"/>
      <c r="Y34" s="406"/>
      <c r="Z34" s="396"/>
      <c r="AA34" s="407" t="str">
        <f t="shared" si="8"/>
        <v/>
      </c>
      <c r="AB34" s="768"/>
      <c r="AC34" s="395"/>
      <c r="AD34" s="809">
        <f t="shared" si="24"/>
        <v>0</v>
      </c>
      <c r="AE34" s="409" t="str">
        <f t="shared" si="33"/>
        <v/>
      </c>
      <c r="AF34" s="809">
        <f t="shared" si="25"/>
        <v>0</v>
      </c>
      <c r="AG34" s="811">
        <f t="shared" si="36"/>
        <v>0</v>
      </c>
      <c r="AH34" s="814">
        <f t="shared" si="37"/>
        <v>0</v>
      </c>
      <c r="AI34" s="381">
        <f t="shared" si="26"/>
        <v>0</v>
      </c>
      <c r="AJ34" s="137">
        <f t="shared" si="11"/>
        <v>1</v>
      </c>
      <c r="AK34" s="137"/>
      <c r="AL34" s="138" t="e">
        <f t="shared" si="12"/>
        <v>#N/A</v>
      </c>
      <c r="AM34" s="138" t="e">
        <f t="shared" si="13"/>
        <v>#N/A</v>
      </c>
      <c r="AN34" s="139" t="e">
        <f t="shared" si="14"/>
        <v>#N/A</v>
      </c>
      <c r="AO34" s="140" t="e">
        <f t="shared" si="15"/>
        <v>#N/A</v>
      </c>
      <c r="AP34" s="139" t="e">
        <f t="shared" si="16"/>
        <v>#N/A</v>
      </c>
      <c r="AQ34" s="796" t="str">
        <f t="shared" si="38"/>
        <v/>
      </c>
      <c r="AR34" s="138" t="e">
        <f t="shared" si="17"/>
        <v>#N/A</v>
      </c>
      <c r="AS34" s="138" t="e">
        <f t="shared" si="18"/>
        <v>#N/A</v>
      </c>
      <c r="AT34" s="139" t="e">
        <f t="shared" si="19"/>
        <v>#N/A</v>
      </c>
      <c r="AU34" s="140" t="e">
        <f t="shared" si="20"/>
        <v>#N/A</v>
      </c>
      <c r="AV34" s="139" t="e">
        <f t="shared" si="21"/>
        <v>#N/A</v>
      </c>
      <c r="AW34" s="796" t="e">
        <f t="shared" si="27"/>
        <v>#VALUE!</v>
      </c>
      <c r="AX34" s="188" t="e">
        <f t="shared" si="28"/>
        <v>#VALUE!</v>
      </c>
      <c r="AY34" s="794" t="e">
        <f t="shared" si="29"/>
        <v>#N/A</v>
      </c>
      <c r="AZ34" s="134">
        <f t="shared" si="30"/>
        <v>0</v>
      </c>
      <c r="BA34" s="134">
        <f t="shared" si="31"/>
        <v>1</v>
      </c>
      <c r="BB34" s="134">
        <f t="shared" si="32"/>
        <v>1</v>
      </c>
      <c r="BE34" s="147"/>
      <c r="BF34" s="254"/>
      <c r="BG34" s="253"/>
      <c r="BH34" s="254"/>
      <c r="BI34" s="150"/>
      <c r="BK34" s="147"/>
      <c r="BL34" s="147"/>
      <c r="BN34" s="253"/>
      <c r="BO34" s="150"/>
      <c r="BR34" s="147"/>
      <c r="BS34" s="147"/>
      <c r="BU34" s="254"/>
      <c r="BV34" s="150"/>
    </row>
    <row r="35" spans="1:91" s="134" customFormat="1" ht="21.95" customHeight="1">
      <c r="A35" s="21">
        <v>7</v>
      </c>
      <c r="B35" s="403"/>
      <c r="C35" s="405"/>
      <c r="D35" s="404"/>
      <c r="E35" s="403"/>
      <c r="F35" s="406"/>
      <c r="G35" s="396"/>
      <c r="H35" s="407" t="str">
        <f t="shared" si="4"/>
        <v/>
      </c>
      <c r="I35" s="768"/>
      <c r="J35" s="395"/>
      <c r="K35" s="506"/>
      <c r="L35" s="507"/>
      <c r="M35" s="327">
        <f t="shared" si="34"/>
        <v>0</v>
      </c>
      <c r="N35" s="398"/>
      <c r="O35" s="410" t="str">
        <f t="shared" si="22"/>
        <v/>
      </c>
      <c r="P35" s="812">
        <f t="shared" si="23"/>
        <v>0</v>
      </c>
      <c r="Q35" s="409" t="str">
        <f t="shared" si="35"/>
        <v/>
      </c>
      <c r="R35" s="408" t="str">
        <f t="shared" si="7"/>
        <v/>
      </c>
      <c r="S35" s="799"/>
      <c r="T35" s="799"/>
      <c r="U35" s="403"/>
      <c r="V35" s="942"/>
      <c r="W35" s="403"/>
      <c r="X35" s="405"/>
      <c r="Y35" s="406"/>
      <c r="Z35" s="396"/>
      <c r="AA35" s="407" t="str">
        <f t="shared" si="8"/>
        <v/>
      </c>
      <c r="AB35" s="768"/>
      <c r="AC35" s="395"/>
      <c r="AD35" s="809">
        <f t="shared" si="24"/>
        <v>0</v>
      </c>
      <c r="AE35" s="409" t="str">
        <f t="shared" si="33"/>
        <v/>
      </c>
      <c r="AF35" s="809">
        <f t="shared" si="25"/>
        <v>0</v>
      </c>
      <c r="AG35" s="811">
        <f t="shared" si="36"/>
        <v>0</v>
      </c>
      <c r="AH35" s="814">
        <f t="shared" si="37"/>
        <v>0</v>
      </c>
      <c r="AI35" s="381">
        <f t="shared" si="26"/>
        <v>0</v>
      </c>
      <c r="AJ35" s="137">
        <f t="shared" si="11"/>
        <v>1</v>
      </c>
      <c r="AK35" s="137"/>
      <c r="AL35" s="138" t="e">
        <f t="shared" si="12"/>
        <v>#N/A</v>
      </c>
      <c r="AM35" s="138" t="e">
        <f t="shared" si="13"/>
        <v>#N/A</v>
      </c>
      <c r="AN35" s="139" t="e">
        <f t="shared" si="14"/>
        <v>#N/A</v>
      </c>
      <c r="AO35" s="140" t="e">
        <f t="shared" si="15"/>
        <v>#N/A</v>
      </c>
      <c r="AP35" s="139" t="e">
        <f t="shared" si="16"/>
        <v>#N/A</v>
      </c>
      <c r="AQ35" s="796" t="str">
        <f t="shared" si="38"/>
        <v/>
      </c>
      <c r="AR35" s="138" t="e">
        <f t="shared" si="17"/>
        <v>#N/A</v>
      </c>
      <c r="AS35" s="138" t="e">
        <f t="shared" si="18"/>
        <v>#N/A</v>
      </c>
      <c r="AT35" s="139" t="e">
        <f t="shared" si="19"/>
        <v>#N/A</v>
      </c>
      <c r="AU35" s="140" t="e">
        <f t="shared" si="20"/>
        <v>#N/A</v>
      </c>
      <c r="AV35" s="139" t="e">
        <f t="shared" si="21"/>
        <v>#N/A</v>
      </c>
      <c r="AW35" s="796" t="e">
        <f t="shared" si="27"/>
        <v>#VALUE!</v>
      </c>
      <c r="AX35" s="188" t="e">
        <f t="shared" si="28"/>
        <v>#VALUE!</v>
      </c>
      <c r="AY35" s="794" t="e">
        <f t="shared" si="29"/>
        <v>#N/A</v>
      </c>
      <c r="AZ35" s="134">
        <f t="shared" si="30"/>
        <v>0</v>
      </c>
      <c r="BA35" s="134">
        <f t="shared" si="31"/>
        <v>1</v>
      </c>
      <c r="BB35" s="134">
        <f t="shared" si="32"/>
        <v>1</v>
      </c>
      <c r="BE35" s="147"/>
      <c r="BF35" s="253"/>
      <c r="BG35" s="253"/>
      <c r="BH35" s="254"/>
      <c r="BI35" s="150"/>
      <c r="BK35" s="147"/>
      <c r="BL35" s="147"/>
      <c r="BN35" s="253"/>
      <c r="BO35" s="150"/>
      <c r="BR35" s="147"/>
      <c r="BS35" s="147"/>
      <c r="BU35" s="254"/>
      <c r="BV35" s="150"/>
    </row>
    <row r="36" spans="1:91" s="134" customFormat="1" ht="21.95" customHeight="1">
      <c r="A36" s="21">
        <v>8</v>
      </c>
      <c r="B36" s="403"/>
      <c r="C36" s="405"/>
      <c r="D36" s="404"/>
      <c r="E36" s="403"/>
      <c r="F36" s="406"/>
      <c r="G36" s="396"/>
      <c r="H36" s="407" t="str">
        <f t="shared" si="4"/>
        <v/>
      </c>
      <c r="I36" s="768"/>
      <c r="J36" s="395"/>
      <c r="K36" s="506"/>
      <c r="L36" s="507"/>
      <c r="M36" s="327">
        <f t="shared" si="34"/>
        <v>0</v>
      </c>
      <c r="N36" s="398"/>
      <c r="O36" s="410" t="str">
        <f t="shared" si="22"/>
        <v/>
      </c>
      <c r="P36" s="812">
        <f t="shared" si="23"/>
        <v>0</v>
      </c>
      <c r="Q36" s="409" t="str">
        <f t="shared" si="35"/>
        <v/>
      </c>
      <c r="R36" s="408" t="str">
        <f t="shared" si="7"/>
        <v/>
      </c>
      <c r="S36" s="799"/>
      <c r="T36" s="799"/>
      <c r="U36" s="403"/>
      <c r="V36" s="942"/>
      <c r="W36" s="403"/>
      <c r="X36" s="405"/>
      <c r="Y36" s="406"/>
      <c r="Z36" s="396"/>
      <c r="AA36" s="407" t="str">
        <f t="shared" si="8"/>
        <v/>
      </c>
      <c r="AB36" s="768"/>
      <c r="AC36" s="395"/>
      <c r="AD36" s="809">
        <f t="shared" si="24"/>
        <v>0</v>
      </c>
      <c r="AE36" s="409" t="str">
        <f t="shared" si="33"/>
        <v/>
      </c>
      <c r="AF36" s="809">
        <f t="shared" si="25"/>
        <v>0</v>
      </c>
      <c r="AG36" s="811">
        <f t="shared" si="36"/>
        <v>0</v>
      </c>
      <c r="AH36" s="814">
        <f t="shared" si="37"/>
        <v>0</v>
      </c>
      <c r="AI36" s="381">
        <f t="shared" si="26"/>
        <v>0</v>
      </c>
      <c r="AJ36" s="137">
        <f t="shared" si="11"/>
        <v>1</v>
      </c>
      <c r="AK36" s="137"/>
      <c r="AL36" s="138" t="e">
        <f t="shared" si="12"/>
        <v>#N/A</v>
      </c>
      <c r="AM36" s="138" t="e">
        <f t="shared" si="13"/>
        <v>#N/A</v>
      </c>
      <c r="AN36" s="139" t="e">
        <f t="shared" si="14"/>
        <v>#N/A</v>
      </c>
      <c r="AO36" s="140" t="e">
        <f t="shared" si="15"/>
        <v>#N/A</v>
      </c>
      <c r="AP36" s="139" t="e">
        <f t="shared" si="16"/>
        <v>#N/A</v>
      </c>
      <c r="AQ36" s="796" t="str">
        <f t="shared" si="38"/>
        <v/>
      </c>
      <c r="AR36" s="138" t="e">
        <f t="shared" si="17"/>
        <v>#N/A</v>
      </c>
      <c r="AS36" s="138" t="e">
        <f t="shared" si="18"/>
        <v>#N/A</v>
      </c>
      <c r="AT36" s="139" t="e">
        <f t="shared" si="19"/>
        <v>#N/A</v>
      </c>
      <c r="AU36" s="140" t="e">
        <f t="shared" si="20"/>
        <v>#N/A</v>
      </c>
      <c r="AV36" s="139" t="e">
        <f t="shared" si="21"/>
        <v>#N/A</v>
      </c>
      <c r="AW36" s="796" t="e">
        <f t="shared" si="27"/>
        <v>#VALUE!</v>
      </c>
      <c r="AX36" s="188" t="e">
        <f t="shared" si="28"/>
        <v>#VALUE!</v>
      </c>
      <c r="AY36" s="794" t="e">
        <f t="shared" si="29"/>
        <v>#N/A</v>
      </c>
      <c r="AZ36" s="134">
        <f t="shared" si="30"/>
        <v>0</v>
      </c>
      <c r="BA36" s="134">
        <f t="shared" si="31"/>
        <v>1</v>
      </c>
      <c r="BB36" s="134">
        <f t="shared" si="32"/>
        <v>1</v>
      </c>
      <c r="BE36" s="147"/>
      <c r="BF36" s="254"/>
      <c r="BG36" s="254"/>
      <c r="BH36" s="254"/>
      <c r="BI36" s="150"/>
      <c r="BK36" s="147"/>
      <c r="BL36" s="147"/>
      <c r="BN36" s="253"/>
      <c r="BO36" s="150"/>
      <c r="BR36" s="147"/>
      <c r="BS36" s="147"/>
      <c r="BU36" s="254"/>
      <c r="BV36" s="150"/>
    </row>
    <row r="37" spans="1:91" s="134" customFormat="1" ht="21.95" customHeight="1">
      <c r="A37" s="21">
        <v>9</v>
      </c>
      <c r="B37" s="403"/>
      <c r="C37" s="405"/>
      <c r="D37" s="404"/>
      <c r="E37" s="403"/>
      <c r="F37" s="406"/>
      <c r="G37" s="396"/>
      <c r="H37" s="407" t="str">
        <f t="shared" si="4"/>
        <v/>
      </c>
      <c r="I37" s="768"/>
      <c r="J37" s="395"/>
      <c r="K37" s="506"/>
      <c r="L37" s="507"/>
      <c r="M37" s="327">
        <f t="shared" si="34"/>
        <v>0</v>
      </c>
      <c r="N37" s="398"/>
      <c r="O37" s="410" t="str">
        <f t="shared" si="22"/>
        <v/>
      </c>
      <c r="P37" s="812">
        <f t="shared" si="23"/>
        <v>0</v>
      </c>
      <c r="Q37" s="409" t="str">
        <f t="shared" si="35"/>
        <v/>
      </c>
      <c r="R37" s="408" t="str">
        <f t="shared" si="7"/>
        <v/>
      </c>
      <c r="S37" s="799"/>
      <c r="T37" s="799"/>
      <c r="U37" s="403"/>
      <c r="V37" s="942"/>
      <c r="W37" s="403"/>
      <c r="X37" s="405"/>
      <c r="Y37" s="406"/>
      <c r="Z37" s="396"/>
      <c r="AA37" s="407" t="str">
        <f t="shared" si="8"/>
        <v/>
      </c>
      <c r="AB37" s="768"/>
      <c r="AC37" s="395"/>
      <c r="AD37" s="809">
        <f t="shared" si="24"/>
        <v>0</v>
      </c>
      <c r="AE37" s="409" t="str">
        <f t="shared" si="33"/>
        <v/>
      </c>
      <c r="AF37" s="809">
        <f t="shared" si="25"/>
        <v>0</v>
      </c>
      <c r="AG37" s="811">
        <f t="shared" si="36"/>
        <v>0</v>
      </c>
      <c r="AH37" s="814">
        <f t="shared" si="37"/>
        <v>0</v>
      </c>
      <c r="AI37" s="381">
        <f t="shared" si="26"/>
        <v>0</v>
      </c>
      <c r="AJ37" s="137">
        <f t="shared" si="11"/>
        <v>1</v>
      </c>
      <c r="AK37" s="137"/>
      <c r="AL37" s="138" t="e">
        <f t="shared" si="12"/>
        <v>#N/A</v>
      </c>
      <c r="AM37" s="138" t="e">
        <f t="shared" si="13"/>
        <v>#N/A</v>
      </c>
      <c r="AN37" s="139" t="e">
        <f t="shared" si="14"/>
        <v>#N/A</v>
      </c>
      <c r="AO37" s="140" t="e">
        <f t="shared" si="15"/>
        <v>#N/A</v>
      </c>
      <c r="AP37" s="139" t="e">
        <f t="shared" si="16"/>
        <v>#N/A</v>
      </c>
      <c r="AQ37" s="796" t="str">
        <f t="shared" si="38"/>
        <v/>
      </c>
      <c r="AR37" s="138" t="e">
        <f t="shared" si="17"/>
        <v>#N/A</v>
      </c>
      <c r="AS37" s="138" t="e">
        <f t="shared" si="18"/>
        <v>#N/A</v>
      </c>
      <c r="AT37" s="139" t="e">
        <f t="shared" si="19"/>
        <v>#N/A</v>
      </c>
      <c r="AU37" s="140" t="e">
        <f t="shared" si="20"/>
        <v>#N/A</v>
      </c>
      <c r="AV37" s="139" t="e">
        <f t="shared" si="21"/>
        <v>#N/A</v>
      </c>
      <c r="AW37" s="796" t="e">
        <f t="shared" si="27"/>
        <v>#VALUE!</v>
      </c>
      <c r="AX37" s="188" t="e">
        <f t="shared" si="28"/>
        <v>#VALUE!</v>
      </c>
      <c r="AY37" s="794" t="e">
        <f t="shared" si="29"/>
        <v>#N/A</v>
      </c>
      <c r="AZ37" s="134">
        <f t="shared" si="30"/>
        <v>0</v>
      </c>
      <c r="BA37" s="134">
        <f t="shared" si="31"/>
        <v>1</v>
      </c>
      <c r="BB37" s="134">
        <f t="shared" si="32"/>
        <v>1</v>
      </c>
      <c r="BE37" s="147"/>
      <c r="BF37" s="254"/>
      <c r="BG37" s="254"/>
      <c r="BH37" s="254"/>
      <c r="BI37" s="150"/>
      <c r="BK37" s="147"/>
      <c r="BL37" s="147"/>
      <c r="BN37" s="253"/>
      <c r="BO37" s="150"/>
      <c r="BR37" s="147"/>
      <c r="BS37" s="147"/>
      <c r="BU37" s="254"/>
      <c r="BV37" s="150"/>
    </row>
    <row r="38" spans="1:91" s="134" customFormat="1" ht="21.95" customHeight="1">
      <c r="A38" s="21">
        <v>10</v>
      </c>
      <c r="B38" s="403"/>
      <c r="C38" s="405"/>
      <c r="D38" s="404"/>
      <c r="E38" s="403"/>
      <c r="F38" s="406"/>
      <c r="G38" s="396"/>
      <c r="H38" s="407" t="str">
        <f t="shared" si="4"/>
        <v/>
      </c>
      <c r="I38" s="768"/>
      <c r="J38" s="395"/>
      <c r="K38" s="506"/>
      <c r="L38" s="507"/>
      <c r="M38" s="327">
        <f t="shared" si="34"/>
        <v>0</v>
      </c>
      <c r="N38" s="398"/>
      <c r="O38" s="410" t="str">
        <f t="shared" si="22"/>
        <v/>
      </c>
      <c r="P38" s="812">
        <f t="shared" si="23"/>
        <v>0</v>
      </c>
      <c r="Q38" s="409" t="str">
        <f t="shared" si="35"/>
        <v/>
      </c>
      <c r="R38" s="408" t="str">
        <f t="shared" si="7"/>
        <v/>
      </c>
      <c r="S38" s="799"/>
      <c r="T38" s="799"/>
      <c r="U38" s="403"/>
      <c r="V38" s="942"/>
      <c r="W38" s="403"/>
      <c r="X38" s="405"/>
      <c r="Y38" s="406"/>
      <c r="Z38" s="396"/>
      <c r="AA38" s="407" t="str">
        <f t="shared" si="8"/>
        <v/>
      </c>
      <c r="AB38" s="768"/>
      <c r="AC38" s="395"/>
      <c r="AD38" s="809">
        <f t="shared" si="24"/>
        <v>0</v>
      </c>
      <c r="AE38" s="409" t="str">
        <f t="shared" si="33"/>
        <v/>
      </c>
      <c r="AF38" s="809">
        <f t="shared" si="25"/>
        <v>0</v>
      </c>
      <c r="AG38" s="812">
        <f t="shared" si="36"/>
        <v>0</v>
      </c>
      <c r="AH38" s="814">
        <f t="shared" si="37"/>
        <v>0</v>
      </c>
      <c r="AI38" s="381">
        <f t="shared" si="26"/>
        <v>0</v>
      </c>
      <c r="AJ38" s="137">
        <f t="shared" si="11"/>
        <v>1</v>
      </c>
      <c r="AK38" s="137"/>
      <c r="AL38" s="138" t="e">
        <f t="shared" si="12"/>
        <v>#N/A</v>
      </c>
      <c r="AM38" s="138" t="e">
        <f t="shared" si="13"/>
        <v>#N/A</v>
      </c>
      <c r="AN38" s="139" t="e">
        <f t="shared" si="14"/>
        <v>#N/A</v>
      </c>
      <c r="AO38" s="140" t="e">
        <f t="shared" si="15"/>
        <v>#N/A</v>
      </c>
      <c r="AP38" s="139" t="e">
        <f t="shared" si="16"/>
        <v>#N/A</v>
      </c>
      <c r="AQ38" s="796" t="str">
        <f t="shared" si="38"/>
        <v/>
      </c>
      <c r="AR38" s="138" t="e">
        <f t="shared" si="17"/>
        <v>#N/A</v>
      </c>
      <c r="AS38" s="138" t="e">
        <f t="shared" si="18"/>
        <v>#N/A</v>
      </c>
      <c r="AT38" s="139" t="e">
        <f t="shared" si="19"/>
        <v>#N/A</v>
      </c>
      <c r="AU38" s="140" t="e">
        <f t="shared" si="20"/>
        <v>#N/A</v>
      </c>
      <c r="AV38" s="139" t="e">
        <f t="shared" si="21"/>
        <v>#N/A</v>
      </c>
      <c r="AW38" s="796" t="e">
        <f t="shared" si="27"/>
        <v>#VALUE!</v>
      </c>
      <c r="AX38" s="188" t="e">
        <f t="shared" si="28"/>
        <v>#VALUE!</v>
      </c>
      <c r="AY38" s="794" t="e">
        <f t="shared" si="29"/>
        <v>#N/A</v>
      </c>
      <c r="AZ38" s="134">
        <f>IFERROR(O38/BA38,0)-IFERROR(AY38,0)</f>
        <v>0</v>
      </c>
      <c r="BA38" s="134">
        <f t="shared" si="31"/>
        <v>1</v>
      </c>
      <c r="BB38" s="134">
        <f t="shared" si="32"/>
        <v>1</v>
      </c>
      <c r="BE38" s="147"/>
      <c r="BF38" s="253"/>
      <c r="BG38" s="253"/>
      <c r="BH38" s="254"/>
      <c r="BI38" s="150"/>
      <c r="BK38" s="147"/>
      <c r="BL38" s="147"/>
      <c r="BN38" s="253"/>
      <c r="BO38" s="150"/>
      <c r="BR38" s="147"/>
      <c r="BS38" s="147"/>
      <c r="BU38" s="254"/>
      <c r="BV38" s="150"/>
    </row>
    <row r="39" spans="1:91" s="134" customFormat="1" ht="18" customHeight="1">
      <c r="A39" s="133"/>
      <c r="B39" s="133"/>
      <c r="C39" s="133"/>
      <c r="D39" s="189"/>
      <c r="E39" s="189"/>
      <c r="G39" s="189"/>
      <c r="H39" s="189"/>
      <c r="I39" s="172"/>
      <c r="J39" s="172"/>
      <c r="K39" s="172"/>
      <c r="L39" s="172"/>
      <c r="M39" s="172"/>
      <c r="N39" s="172"/>
      <c r="O39" s="172"/>
      <c r="P39" s="172"/>
      <c r="Q39" s="172"/>
      <c r="R39" s="172"/>
      <c r="S39" s="172"/>
      <c r="T39" s="172"/>
      <c r="U39" s="172"/>
      <c r="V39" s="172"/>
      <c r="W39" s="172"/>
      <c r="X39" s="172"/>
      <c r="Z39" s="172"/>
      <c r="AA39" s="172"/>
      <c r="AB39" s="172"/>
      <c r="AC39" s="172"/>
      <c r="AD39" s="172"/>
      <c r="AE39" s="172"/>
      <c r="AF39" s="172"/>
      <c r="AG39" s="330"/>
      <c r="AH39" s="330"/>
      <c r="AI39" s="136"/>
      <c r="AJ39" s="137"/>
      <c r="AK39" s="137"/>
      <c r="AL39" s="138" t="e">
        <f>VLOOKUP(#REF!,$BB$4:$BG$19,2,FALSE)</f>
        <v>#REF!</v>
      </c>
      <c r="AM39" s="138" t="e">
        <f>VLOOKUP(#REF!,$BB$4:$BG$19,3,FALSE)</f>
        <v>#REF!</v>
      </c>
      <c r="AN39" s="139" t="e">
        <f>IF(#REF!="",VLOOKUP(#REF!,$BB$4:$BG$19,3,FALSE),VLOOKUP(#REF!,$BB$4:$BG$19,2,FALSE))</f>
        <v>#REF!</v>
      </c>
      <c r="AO39" s="140" t="e">
        <f>#REF!*AL39*0.0258</f>
        <v>#REF!</v>
      </c>
      <c r="AP39" s="139" t="e">
        <f>VLOOKUP(#REF!,$BB$4:$BH$19,7,FALSE)</f>
        <v>#REF!</v>
      </c>
      <c r="AQ39" s="139"/>
      <c r="AR39" s="138" t="e">
        <f>VLOOKUP(#REF!,$BB$4:$BG$19,2,FALSE)</f>
        <v>#REF!</v>
      </c>
      <c r="AS39" s="138" t="e">
        <f>VLOOKUP(#REF!,$BB$4:$BG$19,3,FALSE)</f>
        <v>#REF!</v>
      </c>
      <c r="AT39" s="139" t="e">
        <f>IF(#REF!="",VLOOKUP(#REF!,$BB$4:$BG$19,3,FALSE),VLOOKUP(#REF!,$BB$4:$BG$19,2,FALSE))</f>
        <v>#REF!</v>
      </c>
      <c r="AU39" s="140" t="e">
        <f>#REF!*AR39*0.0258</f>
        <v>#REF!</v>
      </c>
      <c r="AV39" s="139" t="e">
        <f>VLOOKUP(#REF!,$BB$4:$BH$19,7,FALSE)</f>
        <v>#REF!</v>
      </c>
      <c r="AW39" s="139"/>
      <c r="AX39" s="139"/>
      <c r="BB39" s="189">
        <f>IF(COUNTA(F29:F38)=COUNTIF(F29:F38,F29),1,0)</f>
        <v>1</v>
      </c>
      <c r="BE39" s="147"/>
      <c r="BF39" s="253"/>
      <c r="BG39" s="254"/>
      <c r="BH39" s="254"/>
      <c r="BI39" s="150"/>
      <c r="BL39" s="147"/>
      <c r="BN39" s="253"/>
      <c r="BO39" s="150"/>
      <c r="BR39" s="147"/>
      <c r="BS39" s="147"/>
      <c r="BU39" s="254"/>
      <c r="BV39" s="150"/>
    </row>
    <row r="40" spans="1:91" s="134" customFormat="1" ht="18" customHeight="1">
      <c r="A40" s="133"/>
      <c r="B40" s="133"/>
      <c r="C40" s="176"/>
      <c r="D40" s="176"/>
      <c r="E40" s="176"/>
      <c r="F40" s="176"/>
      <c r="G40" s="176"/>
      <c r="H40" s="176"/>
      <c r="I40" s="175"/>
      <c r="J40" s="175"/>
      <c r="K40" s="175"/>
      <c r="L40" s="175"/>
      <c r="M40" s="175"/>
      <c r="N40" s="175"/>
      <c r="O40" s="175"/>
      <c r="P40" s="133"/>
      <c r="Q40" s="133"/>
      <c r="R40" s="133"/>
      <c r="S40" s="133"/>
      <c r="T40" s="133"/>
      <c r="U40" s="177"/>
      <c r="V40" s="177"/>
      <c r="W40" s="177"/>
      <c r="X40" s="177"/>
      <c r="Y40" s="177"/>
      <c r="Z40" s="177"/>
      <c r="AA40" s="177"/>
      <c r="AB40" s="177"/>
      <c r="AC40" s="175"/>
      <c r="AD40" s="175"/>
      <c r="AE40" s="175"/>
      <c r="AF40" s="175"/>
      <c r="AG40" s="175"/>
      <c r="AH40" s="175"/>
      <c r="AI40" s="136"/>
      <c r="AJ40" s="137"/>
      <c r="AK40" s="137"/>
      <c r="AL40" s="138" t="e">
        <f>VLOOKUP(#REF!,$BB$4:$BG$19,2,FALSE)</f>
        <v>#REF!</v>
      </c>
      <c r="AM40" s="138" t="e">
        <f>VLOOKUP(#REF!,$BB$4:$BG$19,3,FALSE)</f>
        <v>#REF!</v>
      </c>
      <c r="AN40" s="139" t="e">
        <f>IF(#REF!="",VLOOKUP(#REF!,$BB$4:$BG$19,3,FALSE),VLOOKUP(#REF!,$BB$4:$BG$19,2,FALSE))</f>
        <v>#REF!</v>
      </c>
      <c r="AO40" s="140" t="e">
        <f>#REF!*AL40*0.0258</f>
        <v>#REF!</v>
      </c>
      <c r="AP40" s="139" t="e">
        <f>VLOOKUP(#REF!,$BB$4:$BH$19,7,FALSE)</f>
        <v>#REF!</v>
      </c>
      <c r="AQ40" s="139"/>
      <c r="AR40" s="138" t="e">
        <f>VLOOKUP(#REF!,$BB$4:$BG$19,2,FALSE)</f>
        <v>#REF!</v>
      </c>
      <c r="AS40" s="138" t="e">
        <f>VLOOKUP(#REF!,$BB$4:$BG$19,3,FALSE)</f>
        <v>#REF!</v>
      </c>
      <c r="AT40" s="139" t="e">
        <f>IF(#REF!="",VLOOKUP(#REF!,$BB$4:$BG$19,3,FALSE),VLOOKUP(#REF!,$BB$4:$BG$19,2,FALSE))</f>
        <v>#REF!</v>
      </c>
      <c r="AU40" s="140" t="e">
        <f>#REF!*AR40*0.0258</f>
        <v>#REF!</v>
      </c>
      <c r="AV40" s="139" t="e">
        <f>VLOOKUP(#REF!,$BB$4:$BH$19,7,FALSE)</f>
        <v>#REF!</v>
      </c>
      <c r="AW40" s="139"/>
      <c r="AX40" s="139"/>
      <c r="BB40" s="189">
        <f>IF(COUNTA(Y29:Y38)=COUNTIF(Y29:Y38,Y29),1,0)</f>
        <v>1</v>
      </c>
      <c r="BE40" s="147"/>
      <c r="BF40" s="254"/>
      <c r="BG40" s="254"/>
      <c r="BH40" s="254"/>
      <c r="BL40" s="147"/>
      <c r="BN40" s="253"/>
      <c r="BO40" s="150"/>
      <c r="BR40" s="147"/>
      <c r="BS40" s="147"/>
      <c r="BU40" s="254"/>
      <c r="BV40" s="150"/>
    </row>
    <row r="41" spans="1:91" s="134" customFormat="1" ht="18" customHeight="1">
      <c r="A41" s="182"/>
      <c r="B41" s="183"/>
      <c r="C41" s="175"/>
      <c r="D41" s="175"/>
      <c r="E41" s="175"/>
      <c r="F41" s="175"/>
      <c r="G41" s="175"/>
      <c r="H41" s="175"/>
      <c r="I41" s="175"/>
      <c r="J41" s="175"/>
      <c r="K41" s="175"/>
      <c r="L41" s="175"/>
      <c r="M41" s="175"/>
      <c r="N41" s="175"/>
      <c r="O41" s="175"/>
      <c r="U41" s="175"/>
      <c r="V41" s="175"/>
      <c r="W41" s="175"/>
      <c r="X41" s="175"/>
      <c r="Y41" s="175"/>
      <c r="Z41" s="175"/>
      <c r="AA41" s="175"/>
      <c r="AB41" s="175"/>
      <c r="AC41" s="175"/>
      <c r="AD41" s="175"/>
      <c r="AE41" s="175"/>
      <c r="AF41" s="175"/>
      <c r="AG41" s="175"/>
      <c r="AI41" s="136"/>
      <c r="AJ41" s="137"/>
      <c r="AK41" s="137"/>
      <c r="AL41" s="138" t="e">
        <f>VLOOKUP(#REF!,$BB$4:$BG$19,2,FALSE)</f>
        <v>#REF!</v>
      </c>
      <c r="AM41" s="138" t="e">
        <f>VLOOKUP(#REF!,$BB$4:$BG$19,3,FALSE)</f>
        <v>#REF!</v>
      </c>
      <c r="AN41" s="139" t="e">
        <f>IF(#REF!="",VLOOKUP(#REF!,$BB$4:$BG$19,3,FALSE),VLOOKUP(#REF!,$BB$4:$BG$19,2,FALSE))</f>
        <v>#REF!</v>
      </c>
      <c r="AO41" s="140" t="e">
        <f>#REF!*AL41*0.0258</f>
        <v>#REF!</v>
      </c>
      <c r="AP41" s="139" t="e">
        <f>VLOOKUP(#REF!,$BB$4:$BH$19,7,FALSE)</f>
        <v>#REF!</v>
      </c>
      <c r="AQ41" s="139"/>
      <c r="AR41" s="138" t="e">
        <f>VLOOKUP(#REF!,$BB$4:$BG$19,2,FALSE)</f>
        <v>#REF!</v>
      </c>
      <c r="AS41" s="138" t="e">
        <f>VLOOKUP(#REF!,$BB$4:$BG$19,3,FALSE)</f>
        <v>#REF!</v>
      </c>
      <c r="AT41" s="139" t="e">
        <f>IF(#REF!="",VLOOKUP(#REF!,$BB$4:$BG$19,3,FALSE),VLOOKUP(#REF!,$BB$4:$BG$19,2,FALSE))</f>
        <v>#REF!</v>
      </c>
      <c r="AU41" s="140" t="e">
        <f>#REF!*AR41*0.0258</f>
        <v>#REF!</v>
      </c>
      <c r="AV41" s="139" t="e">
        <f>VLOOKUP(#REF!,$BB$4:$BH$19,7,FALSE)</f>
        <v>#REF!</v>
      </c>
      <c r="AW41" s="139"/>
      <c r="AX41" s="139"/>
      <c r="BE41" s="147"/>
      <c r="BF41" s="253"/>
      <c r="BM41" s="255"/>
      <c r="BN41" s="254"/>
      <c r="BP41" s="255"/>
      <c r="BR41" s="147"/>
      <c r="BT41" s="255"/>
      <c r="BU41" s="254"/>
      <c r="BW41" s="255"/>
    </row>
    <row r="42" spans="1:91" s="134" customFormat="1" ht="18" customHeight="1">
      <c r="A42" s="182"/>
      <c r="B42" s="186"/>
      <c r="C42" s="187"/>
      <c r="D42" s="187"/>
      <c r="E42" s="187"/>
      <c r="F42" s="187"/>
      <c r="G42" s="187"/>
      <c r="H42" s="187"/>
      <c r="I42" s="188"/>
      <c r="J42" s="188"/>
      <c r="K42" s="188"/>
      <c r="L42" s="188"/>
      <c r="M42" s="188"/>
      <c r="N42" s="188"/>
      <c r="O42" s="188"/>
      <c r="P42" s="175"/>
      <c r="Q42" s="175"/>
      <c r="R42" s="175"/>
      <c r="S42" s="175"/>
      <c r="T42" s="175"/>
      <c r="U42" s="187"/>
      <c r="V42" s="187"/>
      <c r="W42" s="187"/>
      <c r="X42" s="187"/>
      <c r="Y42" s="187"/>
      <c r="Z42" s="187"/>
      <c r="AA42" s="187"/>
      <c r="AB42" s="187"/>
      <c r="AC42" s="188"/>
      <c r="AD42" s="188"/>
      <c r="AE42" s="188"/>
      <c r="AF42" s="188"/>
      <c r="AG42" s="188"/>
      <c r="AH42" s="175"/>
      <c r="AI42" s="136"/>
      <c r="AJ42" s="137"/>
      <c r="AK42" s="137"/>
      <c r="AL42" s="138" t="e">
        <f>VLOOKUP(#REF!,$BB$4:$BG$19,2,FALSE)</f>
        <v>#REF!</v>
      </c>
      <c r="AM42" s="138" t="e">
        <f>VLOOKUP(#REF!,$BB$4:$BG$19,3,FALSE)</f>
        <v>#REF!</v>
      </c>
      <c r="AN42" s="139" t="e">
        <f>IF(#REF!="",VLOOKUP(#REF!,$BB$4:$BG$19,3,FALSE),VLOOKUP(#REF!,$BB$4:$BG$19,2,FALSE))</f>
        <v>#REF!</v>
      </c>
      <c r="AO42" s="140" t="e">
        <f>#REF!*AL42*0.0258</f>
        <v>#REF!</v>
      </c>
      <c r="AP42" s="139" t="e">
        <f>VLOOKUP(#REF!,$BB$4:$BH$19,7,FALSE)</f>
        <v>#REF!</v>
      </c>
      <c r="AQ42" s="139"/>
      <c r="AR42" s="138" t="e">
        <f>VLOOKUP(#REF!,$BB$4:$BG$19,2,FALSE)</f>
        <v>#REF!</v>
      </c>
      <c r="AS42" s="138" t="e">
        <f>VLOOKUP(#REF!,$BB$4:$BG$19,3,FALSE)</f>
        <v>#REF!</v>
      </c>
      <c r="AT42" s="139" t="e">
        <f>IF(#REF!="",VLOOKUP(#REF!,$BB$4:$BG$19,3,FALSE),VLOOKUP(#REF!,$BB$4:$BG$19,2,FALSE))</f>
        <v>#REF!</v>
      </c>
      <c r="AU42" s="140" t="e">
        <f>#REF!*AR42*0.0258</f>
        <v>#REF!</v>
      </c>
      <c r="AV42" s="139" t="e">
        <f>VLOOKUP(#REF!,$BB$4:$BH$19,7,FALSE)</f>
        <v>#REF!</v>
      </c>
      <c r="AW42" s="139"/>
      <c r="AX42" s="139"/>
      <c r="BE42" s="147"/>
      <c r="BF42" s="254"/>
      <c r="CC42" s="256"/>
      <c r="CD42" s="256"/>
      <c r="CE42" s="256"/>
      <c r="CF42" s="256"/>
      <c r="CG42" s="256"/>
      <c r="CH42" s="256"/>
      <c r="CI42" s="256"/>
      <c r="CJ42" s="256"/>
      <c r="CK42" s="256"/>
      <c r="CL42" s="256"/>
    </row>
    <row r="43" spans="1:91" s="134" customFormat="1" ht="18" customHeight="1">
      <c r="A43" s="189"/>
      <c r="B43" s="189"/>
      <c r="C43" s="187"/>
      <c r="D43" s="187"/>
      <c r="E43" s="187"/>
      <c r="F43" s="187"/>
      <c r="G43" s="187"/>
      <c r="H43" s="187"/>
      <c r="I43" s="188"/>
      <c r="J43" s="188"/>
      <c r="K43" s="188"/>
      <c r="L43" s="188"/>
      <c r="M43" s="188"/>
      <c r="N43" s="188"/>
      <c r="O43" s="188"/>
      <c r="P43" s="175"/>
      <c r="Q43" s="175"/>
      <c r="R43" s="175"/>
      <c r="S43" s="175"/>
      <c r="T43" s="175"/>
      <c r="U43" s="187"/>
      <c r="V43" s="187"/>
      <c r="W43" s="187"/>
      <c r="X43" s="187"/>
      <c r="Y43" s="187"/>
      <c r="Z43" s="187"/>
      <c r="AA43" s="187"/>
      <c r="AB43" s="187"/>
      <c r="AC43" s="188"/>
      <c r="AD43" s="188"/>
      <c r="AE43" s="188"/>
      <c r="AF43" s="188"/>
      <c r="AG43" s="188"/>
      <c r="AH43" s="175"/>
      <c r="AI43" s="136"/>
      <c r="AJ43" s="137"/>
      <c r="AK43" s="137"/>
      <c r="AL43" s="138" t="e">
        <f>VLOOKUP(#REF!,$BB$4:$BG$19,2,FALSE)</f>
        <v>#REF!</v>
      </c>
      <c r="AM43" s="138" t="e">
        <f>VLOOKUP(#REF!,$BB$4:$BG$19,3,FALSE)</f>
        <v>#REF!</v>
      </c>
      <c r="AN43" s="139" t="e">
        <f>IF(#REF!="",VLOOKUP(#REF!,$BB$4:$BG$19,3,FALSE),VLOOKUP(#REF!,$BB$4:$BG$19,2,FALSE))</f>
        <v>#REF!</v>
      </c>
      <c r="AO43" s="140" t="e">
        <f>#REF!*AL43*0.0258</f>
        <v>#REF!</v>
      </c>
      <c r="AP43" s="139" t="e">
        <f>VLOOKUP(#REF!,$BB$4:$BH$19,7,FALSE)</f>
        <v>#REF!</v>
      </c>
      <c r="AQ43" s="139"/>
      <c r="AR43" s="138" t="e">
        <f>VLOOKUP(#REF!,$BB$4:$BG$19,2,FALSE)</f>
        <v>#REF!</v>
      </c>
      <c r="AS43" s="138" t="e">
        <f>VLOOKUP(#REF!,$BB$4:$BG$19,3,FALSE)</f>
        <v>#REF!</v>
      </c>
      <c r="AT43" s="139" t="e">
        <f>IF(#REF!="",VLOOKUP(#REF!,$BB$4:$BG$19,3,FALSE),VLOOKUP(#REF!,$BB$4:$BG$19,2,FALSE))</f>
        <v>#REF!</v>
      </c>
      <c r="AU43" s="140" t="e">
        <f>#REF!*AR43*0.0258</f>
        <v>#REF!</v>
      </c>
      <c r="AV43" s="139" t="e">
        <f>VLOOKUP(#REF!,$BB$4:$BH$19,7,FALSE)</f>
        <v>#REF!</v>
      </c>
      <c r="AW43" s="139"/>
      <c r="AX43" s="139"/>
      <c r="CC43" s="256"/>
      <c r="CD43" s="257"/>
      <c r="CE43" s="256"/>
      <c r="CF43" s="256"/>
      <c r="CG43" s="256"/>
      <c r="CH43" s="256"/>
      <c r="CI43" s="256"/>
      <c r="CJ43" s="256"/>
      <c r="CK43" s="256"/>
      <c r="CL43" s="256"/>
    </row>
    <row r="44" spans="1:91" s="134" customFormat="1" ht="18" customHeight="1">
      <c r="B44" s="175"/>
      <c r="AI44" s="136"/>
      <c r="AJ44" s="137"/>
      <c r="AK44" s="137"/>
      <c r="AL44" s="138" t="e">
        <f>VLOOKUP(#REF!,$BB$4:$BG$19,2,FALSE)</f>
        <v>#REF!</v>
      </c>
      <c r="AM44" s="138" t="e">
        <f>VLOOKUP(#REF!,$BB$4:$BG$19,3,FALSE)</f>
        <v>#REF!</v>
      </c>
      <c r="AN44" s="139" t="e">
        <f>IF(#REF!="",VLOOKUP(#REF!,$BB$4:$BG$19,3,FALSE),VLOOKUP(#REF!,$BB$4:$BG$19,2,FALSE))</f>
        <v>#REF!</v>
      </c>
      <c r="AO44" s="140" t="e">
        <f>#REF!*AL44*0.0258</f>
        <v>#REF!</v>
      </c>
      <c r="AP44" s="139" t="e">
        <f>VLOOKUP(#REF!,$BB$4:$BH$19,7,FALSE)</f>
        <v>#REF!</v>
      </c>
      <c r="AQ44" s="139"/>
      <c r="AR44" s="138" t="e">
        <f>VLOOKUP(#REF!,$BB$4:$BG$19,2,FALSE)</f>
        <v>#REF!</v>
      </c>
      <c r="AS44" s="138" t="e">
        <f>VLOOKUP(#REF!,$BB$4:$BG$19,3,FALSE)</f>
        <v>#REF!</v>
      </c>
      <c r="AT44" s="139" t="e">
        <f>IF(#REF!="",VLOOKUP(#REF!,$BB$4:$BG$19,3,FALSE),VLOOKUP(#REF!,$BB$4:$BG$19,2,FALSE))</f>
        <v>#REF!</v>
      </c>
      <c r="AU44" s="140" t="e">
        <f>#REF!*AR44*0.0258</f>
        <v>#REF!</v>
      </c>
      <c r="AV44" s="139" t="e">
        <f>VLOOKUP(#REF!,$BB$4:$BH$19,7,FALSE)</f>
        <v>#REF!</v>
      </c>
      <c r="AW44" s="139"/>
      <c r="AX44" s="139"/>
      <c r="CC44" s="256"/>
      <c r="CD44" s="257"/>
      <c r="CE44" s="256"/>
      <c r="CF44" s="256"/>
      <c r="CG44" s="256"/>
      <c r="CH44" s="256"/>
      <c r="CI44" s="256"/>
      <c r="CJ44" s="256"/>
      <c r="CK44" s="256"/>
      <c r="CL44" s="256"/>
    </row>
    <row r="45" spans="1:91" s="134" customFormat="1" ht="18" customHeight="1">
      <c r="A45" s="130"/>
      <c r="B45" s="130"/>
      <c r="U45" s="190"/>
      <c r="V45" s="190"/>
      <c r="W45" s="190"/>
      <c r="X45" s="190"/>
      <c r="Y45" s="190"/>
      <c r="Z45" s="190"/>
      <c r="AA45" s="190"/>
      <c r="AB45" s="190"/>
      <c r="AC45" s="190"/>
      <c r="AI45" s="136"/>
      <c r="AJ45" s="137"/>
      <c r="AK45" s="137"/>
      <c r="AL45" s="138" t="e">
        <f>VLOOKUP(#REF!,$BB$4:$BG$19,2,FALSE)</f>
        <v>#REF!</v>
      </c>
      <c r="AM45" s="138" t="e">
        <f>VLOOKUP(#REF!,$BB$4:$BG$19,3,FALSE)</f>
        <v>#REF!</v>
      </c>
      <c r="AN45" s="139" t="e">
        <f>IF(#REF!="",VLOOKUP(#REF!,$BB$4:$BG$19,3,FALSE),VLOOKUP(#REF!,$BB$4:$BG$19,2,FALSE))</f>
        <v>#REF!</v>
      </c>
      <c r="AO45" s="140" t="e">
        <f>#REF!*AL45*0.0258</f>
        <v>#REF!</v>
      </c>
      <c r="AP45" s="139" t="e">
        <f>VLOOKUP(#REF!,$BB$4:$BH$19,7,FALSE)</f>
        <v>#REF!</v>
      </c>
      <c r="AQ45" s="139"/>
      <c r="AR45" s="138" t="e">
        <f>VLOOKUP(#REF!,$BB$4:$BG$19,2,FALSE)</f>
        <v>#REF!</v>
      </c>
      <c r="AS45" s="138" t="e">
        <f>VLOOKUP(#REF!,$BB$4:$BG$19,3,FALSE)</f>
        <v>#REF!</v>
      </c>
      <c r="AT45" s="139" t="e">
        <f>IF(#REF!="",VLOOKUP(#REF!,$BB$4:$BG$19,3,FALSE),VLOOKUP(#REF!,$BB$4:$BG$19,2,FALSE))</f>
        <v>#REF!</v>
      </c>
      <c r="AU45" s="140" t="e">
        <f>#REF!*AR45*0.0258</f>
        <v>#REF!</v>
      </c>
      <c r="AV45" s="139" t="e">
        <f>VLOOKUP(#REF!,$BB$4:$BH$19,7,FALSE)</f>
        <v>#REF!</v>
      </c>
      <c r="AW45" s="139"/>
      <c r="AX45" s="139"/>
      <c r="BJ45" s="169"/>
      <c r="BK45" s="260"/>
      <c r="CC45" s="256"/>
      <c r="CD45" s="256"/>
      <c r="CE45" s="256"/>
      <c r="CF45" s="256"/>
      <c r="CG45" s="256"/>
      <c r="CH45" s="256"/>
      <c r="CI45" s="256"/>
      <c r="CJ45" s="256"/>
      <c r="CK45" s="256"/>
      <c r="CL45" s="256"/>
    </row>
    <row r="46" spans="1:91" s="134" customFormat="1" ht="18" customHeight="1">
      <c r="A46" s="130"/>
      <c r="B46" s="130"/>
      <c r="R46" s="147"/>
      <c r="S46" s="147"/>
      <c r="T46" s="147"/>
      <c r="U46" s="191"/>
      <c r="V46" s="191"/>
      <c r="W46" s="191"/>
      <c r="X46" s="191"/>
      <c r="Y46" s="191"/>
      <c r="Z46" s="191"/>
      <c r="AA46" s="191"/>
      <c r="AB46" s="175"/>
      <c r="AC46" s="175"/>
      <c r="AI46" s="136"/>
      <c r="AJ46" s="137"/>
      <c r="AK46" s="137"/>
      <c r="AL46" s="138" t="e">
        <f>VLOOKUP(#REF!,$BB$4:$BG$19,2,FALSE)</f>
        <v>#REF!</v>
      </c>
      <c r="AM46" s="138" t="e">
        <f>VLOOKUP(#REF!,$BB$4:$BG$19,3,FALSE)</f>
        <v>#REF!</v>
      </c>
      <c r="AN46" s="139" t="e">
        <f>IF(#REF!="",VLOOKUP(#REF!,$BB$4:$BG$19,3,FALSE),VLOOKUP(#REF!,$BB$4:$BG$19,2,FALSE))</f>
        <v>#REF!</v>
      </c>
      <c r="AO46" s="140" t="e">
        <f>#REF!*AL46*0.0258</f>
        <v>#REF!</v>
      </c>
      <c r="AP46" s="139" t="e">
        <f>VLOOKUP(#REF!,$BB$4:$BH$19,7,FALSE)</f>
        <v>#REF!</v>
      </c>
      <c r="AQ46" s="139"/>
      <c r="AR46" s="138" t="e">
        <f>VLOOKUP(#REF!,$BB$4:$BG$19,2,FALSE)</f>
        <v>#REF!</v>
      </c>
      <c r="AS46" s="138" t="e">
        <f>VLOOKUP(#REF!,$BB$4:$BG$19,3,FALSE)</f>
        <v>#REF!</v>
      </c>
      <c r="AT46" s="139" t="e">
        <f>IF(#REF!="",VLOOKUP(#REF!,$BB$4:$BG$19,3,FALSE),VLOOKUP(#REF!,$BB$4:$BG$19,2,FALSE))</f>
        <v>#REF!</v>
      </c>
      <c r="AU46" s="140" t="e">
        <f>#REF!*AR46*0.0258</f>
        <v>#REF!</v>
      </c>
      <c r="AV46" s="139" t="e">
        <f>VLOOKUP(#REF!,$BB$4:$BH$19,7,FALSE)</f>
        <v>#REF!</v>
      </c>
      <c r="AW46" s="139"/>
      <c r="AX46" s="139"/>
      <c r="BJ46" s="169"/>
      <c r="BK46" s="228"/>
      <c r="BZ46" s="164"/>
      <c r="CC46" s="256"/>
      <c r="CD46" s="256"/>
      <c r="CE46" s="256"/>
      <c r="CF46" s="256"/>
      <c r="CG46" s="256"/>
      <c r="CH46" s="256"/>
      <c r="CI46" s="256"/>
      <c r="CJ46" s="256"/>
      <c r="CK46" s="256"/>
      <c r="CL46" s="256"/>
    </row>
    <row r="47" spans="1:91" s="134" customFormat="1" ht="15" customHeight="1">
      <c r="A47" s="130"/>
      <c r="B47" s="130"/>
      <c r="U47" s="191"/>
      <c r="V47" s="191"/>
      <c r="W47" s="191"/>
      <c r="X47" s="191"/>
      <c r="Y47" s="191"/>
      <c r="Z47" s="191"/>
      <c r="AA47" s="191"/>
      <c r="AB47" s="175"/>
      <c r="AC47" s="175"/>
      <c r="AI47" s="136"/>
      <c r="AJ47" s="137"/>
      <c r="AK47" s="130"/>
      <c r="AL47" s="138" t="e">
        <f>VLOOKUP(#REF!,$BB$4:$BG$19,2,FALSE)</f>
        <v>#REF!</v>
      </c>
      <c r="AM47" s="138" t="e">
        <f>VLOOKUP(#REF!,$BB$4:$BG$19,3,FALSE)</f>
        <v>#REF!</v>
      </c>
      <c r="AN47" s="139" t="e">
        <f>IF(#REF!="",VLOOKUP(#REF!,$BB$4:$BG$19,3,FALSE),VLOOKUP(#REF!,$BB$4:$BG$19,2,FALSE))</f>
        <v>#REF!</v>
      </c>
      <c r="AO47" s="140" t="e">
        <f>#REF!*AL47*0.0258</f>
        <v>#REF!</v>
      </c>
      <c r="AP47" s="139" t="e">
        <f>VLOOKUP(#REF!,$BB$4:$BH$19,7,FALSE)</f>
        <v>#REF!</v>
      </c>
      <c r="AQ47" s="139"/>
      <c r="AR47" s="138" t="e">
        <f>VLOOKUP(#REF!,$BB$4:$BG$19,2,FALSE)</f>
        <v>#REF!</v>
      </c>
      <c r="AS47" s="138" t="e">
        <f>VLOOKUP(#REF!,$BB$4:$BG$19,3,FALSE)</f>
        <v>#REF!</v>
      </c>
      <c r="AT47" s="139" t="e">
        <f>IF(#REF!="",VLOOKUP(#REF!,$BB$4:$BG$19,3,FALSE),VLOOKUP(#REF!,$BB$4:$BG$19,2,FALSE))</f>
        <v>#REF!</v>
      </c>
      <c r="AU47" s="140" t="e">
        <f>#REF!*AR47*0.0258</f>
        <v>#REF!</v>
      </c>
      <c r="AV47" s="139" t="e">
        <f>VLOOKUP(#REF!,$BB$4:$BH$19,7,FALSE)</f>
        <v>#REF!</v>
      </c>
      <c r="BJ47" s="169"/>
      <c r="BK47" s="228"/>
      <c r="CA47" s="164"/>
      <c r="CD47" s="256"/>
      <c r="CE47" s="256"/>
      <c r="CF47" s="256"/>
      <c r="CG47" s="256"/>
      <c r="CH47" s="258"/>
      <c r="CI47" s="258"/>
      <c r="CJ47" s="258"/>
      <c r="CK47" s="259"/>
      <c r="CL47" s="259"/>
      <c r="CM47" s="259"/>
    </row>
    <row r="48" spans="1:91" s="134" customFormat="1" ht="15" customHeight="1">
      <c r="A48" s="130"/>
      <c r="B48" s="130"/>
      <c r="U48" s="192"/>
      <c r="V48" s="192"/>
      <c r="X48" s="193"/>
      <c r="AJ48" s="136"/>
      <c r="AK48" s="137"/>
      <c r="AL48" s="138" t="e">
        <f>VLOOKUP(#REF!,$BB$4:$BG$19,2,FALSE)</f>
        <v>#REF!</v>
      </c>
      <c r="AM48" s="138" t="e">
        <f>VLOOKUP(#REF!,$BB$4:$BG$19,3,FALSE)</f>
        <v>#REF!</v>
      </c>
      <c r="AN48" s="139" t="e">
        <f>IF(#REF!="",VLOOKUP(#REF!,$BB$4:$BG$19,3,FALSE),VLOOKUP(#REF!,$BB$4:$BG$19,2,FALSE))</f>
        <v>#REF!</v>
      </c>
      <c r="AO48" s="140" t="e">
        <f>#REF!*AL48*0.0258</f>
        <v>#REF!</v>
      </c>
      <c r="AP48" s="139" t="e">
        <f>VLOOKUP(#REF!,$BB$4:$BH$19,7,FALSE)</f>
        <v>#REF!</v>
      </c>
      <c r="AQ48" s="139"/>
      <c r="AR48" s="138" t="e">
        <f>VLOOKUP(#REF!,$BB$4:$BG$19,2,FALSE)</f>
        <v>#REF!</v>
      </c>
      <c r="AS48" s="138" t="e">
        <f>VLOOKUP(#REF!,$BB$4:$BG$19,3,FALSE)</f>
        <v>#REF!</v>
      </c>
      <c r="AT48" s="139" t="e">
        <f>IF(#REF!="",VLOOKUP(#REF!,$BB$4:$BG$19,3,FALSE),VLOOKUP(#REF!,$BB$4:$BG$19,2,FALSE))</f>
        <v>#REF!</v>
      </c>
      <c r="AU48" s="140" t="e">
        <f>#REF!*AR48*0.0258</f>
        <v>#REF!</v>
      </c>
      <c r="AV48" s="139" t="e">
        <f>VLOOKUP(#REF!,$BB$4:$BH$19,7,FALSE)</f>
        <v>#REF!</v>
      </c>
      <c r="BJ48" s="169"/>
      <c r="BK48" s="228"/>
      <c r="BL48" s="260"/>
      <c r="BM48" s="169"/>
      <c r="BN48" s="230"/>
      <c r="BO48" s="231"/>
      <c r="BP48" s="261"/>
      <c r="BQ48" s="261"/>
      <c r="BR48" s="169"/>
      <c r="CA48" s="164"/>
      <c r="CD48" s="256"/>
      <c r="CE48" s="256"/>
      <c r="CF48" s="256"/>
      <c r="CG48" s="256"/>
      <c r="CH48" s="258"/>
      <c r="CI48" s="258"/>
      <c r="CJ48" s="258"/>
      <c r="CK48" s="259"/>
      <c r="CL48" s="259"/>
      <c r="CM48" s="259"/>
    </row>
    <row r="49" spans="1:91" s="134" customFormat="1" ht="15" customHeight="1">
      <c r="A49" s="130"/>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75"/>
      <c r="AJ49" s="136"/>
      <c r="AK49" s="137"/>
      <c r="AL49" s="137"/>
      <c r="AM49" s="138"/>
      <c r="AN49" s="138"/>
      <c r="AO49" s="139"/>
      <c r="AP49" s="139"/>
      <c r="AQ49" s="139"/>
      <c r="AR49" s="139"/>
      <c r="AS49" s="139"/>
      <c r="AT49" s="139"/>
      <c r="AU49" s="139"/>
      <c r="AV49" s="139"/>
      <c r="BJ49" s="169"/>
      <c r="BK49" s="228"/>
      <c r="BL49" s="228"/>
      <c r="BM49" s="169"/>
      <c r="BN49" s="169"/>
      <c r="BO49" s="169"/>
      <c r="BP49" s="169"/>
      <c r="BQ49" s="169"/>
      <c r="BR49" s="169"/>
      <c r="CA49" s="164"/>
      <c r="CD49" s="256"/>
      <c r="CE49" s="256"/>
      <c r="CF49" s="256"/>
      <c r="CG49" s="256"/>
      <c r="CH49" s="258"/>
      <c r="CI49" s="258"/>
      <c r="CJ49" s="258"/>
      <c r="CK49" s="259"/>
      <c r="CL49" s="259"/>
      <c r="CM49" s="259"/>
    </row>
    <row r="50" spans="1:91" s="134" customFormat="1" ht="15" customHeight="1">
      <c r="A50" s="130"/>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75"/>
      <c r="AJ50" s="136"/>
      <c r="AK50" s="137"/>
      <c r="AL50" s="137"/>
      <c r="AM50" s="138"/>
      <c r="AN50" s="138"/>
      <c r="AO50" s="139"/>
      <c r="AP50" s="139"/>
      <c r="AQ50" s="139"/>
      <c r="AR50" s="139"/>
      <c r="AS50" s="139"/>
      <c r="AT50" s="139"/>
      <c r="AU50" s="139"/>
      <c r="AV50" s="139"/>
      <c r="BJ50" s="169"/>
      <c r="BK50" s="228"/>
      <c r="BL50" s="228"/>
      <c r="BM50" s="169"/>
      <c r="BN50" s="169"/>
      <c r="BO50" s="169"/>
      <c r="BP50" s="169"/>
      <c r="BQ50" s="169"/>
      <c r="BR50" s="169"/>
      <c r="CA50" s="164"/>
      <c r="CD50" s="256"/>
      <c r="CE50" s="256"/>
      <c r="CF50" s="256"/>
      <c r="CG50" s="256"/>
      <c r="CH50" s="258"/>
      <c r="CI50" s="258"/>
      <c r="CJ50" s="258"/>
      <c r="CK50" s="259"/>
      <c r="CL50" s="259"/>
      <c r="CM50" s="259"/>
    </row>
    <row r="51" spans="1:91" s="134" customFormat="1" ht="15" customHeight="1">
      <c r="A51" s="130"/>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J51" s="136"/>
      <c r="AK51" s="137"/>
      <c r="AL51" s="137"/>
      <c r="AM51" s="138"/>
      <c r="AN51" s="138"/>
      <c r="AO51" s="139"/>
      <c r="AP51" s="139"/>
      <c r="AQ51" s="139"/>
      <c r="AR51" s="139"/>
      <c r="AS51" s="139"/>
      <c r="AT51" s="139"/>
      <c r="AU51" s="139"/>
      <c r="AV51" s="139"/>
      <c r="BJ51" s="169"/>
      <c r="BK51" s="228"/>
      <c r="BL51" s="228"/>
      <c r="BM51" s="169"/>
      <c r="BN51" s="169"/>
      <c r="BO51" s="169"/>
      <c r="BP51" s="169"/>
      <c r="BQ51" s="169"/>
      <c r="BR51" s="169"/>
      <c r="CA51" s="164"/>
      <c r="CD51" s="256"/>
      <c r="CE51" s="256"/>
      <c r="CF51" s="256"/>
      <c r="CG51" s="256"/>
      <c r="CH51" s="258"/>
      <c r="CI51" s="258"/>
      <c r="CJ51" s="258"/>
      <c r="CK51" s="259"/>
      <c r="CL51" s="259"/>
      <c r="CM51" s="259"/>
    </row>
    <row r="52" spans="1:91" s="134" customFormat="1" ht="15" customHeight="1">
      <c r="A52" s="130"/>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75"/>
      <c r="AJ52" s="136"/>
      <c r="AK52" s="137"/>
      <c r="AL52" s="137"/>
      <c r="AM52" s="138"/>
      <c r="AN52" s="138"/>
      <c r="AO52" s="139"/>
      <c r="AP52" s="139"/>
      <c r="AQ52" s="139"/>
      <c r="AR52" s="139"/>
      <c r="AS52" s="139"/>
      <c r="AT52" s="139"/>
      <c r="AU52" s="139"/>
      <c r="AV52" s="139"/>
      <c r="BJ52" s="169"/>
      <c r="BK52" s="228"/>
      <c r="BL52" s="228"/>
      <c r="BM52" s="169"/>
      <c r="BN52" s="169"/>
      <c r="BO52" s="169"/>
      <c r="BP52" s="169"/>
      <c r="BQ52" s="169"/>
      <c r="BR52" s="169"/>
      <c r="CA52" s="164"/>
      <c r="CD52" s="256"/>
      <c r="CE52" s="256"/>
      <c r="CF52" s="256"/>
      <c r="CG52" s="256"/>
      <c r="CH52" s="258"/>
      <c r="CI52" s="258"/>
      <c r="CJ52" s="258"/>
      <c r="CK52" s="259"/>
      <c r="CL52" s="259"/>
      <c r="CM52" s="259"/>
    </row>
    <row r="53" spans="1:91" s="134" customFormat="1" ht="15" customHeight="1">
      <c r="A53" s="130"/>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75"/>
      <c r="AJ53" s="136"/>
      <c r="AK53" s="137"/>
      <c r="AL53" s="137"/>
      <c r="AM53" s="138"/>
      <c r="AN53" s="138"/>
      <c r="AO53" s="139"/>
      <c r="AP53" s="139"/>
      <c r="AQ53" s="139"/>
      <c r="AR53" s="139"/>
      <c r="AS53" s="139"/>
      <c r="AT53" s="139"/>
      <c r="AU53" s="139"/>
      <c r="AV53" s="139"/>
      <c r="BJ53" s="169"/>
      <c r="BK53" s="228"/>
      <c r="BL53" s="228"/>
      <c r="BM53" s="169"/>
      <c r="BN53" s="169"/>
      <c r="BO53" s="169"/>
      <c r="BP53" s="169"/>
      <c r="BQ53" s="169"/>
      <c r="BR53" s="169"/>
      <c r="CA53" s="164"/>
      <c r="CD53" s="256"/>
      <c r="CE53" s="256"/>
      <c r="CF53" s="256"/>
      <c r="CG53" s="256"/>
      <c r="CH53" s="258"/>
      <c r="CI53" s="262"/>
      <c r="CJ53" s="258"/>
      <c r="CK53" s="259"/>
      <c r="CL53" s="263"/>
      <c r="CM53" s="259"/>
    </row>
    <row r="54" spans="1:91" s="134" customFormat="1" ht="15" customHeight="1">
      <c r="A54" s="130"/>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J54" s="136"/>
      <c r="AK54" s="137"/>
      <c r="AL54" s="137"/>
      <c r="AM54" s="138"/>
      <c r="AN54" s="138"/>
      <c r="AO54" s="139"/>
      <c r="AP54" s="139"/>
      <c r="AQ54" s="139"/>
      <c r="AR54" s="139"/>
      <c r="AS54" s="139"/>
      <c r="AT54" s="139"/>
      <c r="AU54" s="139"/>
      <c r="AV54" s="139"/>
      <c r="BC54" s="134" t="s">
        <v>378</v>
      </c>
      <c r="BJ54" s="169"/>
      <c r="BK54" s="260"/>
      <c r="BL54" s="228"/>
      <c r="BM54" s="169"/>
      <c r="BN54" s="169"/>
      <c r="BO54" s="169"/>
      <c r="BP54" s="169"/>
      <c r="BQ54" s="169"/>
      <c r="BR54" s="169"/>
      <c r="CA54" s="164"/>
      <c r="CD54" s="256"/>
      <c r="CE54" s="256"/>
      <c r="CF54" s="256"/>
      <c r="CG54" s="256"/>
      <c r="CH54" s="258"/>
      <c r="CI54" s="258"/>
      <c r="CJ54" s="258"/>
      <c r="CK54" s="259"/>
      <c r="CL54" s="259"/>
      <c r="CM54" s="259"/>
    </row>
    <row r="55" spans="1:91" s="134" customFormat="1" ht="15" customHeight="1">
      <c r="A55" s="130"/>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J55" s="136"/>
      <c r="AK55" s="137"/>
      <c r="AL55" s="137"/>
      <c r="AM55" s="138"/>
      <c r="AN55" s="138"/>
      <c r="AO55" s="139"/>
      <c r="AP55" s="139"/>
      <c r="AQ55" s="139"/>
      <c r="AR55" s="139"/>
      <c r="AS55" s="139"/>
      <c r="AT55" s="139"/>
      <c r="AU55" s="139"/>
      <c r="AV55" s="139"/>
      <c r="BC55" s="134" t="s">
        <v>380</v>
      </c>
      <c r="BJ55" s="169"/>
      <c r="BK55" s="228"/>
      <c r="BL55" s="228"/>
      <c r="BM55" s="169"/>
      <c r="BN55" s="169"/>
      <c r="BO55" s="169"/>
      <c r="BP55" s="169"/>
      <c r="BQ55" s="169"/>
      <c r="BR55" s="169"/>
      <c r="CA55" s="164"/>
      <c r="CD55" s="256"/>
      <c r="CE55" s="256"/>
      <c r="CF55" s="256"/>
      <c r="CG55" s="256"/>
      <c r="CH55" s="258"/>
      <c r="CI55" s="258"/>
      <c r="CJ55" s="258"/>
      <c r="CK55" s="259"/>
      <c r="CL55" s="259"/>
      <c r="CM55" s="259"/>
    </row>
    <row r="56" spans="1:91" s="134" customFormat="1" ht="15" customHeight="1">
      <c r="A56" s="130"/>
      <c r="B56" s="130"/>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J56" s="136"/>
      <c r="AK56" s="137"/>
      <c r="AL56" s="137"/>
      <c r="AM56" s="138"/>
      <c r="AN56" s="138"/>
      <c r="AO56" s="139"/>
      <c r="AP56" s="139"/>
      <c r="AQ56" s="139"/>
      <c r="AR56" s="139"/>
      <c r="AS56" s="139"/>
      <c r="AT56" s="139"/>
      <c r="AU56" s="139"/>
      <c r="AV56" s="139"/>
      <c r="BC56" s="134" t="s">
        <v>382</v>
      </c>
      <c r="BJ56" s="169"/>
      <c r="BK56" s="228"/>
      <c r="BL56" s="228"/>
      <c r="BM56" s="169"/>
      <c r="BN56" s="169"/>
      <c r="BO56" s="169"/>
      <c r="BP56" s="169"/>
      <c r="BQ56" s="169"/>
      <c r="BR56" s="169"/>
      <c r="CA56" s="164"/>
      <c r="CD56" s="256"/>
      <c r="CE56" s="256"/>
      <c r="CF56" s="256"/>
      <c r="CG56" s="256"/>
      <c r="CH56" s="258"/>
      <c r="CI56" s="258"/>
      <c r="CJ56" s="258"/>
      <c r="CK56" s="259"/>
      <c r="CL56" s="259"/>
      <c r="CM56" s="259"/>
    </row>
    <row r="57" spans="1:91" s="134" customFormat="1" ht="15" customHeight="1">
      <c r="A57" s="130"/>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J57" s="136"/>
      <c r="AK57" s="137"/>
      <c r="AL57" s="137"/>
      <c r="AM57" s="138"/>
      <c r="AN57" s="138"/>
      <c r="AO57" s="139"/>
      <c r="AP57" s="139"/>
      <c r="AQ57" s="139"/>
      <c r="AR57" s="139"/>
      <c r="AS57" s="139"/>
      <c r="AT57" s="139"/>
      <c r="AU57" s="139"/>
      <c r="AV57" s="139"/>
      <c r="BC57" s="134" t="s">
        <v>384</v>
      </c>
      <c r="BJ57" s="169"/>
      <c r="BK57" s="228"/>
      <c r="BL57" s="260"/>
      <c r="BM57" s="169"/>
      <c r="BN57" s="230"/>
      <c r="BO57" s="230"/>
      <c r="BP57" s="261"/>
      <c r="BQ57" s="261"/>
      <c r="BR57" s="169"/>
      <c r="CA57" s="164"/>
      <c r="CD57" s="256"/>
      <c r="CE57" s="256"/>
      <c r="CF57" s="256"/>
      <c r="CG57" s="256"/>
      <c r="CH57" s="258"/>
      <c r="CI57" s="258"/>
      <c r="CJ57" s="256"/>
      <c r="CK57" s="259"/>
      <c r="CL57" s="259"/>
      <c r="CM57" s="259"/>
    </row>
    <row r="58" spans="1:91" s="134" customFormat="1" ht="15" customHeight="1">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J58" s="136"/>
      <c r="AK58" s="137"/>
      <c r="AL58" s="137"/>
      <c r="AM58" s="138"/>
      <c r="AN58" s="138"/>
      <c r="AO58" s="139"/>
      <c r="AP58" s="139"/>
      <c r="AQ58" s="139"/>
      <c r="AR58" s="139"/>
      <c r="AS58" s="139"/>
      <c r="AT58" s="139"/>
      <c r="AU58" s="139"/>
      <c r="AV58" s="139"/>
      <c r="BC58" s="134" t="s">
        <v>386</v>
      </c>
      <c r="BJ58" s="169"/>
      <c r="BK58" s="228"/>
      <c r="BL58" s="228"/>
      <c r="BM58" s="169"/>
      <c r="BN58" s="169"/>
      <c r="BO58" s="169"/>
      <c r="BP58" s="169"/>
      <c r="BQ58" s="169"/>
      <c r="BR58" s="169"/>
      <c r="CA58" s="164"/>
      <c r="CD58" s="256"/>
      <c r="CE58" s="256"/>
      <c r="CF58" s="256"/>
      <c r="CG58" s="256"/>
      <c r="CH58" s="256"/>
      <c r="CI58" s="258"/>
      <c r="CJ58" s="256"/>
      <c r="CK58" s="259"/>
      <c r="CL58" s="259"/>
      <c r="CM58" s="259"/>
    </row>
    <row r="59" spans="1:91" s="134" customFormat="1" ht="15" customHeight="1">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6"/>
      <c r="AK59" s="137"/>
      <c r="AL59" s="137"/>
      <c r="AM59" s="138"/>
      <c r="AN59" s="138"/>
      <c r="AO59" s="139"/>
      <c r="AP59" s="139"/>
      <c r="AQ59" s="139"/>
      <c r="AR59" s="139"/>
      <c r="AS59" s="139"/>
      <c r="AT59" s="139"/>
      <c r="AU59" s="139"/>
      <c r="AV59" s="139"/>
      <c r="BC59" s="134" t="s">
        <v>388</v>
      </c>
      <c r="BJ59" s="169"/>
      <c r="BK59" s="260"/>
      <c r="BL59" s="228"/>
      <c r="BM59" s="169"/>
      <c r="BN59" s="169"/>
      <c r="BO59" s="169"/>
      <c r="BP59" s="169"/>
      <c r="BQ59" s="169"/>
      <c r="BR59" s="169"/>
      <c r="CA59" s="164"/>
      <c r="CD59" s="256"/>
      <c r="CE59" s="256"/>
      <c r="CF59" s="256"/>
      <c r="CG59" s="256"/>
      <c r="CH59" s="256"/>
      <c r="CI59" s="258"/>
      <c r="CJ59" s="256"/>
      <c r="CK59" s="259"/>
      <c r="CL59" s="259"/>
      <c r="CM59" s="259"/>
    </row>
    <row r="60" spans="1:91" s="134" customFormat="1" ht="15" customHeight="1">
      <c r="A60" s="130"/>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6"/>
      <c r="AK60" s="137"/>
      <c r="AL60" s="137"/>
      <c r="AM60" s="138"/>
      <c r="AN60" s="138"/>
      <c r="AO60" s="139"/>
      <c r="AP60" s="139"/>
      <c r="AQ60" s="139"/>
      <c r="AR60" s="139"/>
      <c r="AS60" s="139"/>
      <c r="AT60" s="139"/>
      <c r="AU60" s="139"/>
      <c r="AV60" s="139"/>
      <c r="BC60" s="134" t="s">
        <v>390</v>
      </c>
      <c r="BJ60" s="169"/>
      <c r="BK60" s="228"/>
      <c r="BL60" s="228"/>
      <c r="BM60" s="169"/>
      <c r="BN60" s="169"/>
      <c r="BO60" s="169"/>
      <c r="BP60" s="169"/>
      <c r="BQ60" s="169"/>
      <c r="BR60" s="169"/>
      <c r="CA60" s="164"/>
      <c r="CD60" s="256"/>
      <c r="CE60" s="256"/>
      <c r="CF60" s="256"/>
      <c r="CG60" s="256"/>
      <c r="CH60" s="256"/>
      <c r="CI60" s="258"/>
      <c r="CJ60" s="256"/>
      <c r="CK60" s="259"/>
      <c r="CL60" s="259"/>
      <c r="CM60" s="259"/>
    </row>
    <row r="61" spans="1:91" s="134" customFormat="1" ht="15" customHeight="1">
      <c r="A61" s="130"/>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6"/>
      <c r="AK61" s="137"/>
      <c r="AL61" s="137"/>
      <c r="AM61" s="138"/>
      <c r="AN61" s="138"/>
      <c r="AO61" s="139"/>
      <c r="AP61" s="139"/>
      <c r="AQ61" s="139"/>
      <c r="AR61" s="139"/>
      <c r="AS61" s="139"/>
      <c r="AT61" s="139"/>
      <c r="AU61" s="139"/>
      <c r="AV61" s="139"/>
      <c r="BC61" s="134" t="s">
        <v>391</v>
      </c>
      <c r="BJ61" s="169"/>
      <c r="BK61" s="228"/>
      <c r="BL61" s="228"/>
      <c r="BM61" s="169"/>
      <c r="BN61" s="169"/>
      <c r="BO61" s="169"/>
      <c r="BP61" s="169"/>
      <c r="BQ61" s="169"/>
      <c r="BR61" s="169"/>
      <c r="CA61" s="164"/>
      <c r="CD61" s="256"/>
      <c r="CE61" s="256"/>
      <c r="CF61" s="256"/>
      <c r="CG61" s="256"/>
      <c r="CH61" s="256"/>
      <c r="CI61" s="258"/>
      <c r="CJ61" s="256"/>
      <c r="CK61" s="259"/>
      <c r="CL61" s="259"/>
      <c r="CM61" s="259"/>
    </row>
    <row r="62" spans="1:91" s="134" customFormat="1" ht="15" customHeight="1">
      <c r="A62" s="130"/>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6"/>
      <c r="AK62" s="137"/>
      <c r="AL62" s="137"/>
      <c r="AM62" s="138"/>
      <c r="AN62" s="138"/>
      <c r="AO62" s="139"/>
      <c r="AP62" s="139"/>
      <c r="AQ62" s="139"/>
      <c r="AR62" s="139"/>
      <c r="AS62" s="139"/>
      <c r="AT62" s="139"/>
      <c r="AU62" s="139"/>
      <c r="AV62" s="139"/>
      <c r="BC62" s="134" t="s">
        <v>392</v>
      </c>
      <c r="BJ62" s="169"/>
      <c r="BK62" s="228"/>
      <c r="BL62" s="260"/>
      <c r="BM62" s="169"/>
      <c r="BN62" s="264"/>
      <c r="BO62" s="264"/>
      <c r="BP62" s="261"/>
      <c r="BQ62" s="261"/>
      <c r="BR62" s="169"/>
      <c r="CA62" s="164"/>
      <c r="CD62" s="256"/>
      <c r="CE62" s="256"/>
      <c r="CF62" s="256"/>
      <c r="CG62" s="256"/>
      <c r="CH62" s="256"/>
      <c r="CI62" s="258"/>
      <c r="CJ62" s="256"/>
      <c r="CK62" s="259"/>
      <c r="CL62" s="259"/>
      <c r="CM62" s="259"/>
    </row>
    <row r="63" spans="1:91" s="134" customFormat="1" ht="1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6"/>
      <c r="AK63" s="137"/>
      <c r="AL63" s="137"/>
      <c r="AM63" s="138"/>
      <c r="AN63" s="138"/>
      <c r="AO63" s="139"/>
      <c r="AP63" s="139"/>
      <c r="AQ63" s="139"/>
      <c r="AR63" s="139"/>
      <c r="AS63" s="139"/>
      <c r="AT63" s="139"/>
      <c r="AU63" s="139"/>
      <c r="AV63" s="139"/>
      <c r="BC63" s="134" t="s">
        <v>393</v>
      </c>
      <c r="BJ63" s="169"/>
      <c r="BK63" s="228"/>
      <c r="BL63" s="228"/>
      <c r="BM63" s="169"/>
      <c r="BN63" s="169"/>
      <c r="BO63" s="169"/>
      <c r="BP63" s="169"/>
      <c r="BQ63" s="169"/>
      <c r="BR63" s="169"/>
      <c r="CA63" s="164"/>
      <c r="CD63" s="256"/>
      <c r="CE63" s="256"/>
      <c r="CF63" s="256"/>
      <c r="CG63" s="256"/>
      <c r="CH63" s="256"/>
      <c r="CI63" s="258"/>
      <c r="CJ63" s="256"/>
      <c r="CK63" s="259"/>
      <c r="CL63" s="259"/>
      <c r="CM63" s="259"/>
    </row>
    <row r="64" spans="1:91" s="134" customFormat="1" ht="15" customHeight="1">
      <c r="A64" s="130"/>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6"/>
      <c r="AK64" s="137"/>
      <c r="AL64" s="137"/>
      <c r="AM64" s="138"/>
      <c r="AN64" s="138"/>
      <c r="AO64" s="139"/>
      <c r="AP64" s="139"/>
      <c r="AQ64" s="139"/>
      <c r="AR64" s="139"/>
      <c r="AS64" s="139"/>
      <c r="AT64" s="139"/>
      <c r="AU64" s="139"/>
      <c r="AV64" s="139"/>
      <c r="BC64" s="134" t="s">
        <v>394</v>
      </c>
      <c r="BJ64" s="169"/>
      <c r="BK64" s="260"/>
      <c r="BL64" s="228"/>
      <c r="BM64" s="169"/>
      <c r="BN64" s="169"/>
      <c r="BO64" s="169"/>
      <c r="BP64" s="169"/>
      <c r="BQ64" s="169"/>
      <c r="BR64" s="169"/>
      <c r="CA64" s="164"/>
      <c r="CD64" s="256"/>
      <c r="CE64" s="256"/>
      <c r="CF64" s="256"/>
      <c r="CG64" s="256"/>
      <c r="CH64" s="256"/>
      <c r="CI64" s="258"/>
      <c r="CJ64" s="256"/>
      <c r="CK64" s="259"/>
      <c r="CL64" s="259"/>
      <c r="CM64" s="259"/>
    </row>
    <row r="65" spans="1:91" s="134" customFormat="1" ht="15" customHeight="1">
      <c r="A65" s="130"/>
      <c r="B65" s="130"/>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6"/>
      <c r="AK65" s="137"/>
      <c r="AL65" s="137"/>
      <c r="AM65" s="138"/>
      <c r="AN65" s="138"/>
      <c r="AO65" s="139"/>
      <c r="AP65" s="139"/>
      <c r="AQ65" s="139"/>
      <c r="AR65" s="139"/>
      <c r="AS65" s="139"/>
      <c r="AT65" s="139"/>
      <c r="AU65" s="139"/>
      <c r="AV65" s="139"/>
      <c r="BC65" s="134" t="s">
        <v>395</v>
      </c>
      <c r="BJ65" s="169"/>
      <c r="BK65" s="265"/>
      <c r="BL65" s="228"/>
      <c r="BM65" s="169"/>
      <c r="BN65" s="169"/>
      <c r="BO65" s="169"/>
      <c r="BP65" s="169"/>
      <c r="BQ65" s="169"/>
      <c r="BR65" s="169"/>
      <c r="CA65" s="164"/>
      <c r="CD65" s="256"/>
      <c r="CE65" s="256"/>
      <c r="CF65" s="256"/>
      <c r="CG65" s="256"/>
      <c r="CH65" s="256"/>
      <c r="CI65" s="258"/>
      <c r="CJ65" s="256"/>
      <c r="CK65" s="259"/>
      <c r="CL65" s="259"/>
      <c r="CM65" s="259"/>
    </row>
    <row r="66" spans="1:91" s="134" customFormat="1" ht="15" customHeight="1">
      <c r="A66" s="130"/>
      <c r="B66" s="130"/>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6"/>
      <c r="AK66" s="137"/>
      <c r="AL66" s="137"/>
      <c r="AM66" s="138"/>
      <c r="AN66" s="138"/>
      <c r="AO66" s="139"/>
      <c r="AP66" s="139"/>
      <c r="AQ66" s="139"/>
      <c r="AR66" s="139"/>
      <c r="AS66" s="139"/>
      <c r="AT66" s="139"/>
      <c r="AU66" s="139"/>
      <c r="AV66" s="139"/>
      <c r="BC66" s="134" t="s">
        <v>396</v>
      </c>
      <c r="BJ66" s="169"/>
      <c r="BK66" s="228"/>
      <c r="BL66" s="228"/>
      <c r="BM66" s="169"/>
      <c r="BN66" s="169"/>
      <c r="BO66" s="169"/>
      <c r="BP66" s="169"/>
      <c r="BQ66" s="169"/>
      <c r="BR66" s="169"/>
      <c r="CA66" s="164"/>
      <c r="CD66" s="256"/>
      <c r="CE66" s="256"/>
      <c r="CF66" s="256"/>
      <c r="CG66" s="256"/>
      <c r="CH66" s="256"/>
      <c r="CI66" s="258"/>
      <c r="CJ66" s="256"/>
      <c r="CK66" s="259"/>
      <c r="CL66" s="259"/>
      <c r="CM66" s="259"/>
    </row>
    <row r="67" spans="1:91" s="134" customFormat="1" ht="15" customHeight="1">
      <c r="A67" s="130"/>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6"/>
      <c r="AK67" s="137"/>
      <c r="AL67" s="137"/>
      <c r="AM67" s="138"/>
      <c r="AN67" s="138"/>
      <c r="AO67" s="139"/>
      <c r="AP67" s="139"/>
      <c r="AQ67" s="139"/>
      <c r="AR67" s="139"/>
      <c r="AS67" s="139"/>
      <c r="AT67" s="139"/>
      <c r="AU67" s="139"/>
      <c r="AV67" s="139"/>
      <c r="BC67" s="134" t="s">
        <v>397</v>
      </c>
      <c r="BH67" s="195"/>
      <c r="BJ67" s="169"/>
      <c r="BK67" s="228"/>
      <c r="BL67" s="260"/>
      <c r="BM67" s="169"/>
      <c r="BN67" s="264"/>
      <c r="BO67" s="264"/>
      <c r="BP67" s="261"/>
      <c r="BQ67" s="261"/>
      <c r="BR67" s="169"/>
      <c r="CA67" s="164"/>
      <c r="CD67" s="256"/>
      <c r="CE67" s="256"/>
      <c r="CF67" s="256"/>
      <c r="CG67" s="256"/>
      <c r="CH67" s="256"/>
      <c r="CI67" s="258"/>
      <c r="CJ67" s="256"/>
      <c r="CK67" s="259"/>
      <c r="CL67" s="259"/>
      <c r="CM67" s="259"/>
    </row>
    <row r="68" spans="1:91" s="134" customFormat="1" ht="15" customHeight="1">
      <c r="A68" s="130"/>
      <c r="B68" s="130"/>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6"/>
      <c r="AK68" s="137"/>
      <c r="AL68" s="137"/>
      <c r="AM68" s="138"/>
      <c r="AN68" s="138"/>
      <c r="AO68" s="139"/>
      <c r="AP68" s="139"/>
      <c r="AQ68" s="139"/>
      <c r="AR68" s="139"/>
      <c r="AS68" s="139"/>
      <c r="AT68" s="139"/>
      <c r="AU68" s="139"/>
      <c r="AV68" s="139"/>
      <c r="BC68" s="134" t="s">
        <v>398</v>
      </c>
      <c r="BJ68" s="169"/>
      <c r="BK68" s="228"/>
      <c r="BL68" s="265"/>
      <c r="BM68" s="169"/>
      <c r="BN68" s="195"/>
      <c r="BO68" s="195"/>
      <c r="BP68" s="195"/>
      <c r="BQ68" s="195"/>
      <c r="BR68" s="169"/>
      <c r="CA68" s="164"/>
      <c r="CD68" s="256"/>
      <c r="CE68" s="256"/>
      <c r="CF68" s="256"/>
      <c r="CG68" s="256"/>
      <c r="CH68" s="256"/>
      <c r="CI68" s="258"/>
      <c r="CJ68" s="256"/>
      <c r="CK68" s="259"/>
      <c r="CL68" s="259"/>
      <c r="CM68" s="259"/>
    </row>
    <row r="69" spans="1:91" s="134" customFormat="1" ht="15" customHeight="1">
      <c r="A69" s="130"/>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6"/>
      <c r="AK69" s="137"/>
      <c r="AL69" s="137"/>
      <c r="AM69" s="138"/>
      <c r="AN69" s="138"/>
      <c r="AO69" s="139"/>
      <c r="AP69" s="139"/>
      <c r="AQ69" s="139"/>
      <c r="AR69" s="139"/>
      <c r="AS69" s="139"/>
      <c r="AT69" s="139"/>
      <c r="AU69" s="139"/>
      <c r="AV69" s="139"/>
      <c r="BC69" s="134" t="s">
        <v>399</v>
      </c>
      <c r="BG69" s="195"/>
      <c r="BL69" s="228"/>
      <c r="BM69" s="169"/>
      <c r="BN69" s="169"/>
      <c r="BO69" s="169"/>
      <c r="BP69" s="169"/>
      <c r="BQ69" s="169"/>
      <c r="BR69" s="169"/>
      <c r="CA69" s="164"/>
      <c r="CD69" s="256"/>
      <c r="CE69" s="256"/>
      <c r="CF69" s="256"/>
      <c r="CG69" s="256"/>
      <c r="CH69" s="256"/>
      <c r="CI69" s="258"/>
      <c r="CJ69" s="256"/>
      <c r="CK69" s="259"/>
      <c r="CL69" s="259"/>
      <c r="CM69" s="259"/>
    </row>
    <row r="70" spans="1:91" s="134" customFormat="1" ht="15" customHeight="1">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6"/>
      <c r="AK70" s="137"/>
      <c r="AL70" s="137"/>
      <c r="AM70" s="138"/>
      <c r="AN70" s="138"/>
      <c r="AO70" s="139"/>
      <c r="AP70" s="139"/>
      <c r="AQ70" s="139"/>
      <c r="AR70" s="139"/>
      <c r="AS70" s="139"/>
      <c r="AT70" s="139"/>
      <c r="AU70" s="139"/>
      <c r="AV70" s="139"/>
      <c r="BC70" s="134" t="s">
        <v>400</v>
      </c>
      <c r="BL70" s="228"/>
      <c r="BM70" s="169"/>
      <c r="BN70" s="169"/>
      <c r="BO70" s="169"/>
      <c r="BP70" s="169"/>
      <c r="BQ70" s="169"/>
      <c r="BR70" s="169"/>
      <c r="CA70" s="164"/>
      <c r="CD70" s="256"/>
      <c r="CE70" s="256"/>
      <c r="CF70" s="256"/>
      <c r="CG70" s="256"/>
      <c r="CH70" s="256"/>
      <c r="CI70" s="258"/>
      <c r="CJ70" s="256"/>
      <c r="CK70" s="259"/>
      <c r="CL70" s="259"/>
      <c r="CM70" s="259"/>
    </row>
    <row r="71" spans="1:91" s="134" customFormat="1" ht="15" customHeight="1">
      <c r="A71" s="130"/>
      <c r="B71" s="130"/>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6"/>
      <c r="AK71" s="137"/>
      <c r="AL71" s="137"/>
      <c r="AM71" s="138"/>
      <c r="AN71" s="138"/>
      <c r="AO71" s="139"/>
      <c r="AP71" s="139"/>
      <c r="AQ71" s="139"/>
      <c r="AR71" s="139"/>
      <c r="AS71" s="139"/>
      <c r="AT71" s="139"/>
      <c r="AU71" s="139"/>
      <c r="AV71" s="139"/>
      <c r="BC71" s="134" t="s">
        <v>401</v>
      </c>
      <c r="BL71" s="228"/>
      <c r="BM71" s="169"/>
      <c r="BN71" s="169"/>
      <c r="BO71" s="169"/>
      <c r="BP71" s="169"/>
      <c r="BQ71" s="169"/>
      <c r="BR71" s="169"/>
      <c r="CD71" s="256"/>
      <c r="CE71" s="256"/>
      <c r="CF71" s="256"/>
      <c r="CG71" s="256"/>
      <c r="CH71" s="256"/>
      <c r="CI71" s="258"/>
      <c r="CJ71" s="256"/>
      <c r="CK71" s="259"/>
      <c r="CL71" s="259"/>
      <c r="CM71" s="259"/>
    </row>
    <row r="72" spans="1:91" s="134" customFormat="1" ht="15" customHeight="1">
      <c r="A72" s="130"/>
      <c r="B72" s="130"/>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6"/>
      <c r="AK72" s="137"/>
      <c r="AL72" s="137"/>
      <c r="AM72" s="138"/>
      <c r="AN72" s="138"/>
      <c r="AO72" s="139"/>
      <c r="AP72" s="139"/>
      <c r="AQ72" s="139"/>
      <c r="AR72" s="139"/>
      <c r="AS72" s="139"/>
      <c r="AT72" s="139"/>
      <c r="AU72" s="139"/>
      <c r="AV72" s="139"/>
      <c r="BC72" s="134" t="s">
        <v>402</v>
      </c>
      <c r="CD72" s="256"/>
      <c r="CE72" s="256"/>
      <c r="CF72" s="256"/>
      <c r="CG72" s="256"/>
      <c r="CH72" s="256"/>
      <c r="CI72" s="258"/>
      <c r="CJ72" s="256"/>
      <c r="CK72" s="259"/>
      <c r="CL72" s="259"/>
      <c r="CM72" s="259"/>
    </row>
    <row r="73" spans="1:91" s="134" customFormat="1" ht="15" customHeight="1">
      <c r="A73" s="130"/>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6"/>
      <c r="AK73" s="137"/>
      <c r="AL73" s="137"/>
      <c r="AM73" s="138"/>
      <c r="AN73" s="138"/>
      <c r="AO73" s="139"/>
      <c r="AP73" s="139"/>
      <c r="AQ73" s="139"/>
      <c r="AR73" s="139"/>
      <c r="AS73" s="139"/>
      <c r="AT73" s="139"/>
      <c r="AU73" s="139"/>
      <c r="AV73" s="139"/>
      <c r="BC73" s="134" t="s">
        <v>403</v>
      </c>
    </row>
    <row r="74" spans="1:91" ht="15" customHeight="1">
      <c r="AJ74" s="200"/>
      <c r="AL74" s="137"/>
      <c r="AM74" s="138"/>
      <c r="AN74" s="138"/>
      <c r="AO74" s="139"/>
      <c r="AP74" s="139"/>
      <c r="AQ74" s="139"/>
      <c r="AR74" s="139"/>
      <c r="AS74" s="139"/>
      <c r="AT74" s="139"/>
      <c r="AU74" s="139"/>
      <c r="AV74" s="139"/>
      <c r="AZ74" s="134"/>
      <c r="BA74" s="134"/>
      <c r="BB74" s="134"/>
      <c r="BC74" s="130" t="s">
        <v>404</v>
      </c>
      <c r="BD74" s="134"/>
      <c r="BE74" s="134"/>
    </row>
    <row r="75" spans="1:91">
      <c r="AJ75" s="203"/>
      <c r="AL75" s="137"/>
      <c r="AM75" s="138"/>
      <c r="AN75" s="138"/>
      <c r="AO75" s="139"/>
      <c r="AP75" s="139"/>
      <c r="AQ75" s="139"/>
      <c r="AR75" s="139"/>
      <c r="AS75" s="139"/>
      <c r="AT75" s="139"/>
      <c r="AU75" s="139"/>
      <c r="AV75" s="139"/>
      <c r="AZ75" s="134"/>
      <c r="BA75" s="134"/>
    </row>
    <row r="76" spans="1:91" ht="16.5" customHeight="1">
      <c r="AJ76" s="203"/>
      <c r="AM76" s="201"/>
      <c r="AN76" s="201"/>
      <c r="AZ76" s="202"/>
    </row>
    <row r="77" spans="1:91" ht="13.5" customHeight="1">
      <c r="AJ77" s="203"/>
    </row>
    <row r="78" spans="1:91" ht="13.5" customHeight="1">
      <c r="AJ78" s="133"/>
    </row>
    <row r="79" spans="1:91" ht="13.5" customHeight="1">
      <c r="AJ79" s="203"/>
    </row>
    <row r="80" spans="1:91" ht="13.5" customHeight="1">
      <c r="AJ80" s="204"/>
    </row>
    <row r="81" spans="36:36" ht="13.5" customHeight="1">
      <c r="AJ81" s="204"/>
    </row>
    <row r="82" spans="36:36" ht="13.5" customHeight="1"/>
    <row r="83" spans="36:36" ht="13.5" customHeight="1">
      <c r="AJ83" s="203"/>
    </row>
    <row r="84" spans="36:36" ht="13.5" customHeight="1">
      <c r="AJ84" s="205"/>
    </row>
    <row r="85" spans="36:36" ht="13.5" customHeight="1">
      <c r="AJ85" s="205"/>
    </row>
    <row r="86" spans="36:36" ht="13.5" customHeight="1"/>
    <row r="87" spans="36:36" ht="13.5" customHeight="1"/>
    <row r="89" spans="36:36" ht="13.5" customHeight="1"/>
    <row r="90" spans="36:36" ht="14.25" customHeight="1"/>
  </sheetData>
  <sheetProtection algorithmName="SHA-512" hashValue="ZsoY7TJTkzNWQ6xOWqDkF0Zdl5rFmCUPtbY4una0/+kb0VzwO4OH25YHT8xPnANew3VfcATNtt0yBzbfI7EBlQ==" saltValue="GXlsnpFp6g1/p4CI+hOB3Q==" spinCount="100000" sheet="1" formatCells="0"/>
  <mergeCells count="35">
    <mergeCell ref="W17:X17"/>
    <mergeCell ref="W18:X18"/>
    <mergeCell ref="W19:X19"/>
    <mergeCell ref="W20:X20"/>
    <mergeCell ref="V25:V26"/>
    <mergeCell ref="Z3:AH3"/>
    <mergeCell ref="I8:J8"/>
    <mergeCell ref="G8:H8"/>
    <mergeCell ref="E8:F8"/>
    <mergeCell ref="AB25:AB26"/>
    <mergeCell ref="I25:I26"/>
    <mergeCell ref="G5:H5"/>
    <mergeCell ref="I6:J6"/>
    <mergeCell ref="G6:H6"/>
    <mergeCell ref="E6:F6"/>
    <mergeCell ref="I7:J7"/>
    <mergeCell ref="G7:H7"/>
    <mergeCell ref="E7:F7"/>
    <mergeCell ref="R5:U5"/>
    <mergeCell ref="AG23:AH24"/>
    <mergeCell ref="V16:X16"/>
    <mergeCell ref="A23:A25"/>
    <mergeCell ref="AB20:AC20"/>
    <mergeCell ref="S25:T26"/>
    <mergeCell ref="S27:S28"/>
    <mergeCell ref="T27:T28"/>
    <mergeCell ref="B5:C5"/>
    <mergeCell ref="E5:F5"/>
    <mergeCell ref="I5:J5"/>
    <mergeCell ref="R7:AH12"/>
    <mergeCell ref="B8:C8"/>
    <mergeCell ref="B7:C7"/>
    <mergeCell ref="B6:C6"/>
    <mergeCell ref="L6:P7"/>
    <mergeCell ref="V5:AH5"/>
  </mergeCells>
  <phoneticPr fontId="3"/>
  <conditionalFormatting sqref="F10 E8 H10 G8 Q9:Q10 K6:K8">
    <cfRule type="expression" dxfId="60" priority="18">
      <formula>#REF!="なし"</formula>
    </cfRule>
  </conditionalFormatting>
  <conditionalFormatting sqref="X29:X38 AC29:AC38">
    <cfRule type="expression" dxfId="59" priority="11">
      <formula>$E$3="なし"</formula>
    </cfRule>
  </conditionalFormatting>
  <conditionalFormatting sqref="Z29:AA38">
    <cfRule type="expression" dxfId="58" priority="12">
      <formula>$E$3="なし"</formula>
    </cfRule>
  </conditionalFormatting>
  <conditionalFormatting sqref="A22">
    <cfRule type="expression" dxfId="57" priority="33">
      <formula>#REF!&lt;&gt;2</formula>
    </cfRule>
  </conditionalFormatting>
  <conditionalFormatting sqref="A22">
    <cfRule type="expression" dxfId="56" priority="34">
      <formula>#REF!=2</formula>
    </cfRule>
  </conditionalFormatting>
  <conditionalFormatting sqref="AB29:AB38">
    <cfRule type="expression" dxfId="55" priority="6">
      <formula>$E$3="なし"</formula>
    </cfRule>
  </conditionalFormatting>
  <conditionalFormatting sqref="Z25">
    <cfRule type="expression" dxfId="54" priority="5">
      <formula>$AI$28&lt;0</formula>
    </cfRule>
  </conditionalFormatting>
  <conditionalFormatting sqref="T27:T28">
    <cfRule type="expression" dxfId="53" priority="101">
      <formula>SUM($T$29:$T$38)&lt;&gt;$AQ$26</formula>
    </cfRule>
  </conditionalFormatting>
  <conditionalFormatting sqref="S25:T26">
    <cfRule type="expression" dxfId="52" priority="3">
      <formula>COUNTIF($AI$29:$AI$38,"○")&gt;0</formula>
    </cfRule>
  </conditionalFormatting>
  <conditionalFormatting sqref="W7:AH12">
    <cfRule type="expression" dxfId="51" priority="2">
      <formula>AM28&lt;0</formula>
    </cfRule>
  </conditionalFormatting>
  <conditionalFormatting sqref="D29:D38">
    <cfRule type="cellIs" dxfId="50" priority="1" operator="greaterThan">
      <formula>2009</formula>
    </cfRule>
  </conditionalFormatting>
  <conditionalFormatting sqref="R7:V12">
    <cfRule type="expression" dxfId="49" priority="154">
      <formula>AI28&lt;0</formula>
    </cfRule>
  </conditionalFormatting>
  <conditionalFormatting sqref="V18:W19 X21:Y21 W20 W17">
    <cfRule type="expression" dxfId="48" priority="155">
      <formula>$V$16&lt;&gt;""</formula>
    </cfRule>
  </conditionalFormatting>
  <dataValidations count="11">
    <dataValidation type="whole" allowBlank="1" showInputMessage="1" showErrorMessage="1" sqref="W27" xr:uid="{EF31170A-CF30-4952-9586-578678C7BCFB}">
      <formula1>0</formula1>
      <formula2>E27</formula2>
    </dataValidation>
    <dataValidation type="list" allowBlank="1" showInputMessage="1" showErrorMessage="1" sqref="F27 F29:F38" xr:uid="{BC65CF30-DE50-452C-A3DA-5D6854EE0CBA}">
      <formula1>INDIRECT(C27)</formula1>
    </dataValidation>
    <dataValidation type="list" allowBlank="1" showInputMessage="1" showErrorMessage="1" sqref="C17:E21" xr:uid="{6BC51F14-D021-4FCD-A08F-E20002D4E5D0}">
      <formula1>$AO$6:$AO$11</formula1>
    </dataValidation>
    <dataValidation type="list" allowBlank="1" showInputMessage="1" showErrorMessage="1" sqref="C27 V16 C29:C38 X27 X29:X38" xr:uid="{32380B6A-61ED-46C8-98DA-A53402B45E1E}">
      <formula1>$AV$4:$AV$7</formula1>
    </dataValidation>
    <dataValidation type="whole" allowBlank="1" showInputMessage="1" showErrorMessage="1" sqref="K27 K29:K38" xr:uid="{EF185D8D-5739-4EF3-A7A5-B645913B025A}">
      <formula1>0</formula1>
      <formula2>365</formula2>
    </dataValidation>
    <dataValidation type="list" allowBlank="1" showInputMessage="1" showErrorMessage="1" error="プルダウンから選択してください。" sqref="I29:I38 AB29:AB38 AB27 I27" xr:uid="{552268BD-C507-413A-AD3B-604AC4B32E3F}">
      <formula1>"有"</formula1>
    </dataValidation>
    <dataValidation type="list" allowBlank="1" showInputMessage="1" showErrorMessage="1" sqref="S29:S38" xr:uid="{F0871FA1-262B-4880-AD38-E34D4B82DA26}">
      <formula1>"◎,○"</formula1>
    </dataValidation>
    <dataValidation type="decimal" allowBlank="1" showInputMessage="1" showErrorMessage="1" sqref="T29:T38" xr:uid="{3E81003D-FC6C-4F8C-A66D-B5A4F96A4C9D}">
      <formula1>0</formula1>
      <formula2>1</formula2>
    </dataValidation>
    <dataValidation type="list" allowBlank="1" showInputMessage="1" showErrorMessage="1" sqref="Y27:Y38" xr:uid="{AE8A33BA-4B94-4C84-9775-07720298BE87}">
      <formula1>INDIRECT(X27)</formula1>
    </dataValidation>
    <dataValidation type="whole" allowBlank="1" showInputMessage="1" showErrorMessage="1" sqref="D29:D39" xr:uid="{B184941C-A933-4BA7-90AC-716DC846765E}">
      <formula1>1900</formula1>
      <formula2>2040</formula2>
    </dataValidation>
    <dataValidation type="list" allowBlank="1" showInputMessage="1" showErrorMessage="1" sqref="V18:V19" xr:uid="{8688E0DE-0BE6-42FB-B36B-3DB44E06A3E2}">
      <formula1>$AW$10:$AW$12</formula1>
    </dataValidation>
  </dataValidations>
  <printOptions horizontalCentered="1"/>
  <pageMargins left="0.59055118110236227" right="0.59055118110236227" top="0.46" bottom="0" header="0.31496062992125984" footer="0.31496062992125984"/>
  <pageSetup paperSize="9" scale="63" orientation="landscape" r:id="rId1"/>
  <headerFooter>
    <oddHeader>&amp;L&amp;10様式第1-1号（別紙）&amp;C&amp;10R5年度_《緊急予算枠》_CO₂削減量算定シート</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63484AA-F7BC-4C9C-A652-78869735EEC3}">
          <x14:formula1>
            <xm:f>記入方法!$X$18:$X$20</xm:f>
          </x14:formula1>
          <xm:sqref>V29:V38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0B883-3A30-4804-882D-ACB4F01F5283}">
  <sheetPr codeName="Sheet7">
    <tabColor rgb="FF00B0F0"/>
    <pageSetUpPr fitToPage="1"/>
  </sheetPr>
  <dimension ref="A1:AL39"/>
  <sheetViews>
    <sheetView view="pageBreakPreview" topLeftCell="A9" zoomScale="70" zoomScaleNormal="100" zoomScaleSheetLayoutView="70" workbookViewId="0">
      <selection activeCell="C32" sqref="C32"/>
    </sheetView>
  </sheetViews>
  <sheetFormatPr defaultRowHeight="13.5"/>
  <cols>
    <col min="1" max="1" width="3.875" customWidth="1"/>
    <col min="2" max="2" width="12.875" customWidth="1"/>
    <col min="4" max="4" width="7.625" customWidth="1"/>
    <col min="5" max="5" width="5.625" customWidth="1"/>
    <col min="7" max="7" width="9.375" customWidth="1"/>
    <col min="8" max="8" width="8.875" customWidth="1"/>
    <col min="9" max="10" width="6.75" customWidth="1"/>
    <col min="11" max="11" width="6.25" customWidth="1"/>
    <col min="12" max="12" width="6.875" customWidth="1"/>
    <col min="13" max="13" width="9.375" customWidth="1"/>
    <col min="14" max="14" width="8.375" customWidth="1"/>
    <col min="15" max="15" width="5" customWidth="1"/>
    <col min="16" max="16" width="13.875" customWidth="1"/>
    <col min="17" max="17" width="5.25" customWidth="1"/>
    <col min="18" max="18" width="6.5" customWidth="1"/>
    <col min="19" max="19" width="6" customWidth="1"/>
    <col min="27" max="38" width="9" hidden="1" customWidth="1"/>
  </cols>
  <sheetData>
    <row r="1" spans="1:27" hidden="1">
      <c r="B1" t="s">
        <v>936</v>
      </c>
      <c r="C1" t="s">
        <v>938</v>
      </c>
      <c r="D1" t="s">
        <v>4</v>
      </c>
      <c r="E1" t="s">
        <v>941</v>
      </c>
      <c r="F1" t="s">
        <v>943</v>
      </c>
      <c r="G1" t="s">
        <v>938</v>
      </c>
      <c r="H1" t="s">
        <v>4</v>
      </c>
      <c r="I1" t="s">
        <v>941</v>
      </c>
      <c r="U1" t="s">
        <v>945</v>
      </c>
      <c r="V1" t="s">
        <v>947</v>
      </c>
    </row>
    <row r="2" spans="1:27" hidden="1">
      <c r="B2">
        <f>E7</f>
        <v>0</v>
      </c>
      <c r="C2">
        <f>G7</f>
        <v>0</v>
      </c>
      <c r="D2">
        <f>I7</f>
        <v>0</v>
      </c>
      <c r="E2">
        <f>K7</f>
        <v>0</v>
      </c>
      <c r="F2">
        <f>E8</f>
        <v>0</v>
      </c>
      <c r="G2">
        <f>G8</f>
        <v>0</v>
      </c>
      <c r="H2">
        <f>I8</f>
        <v>0</v>
      </c>
      <c r="I2">
        <f>K8</f>
        <v>0</v>
      </c>
      <c r="U2" t="str">
        <f>O5</f>
        <v/>
      </c>
      <c r="V2">
        <f>M7</f>
        <v>0</v>
      </c>
    </row>
    <row r="3" spans="1:27" ht="30">
      <c r="A3" s="13" t="s">
        <v>31</v>
      </c>
      <c r="B3" s="11"/>
      <c r="C3" s="11"/>
      <c r="D3" s="11"/>
      <c r="E3" s="2"/>
      <c r="F3" s="14"/>
      <c r="G3" s="2"/>
      <c r="H3" s="2"/>
      <c r="I3" s="2"/>
      <c r="J3" s="4"/>
      <c r="K3" s="2"/>
      <c r="L3" s="2"/>
      <c r="M3" s="2"/>
      <c r="N3" s="5"/>
      <c r="O3" s="2"/>
      <c r="P3" s="11"/>
      <c r="Q3" s="11"/>
      <c r="R3" s="11"/>
      <c r="S3" s="11"/>
      <c r="T3" s="1103">
        <f>CO２削減量算定シート!O7</f>
        <v>0</v>
      </c>
      <c r="U3" s="1104"/>
      <c r="V3" s="1104"/>
      <c r="W3" s="1104"/>
      <c r="X3" s="1104"/>
      <c r="Y3" s="1104"/>
      <c r="Z3" s="1105"/>
      <c r="AA3" s="11"/>
    </row>
    <row r="4" spans="1:27" ht="18.75">
      <c r="A4" s="129" t="s">
        <v>308</v>
      </c>
      <c r="B4" s="11"/>
      <c r="C4" s="11"/>
      <c r="D4" s="11"/>
      <c r="E4" s="11"/>
      <c r="F4" s="11"/>
      <c r="G4" s="11"/>
      <c r="H4" s="11"/>
      <c r="I4" s="11"/>
      <c r="J4" s="11"/>
      <c r="K4" s="11"/>
      <c r="L4" s="11"/>
      <c r="M4" s="105" t="s">
        <v>310</v>
      </c>
      <c r="N4" s="130"/>
      <c r="O4" s="468" t="s">
        <v>719</v>
      </c>
      <c r="P4" s="105"/>
      <c r="Q4" s="105"/>
      <c r="R4" s="371"/>
      <c r="S4" s="10"/>
      <c r="T4" s="10"/>
      <c r="U4" s="10"/>
      <c r="V4" s="10"/>
      <c r="W4" s="371"/>
      <c r="X4" s="11"/>
    </row>
    <row r="5" spans="1:27" ht="22.5" customHeight="1">
      <c r="B5" s="1108" t="s">
        <v>624</v>
      </c>
      <c r="C5" s="1109"/>
      <c r="D5" s="7" t="s">
        <v>1</v>
      </c>
      <c r="E5" s="1099" t="s">
        <v>2</v>
      </c>
      <c r="F5" s="1099"/>
      <c r="G5" s="1099" t="s">
        <v>3</v>
      </c>
      <c r="H5" s="1099"/>
      <c r="I5" s="1099" t="s">
        <v>4</v>
      </c>
      <c r="J5" s="1099"/>
      <c r="K5" s="8" t="s">
        <v>5</v>
      </c>
      <c r="L5" s="11"/>
      <c r="M5" s="1010" t="s">
        <v>11</v>
      </c>
      <c r="N5" s="1012"/>
      <c r="O5" s="1060" t="str">
        <f>IF(Y29="","",IF(D29&lt;R29,"定格出力が増加しています。下蘭に事由を記載してください。",""))</f>
        <v/>
      </c>
      <c r="P5" s="1061"/>
      <c r="Q5" s="1061"/>
      <c r="R5" s="1061"/>
      <c r="S5" s="1061"/>
      <c r="T5" s="1061"/>
      <c r="U5" s="1061"/>
      <c r="V5" s="1061"/>
      <c r="W5" s="1061"/>
      <c r="X5" s="1061"/>
      <c r="Y5" s="1061"/>
      <c r="Z5" s="1062"/>
    </row>
    <row r="6" spans="1:27" ht="19.5" customHeight="1">
      <c r="A6" s="11"/>
      <c r="B6" s="1108" t="s">
        <v>32</v>
      </c>
      <c r="C6" s="1109"/>
      <c r="D6" s="365" t="s">
        <v>8</v>
      </c>
      <c r="E6" s="1111">
        <f>M29</f>
        <v>0</v>
      </c>
      <c r="F6" s="1111"/>
      <c r="G6" s="1111">
        <f>W29</f>
        <v>0</v>
      </c>
      <c r="H6" s="1111"/>
      <c r="I6" s="1102">
        <f>E6-G6</f>
        <v>0</v>
      </c>
      <c r="J6" s="1102"/>
      <c r="K6" s="417">
        <f>IFERROR(I6/E6,0)</f>
        <v>0</v>
      </c>
      <c r="L6" s="11"/>
      <c r="M6" s="18" t="s">
        <v>6</v>
      </c>
      <c r="N6" s="107"/>
      <c r="O6" s="107"/>
      <c r="P6" s="107"/>
      <c r="Q6" s="107"/>
      <c r="R6" s="107"/>
      <c r="S6" s="107"/>
      <c r="T6" s="107"/>
      <c r="U6" s="107"/>
      <c r="V6" s="107"/>
      <c r="W6" s="107"/>
      <c r="X6" s="107"/>
      <c r="Y6" s="107"/>
      <c r="Z6" s="108"/>
    </row>
    <row r="7" spans="1:27" ht="19.5" customHeight="1">
      <c r="A7" s="11"/>
      <c r="B7" s="1108" t="s">
        <v>33</v>
      </c>
      <c r="C7" s="1109"/>
      <c r="D7" s="365" t="s">
        <v>10</v>
      </c>
      <c r="E7" s="1110">
        <f>N29</f>
        <v>0</v>
      </c>
      <c r="F7" s="1110"/>
      <c r="G7" s="1110">
        <f>X29</f>
        <v>0</v>
      </c>
      <c r="H7" s="1110"/>
      <c r="I7" s="1101">
        <f>E7-G7</f>
        <v>0</v>
      </c>
      <c r="J7" s="1101"/>
      <c r="K7" s="417">
        <f>IFERROR(I7/E7,0)</f>
        <v>0</v>
      </c>
      <c r="L7" s="11"/>
      <c r="M7" s="1001"/>
      <c r="N7" s="1002"/>
      <c r="O7" s="1002"/>
      <c r="P7" s="1002"/>
      <c r="Q7" s="1002"/>
      <c r="R7" s="1002"/>
      <c r="S7" s="1002"/>
      <c r="T7" s="1002"/>
      <c r="U7" s="1002"/>
      <c r="V7" s="1002"/>
      <c r="W7" s="1002"/>
      <c r="X7" s="1002"/>
      <c r="Y7" s="1002"/>
      <c r="Z7" s="1003"/>
    </row>
    <row r="8" spans="1:27" ht="19.5" customHeight="1">
      <c r="A8" s="11"/>
      <c r="B8" s="980" t="s">
        <v>12</v>
      </c>
      <c r="C8" s="1034"/>
      <c r="D8" s="119" t="s">
        <v>13</v>
      </c>
      <c r="E8" s="1100">
        <f>AB29</f>
        <v>0</v>
      </c>
      <c r="F8" s="1100"/>
      <c r="G8" s="1100">
        <f>AC29</f>
        <v>0</v>
      </c>
      <c r="H8" s="1100"/>
      <c r="I8" s="1100">
        <f>E8-G8</f>
        <v>0</v>
      </c>
      <c r="J8" s="1100"/>
      <c r="K8" s="417">
        <f>IFERROR(I8/E8,0)</f>
        <v>0</v>
      </c>
      <c r="L8" s="11"/>
      <c r="M8" s="1004"/>
      <c r="N8" s="1005"/>
      <c r="O8" s="1005"/>
      <c r="P8" s="1005"/>
      <c r="Q8" s="1005"/>
      <c r="R8" s="1005"/>
      <c r="S8" s="1005"/>
      <c r="T8" s="1005"/>
      <c r="U8" s="1005"/>
      <c r="V8" s="1005"/>
      <c r="W8" s="1005"/>
      <c r="X8" s="1005"/>
      <c r="Y8" s="1005"/>
      <c r="Z8" s="1006"/>
    </row>
    <row r="9" spans="1:27" ht="15.75" customHeight="1">
      <c r="A9" s="11"/>
      <c r="L9" s="11"/>
      <c r="M9" s="1004"/>
      <c r="N9" s="1005"/>
      <c r="O9" s="1005"/>
      <c r="P9" s="1005"/>
      <c r="Q9" s="1005"/>
      <c r="R9" s="1005"/>
      <c r="S9" s="1005"/>
      <c r="T9" s="1005"/>
      <c r="U9" s="1005"/>
      <c r="V9" s="1005"/>
      <c r="W9" s="1005"/>
      <c r="X9" s="1005"/>
      <c r="Y9" s="1005"/>
      <c r="Z9" s="1006"/>
    </row>
    <row r="10" spans="1:27">
      <c r="A10" s="11"/>
      <c r="B10" s="11"/>
      <c r="C10" s="11"/>
      <c r="D10" s="11"/>
      <c r="E10" s="11"/>
      <c r="F10" s="11"/>
      <c r="G10" s="11"/>
      <c r="H10" s="11"/>
      <c r="I10" s="11"/>
      <c r="J10" s="11"/>
      <c r="K10" s="11"/>
      <c r="L10" s="11"/>
      <c r="M10" s="1004"/>
      <c r="N10" s="1005"/>
      <c r="O10" s="1005"/>
      <c r="P10" s="1005"/>
      <c r="Q10" s="1005"/>
      <c r="R10" s="1005"/>
      <c r="S10" s="1005"/>
      <c r="T10" s="1005"/>
      <c r="U10" s="1005"/>
      <c r="V10" s="1005"/>
      <c r="W10" s="1005"/>
      <c r="X10" s="1005"/>
      <c r="Y10" s="1005"/>
      <c r="Z10" s="1006"/>
    </row>
    <row r="11" spans="1:27">
      <c r="A11" s="11"/>
      <c r="B11" s="11"/>
      <c r="C11" s="11"/>
      <c r="D11" s="11"/>
      <c r="E11" s="11"/>
      <c r="F11" s="11"/>
      <c r="G11" s="11"/>
      <c r="H11" s="11"/>
      <c r="I11" s="11"/>
      <c r="J11" s="11"/>
      <c r="K11" s="11"/>
      <c r="L11" s="11"/>
      <c r="M11" s="1004"/>
      <c r="N11" s="1005"/>
      <c r="O11" s="1005"/>
      <c r="P11" s="1005"/>
      <c r="Q11" s="1005"/>
      <c r="R11" s="1005"/>
      <c r="S11" s="1005"/>
      <c r="T11" s="1005"/>
      <c r="U11" s="1005"/>
      <c r="V11" s="1005"/>
      <c r="W11" s="1005"/>
      <c r="X11" s="1005"/>
      <c r="Y11" s="1005"/>
      <c r="Z11" s="1006"/>
    </row>
    <row r="12" spans="1:27">
      <c r="A12" s="11"/>
      <c r="B12" s="11"/>
      <c r="C12" s="11"/>
      <c r="D12" s="11"/>
      <c r="E12" s="11"/>
      <c r="F12" s="11"/>
      <c r="G12" s="11"/>
      <c r="H12" s="11"/>
      <c r="I12" s="11"/>
      <c r="J12" s="11"/>
      <c r="K12" s="11"/>
      <c r="L12" s="11"/>
      <c r="M12" s="1007"/>
      <c r="N12" s="1008"/>
      <c r="O12" s="1008"/>
      <c r="P12" s="1008"/>
      <c r="Q12" s="1008"/>
      <c r="R12" s="1008"/>
      <c r="S12" s="1008"/>
      <c r="T12" s="1008"/>
      <c r="U12" s="1008"/>
      <c r="V12" s="1008"/>
      <c r="W12" s="1008"/>
      <c r="X12" s="1008"/>
      <c r="Y12" s="1008"/>
      <c r="Z12" s="1009"/>
    </row>
    <row r="13" spans="1:27" ht="5.25" customHeight="1">
      <c r="C13" s="11"/>
      <c r="D13" s="11"/>
      <c r="E13" s="11"/>
      <c r="F13" s="11"/>
      <c r="G13" s="11"/>
      <c r="H13" s="11"/>
      <c r="I13" s="11"/>
      <c r="J13" s="11"/>
      <c r="K13" s="11"/>
      <c r="L13" s="11"/>
    </row>
    <row r="14" spans="1:27" ht="18.75" customHeight="1">
      <c r="A14" s="105" t="s">
        <v>309</v>
      </c>
      <c r="B14" s="11"/>
      <c r="C14" s="11"/>
      <c r="D14" s="11"/>
      <c r="E14" s="11"/>
      <c r="F14" s="11"/>
      <c r="G14" s="11"/>
      <c r="H14" s="11"/>
      <c r="I14" s="11"/>
      <c r="J14" s="11"/>
      <c r="K14" s="11"/>
      <c r="L14" s="11"/>
      <c r="M14" s="10"/>
      <c r="N14" s="10"/>
      <c r="O14" s="11"/>
      <c r="P14" s="11"/>
      <c r="Q14" s="11"/>
      <c r="R14" s="11"/>
      <c r="S14" s="11"/>
      <c r="T14" s="11"/>
      <c r="U14" s="11"/>
      <c r="V14" s="11"/>
      <c r="W14" s="11"/>
      <c r="X14" s="11"/>
    </row>
    <row r="15" spans="1:27">
      <c r="A15" s="11"/>
      <c r="B15" s="11"/>
      <c r="C15" s="11"/>
      <c r="D15" s="11"/>
      <c r="E15" s="11"/>
      <c r="F15" s="11"/>
      <c r="G15" s="11"/>
      <c r="H15" s="11"/>
      <c r="I15" s="11"/>
      <c r="J15" s="11"/>
      <c r="K15" s="11"/>
      <c r="L15" s="11"/>
      <c r="M15" s="11"/>
      <c r="N15" s="10"/>
      <c r="O15" s="10"/>
      <c r="P15" s="11"/>
      <c r="Q15" s="11"/>
      <c r="R15" s="11"/>
      <c r="S15" s="11"/>
      <c r="T15" s="11"/>
      <c r="U15" s="11"/>
      <c r="V15" s="11"/>
      <c r="W15" s="11"/>
      <c r="X15" s="11"/>
      <c r="Y15" s="11"/>
    </row>
    <row r="16" spans="1:27">
      <c r="A16" s="11"/>
      <c r="B16" s="11"/>
      <c r="C16" s="11"/>
      <c r="D16" s="11"/>
      <c r="E16" s="11"/>
      <c r="F16" s="11"/>
      <c r="G16" s="11"/>
      <c r="H16" s="11"/>
      <c r="I16" s="11"/>
      <c r="J16" s="11"/>
      <c r="K16" s="11"/>
      <c r="L16" s="11"/>
      <c r="M16" s="11"/>
      <c r="N16" s="10"/>
      <c r="O16" s="10"/>
      <c r="P16" s="11"/>
      <c r="Q16" s="11"/>
      <c r="R16" s="11"/>
      <c r="S16" s="11"/>
      <c r="T16" s="11"/>
      <c r="U16" s="11"/>
      <c r="V16" s="11"/>
      <c r="W16" s="11"/>
      <c r="X16" s="11"/>
      <c r="Y16" s="11"/>
      <c r="Z16" s="11"/>
      <c r="AA16" s="11"/>
    </row>
    <row r="17" spans="1:36">
      <c r="A17" s="11"/>
      <c r="B17" s="11"/>
      <c r="C17" s="11"/>
      <c r="D17" s="11"/>
      <c r="E17" s="11"/>
      <c r="F17" s="11"/>
      <c r="G17" s="11"/>
      <c r="H17" s="11"/>
      <c r="I17" s="11"/>
      <c r="J17" s="11"/>
      <c r="K17" s="11"/>
      <c r="L17" s="11"/>
      <c r="M17" s="11"/>
      <c r="N17" s="10"/>
      <c r="O17" s="10"/>
      <c r="P17" s="11"/>
      <c r="Q17" s="11"/>
      <c r="R17" s="11"/>
      <c r="S17" s="11"/>
      <c r="T17" s="11"/>
      <c r="U17" s="11"/>
      <c r="V17" s="11"/>
      <c r="W17" s="11"/>
      <c r="X17" s="11"/>
      <c r="Y17" s="11"/>
      <c r="Z17" s="11"/>
      <c r="AA17" s="11"/>
    </row>
    <row r="18" spans="1:36">
      <c r="A18" s="11"/>
      <c r="B18" s="11"/>
      <c r="C18" s="11"/>
      <c r="D18" s="11"/>
      <c r="E18" s="11"/>
      <c r="F18" s="11"/>
      <c r="G18" s="11"/>
      <c r="H18" s="11"/>
      <c r="I18" s="11"/>
      <c r="J18" s="11"/>
      <c r="K18" s="11"/>
      <c r="L18" s="11"/>
      <c r="M18" s="11"/>
      <c r="N18" s="10"/>
      <c r="O18" s="10"/>
      <c r="P18" s="11"/>
      <c r="Q18" s="11"/>
      <c r="R18" s="11"/>
      <c r="S18" s="11"/>
      <c r="T18" s="11"/>
      <c r="U18" s="11"/>
      <c r="V18" s="11"/>
      <c r="W18" s="11"/>
      <c r="X18" s="11"/>
      <c r="Y18" s="11"/>
      <c r="Z18" s="11"/>
      <c r="AA18" s="11"/>
    </row>
    <row r="19" spans="1:36">
      <c r="A19" s="11"/>
      <c r="B19" s="11"/>
      <c r="C19" s="11"/>
      <c r="D19" s="11"/>
      <c r="E19" s="11"/>
      <c r="F19" s="11"/>
      <c r="G19" s="11"/>
      <c r="H19" s="11"/>
      <c r="I19" s="11"/>
      <c r="J19" s="11"/>
      <c r="K19" s="11"/>
      <c r="L19" s="11"/>
      <c r="M19" s="11"/>
      <c r="N19" s="10"/>
      <c r="O19" s="10"/>
      <c r="P19" s="11"/>
      <c r="Q19" s="11"/>
      <c r="R19" s="11"/>
      <c r="S19" s="11"/>
      <c r="T19" s="11"/>
      <c r="U19" s="11"/>
      <c r="V19" s="11"/>
      <c r="W19" s="11"/>
      <c r="X19" s="11"/>
      <c r="Y19" s="11"/>
      <c r="Z19" s="11"/>
      <c r="AA19" s="11"/>
    </row>
    <row r="20" spans="1:36">
      <c r="A20" s="11"/>
      <c r="B20" s="11"/>
      <c r="C20" s="11"/>
      <c r="D20" s="11"/>
      <c r="E20" s="11"/>
      <c r="F20" s="11"/>
      <c r="G20" s="11"/>
      <c r="H20" s="11"/>
      <c r="I20" s="11"/>
      <c r="J20" s="11"/>
      <c r="K20" s="11"/>
      <c r="L20" s="11"/>
      <c r="M20" s="11"/>
      <c r="N20" s="10"/>
      <c r="O20" s="10"/>
      <c r="P20" s="11"/>
      <c r="Q20" s="11"/>
      <c r="R20" s="11"/>
      <c r="S20" s="11"/>
      <c r="T20" s="11"/>
      <c r="U20" s="11"/>
      <c r="V20" s="11"/>
      <c r="W20" s="11"/>
      <c r="X20" s="11"/>
      <c r="Y20" s="11"/>
      <c r="Z20" s="11"/>
      <c r="AA20" s="11"/>
    </row>
    <row r="21" spans="1:36" ht="18.75">
      <c r="A21" s="15"/>
      <c r="B21" s="11"/>
      <c r="C21" s="11"/>
      <c r="D21" s="11"/>
      <c r="E21" s="11"/>
      <c r="F21" s="11"/>
      <c r="G21" s="11"/>
      <c r="H21" s="11"/>
      <c r="I21" s="11"/>
      <c r="J21" s="11"/>
      <c r="K21" s="11"/>
      <c r="L21" s="11"/>
      <c r="M21" s="11"/>
      <c r="N21" s="10"/>
      <c r="O21" s="10"/>
      <c r="P21" s="11"/>
      <c r="Q21" s="11"/>
      <c r="R21" s="11"/>
      <c r="S21" s="11"/>
      <c r="T21" s="11"/>
      <c r="U21" s="11"/>
      <c r="V21" s="11"/>
      <c r="W21" s="11"/>
      <c r="X21" s="11"/>
      <c r="Y21" s="11"/>
      <c r="Z21" s="11"/>
      <c r="AA21" s="11"/>
    </row>
    <row r="22" spans="1:36" ht="18.75">
      <c r="A22" s="15"/>
      <c r="B22" s="11"/>
      <c r="C22" s="11"/>
      <c r="D22" s="11"/>
      <c r="E22" s="11"/>
      <c r="F22" s="11"/>
      <c r="G22" s="11"/>
      <c r="H22" s="11"/>
      <c r="I22" s="11"/>
      <c r="J22" s="11"/>
      <c r="K22" s="11"/>
      <c r="L22" s="11"/>
      <c r="M22" s="11"/>
      <c r="N22" s="10"/>
      <c r="O22" s="10"/>
      <c r="P22" s="11"/>
      <c r="Q22" s="11"/>
      <c r="R22" s="11"/>
      <c r="S22" s="11"/>
      <c r="T22" s="11"/>
      <c r="U22" s="11"/>
      <c r="V22" s="11"/>
      <c r="W22" s="11"/>
      <c r="X22" s="11"/>
      <c r="Y22" s="11"/>
      <c r="Z22" s="11"/>
      <c r="AA22" s="11"/>
    </row>
    <row r="23" spans="1:36" ht="18.75">
      <c r="A23" s="15"/>
      <c r="B23" s="11"/>
      <c r="C23" s="11"/>
      <c r="D23" s="11"/>
      <c r="E23" s="11"/>
      <c r="F23" s="11"/>
      <c r="G23" s="11"/>
      <c r="H23" s="11"/>
      <c r="I23" s="11"/>
      <c r="J23" s="11"/>
      <c r="K23" s="11"/>
      <c r="L23" s="11"/>
      <c r="M23" s="11"/>
      <c r="N23" s="10"/>
      <c r="O23" s="10"/>
      <c r="P23" s="11"/>
      <c r="Q23" s="11"/>
      <c r="R23" s="11"/>
      <c r="S23" s="11"/>
      <c r="T23" s="11"/>
      <c r="U23" s="11"/>
      <c r="V23" s="11"/>
      <c r="W23" s="11"/>
      <c r="X23" s="11"/>
      <c r="Y23" s="11"/>
      <c r="Z23" s="11"/>
      <c r="AA23" s="11"/>
    </row>
    <row r="24" spans="1:36" ht="18.75">
      <c r="A24" s="11"/>
      <c r="B24" s="11"/>
      <c r="C24" s="11"/>
      <c r="D24" s="11"/>
      <c r="E24" s="11"/>
      <c r="F24" s="11"/>
      <c r="G24" s="11"/>
      <c r="H24" s="11" t="s">
        <v>861</v>
      </c>
      <c r="I24" s="11"/>
      <c r="J24" s="11"/>
      <c r="K24" s="11"/>
      <c r="L24" s="11"/>
      <c r="N24" s="12"/>
      <c r="O24" s="11"/>
      <c r="P24" s="11"/>
      <c r="Q24" s="11"/>
      <c r="R24" s="11" t="s">
        <v>629</v>
      </c>
      <c r="S24" s="11"/>
      <c r="T24" s="11"/>
      <c r="U24" s="11"/>
      <c r="V24" s="11"/>
      <c r="X24" s="11"/>
      <c r="Y24" s="11"/>
      <c r="Z24" s="11"/>
      <c r="AA24" s="11"/>
    </row>
    <row r="25" spans="1:36" ht="15.75" customHeight="1">
      <c r="A25" s="1106" t="s">
        <v>0</v>
      </c>
      <c r="B25" s="354" t="s">
        <v>2</v>
      </c>
      <c r="C25" s="355"/>
      <c r="D25" s="355"/>
      <c r="E25" s="355"/>
      <c r="F25" s="355"/>
      <c r="G25" s="355"/>
      <c r="H25" s="355"/>
      <c r="I25" s="355"/>
      <c r="J25" s="355"/>
      <c r="K25" s="355"/>
      <c r="L25" s="355"/>
      <c r="M25" s="355"/>
      <c r="N25" s="355"/>
      <c r="O25" s="367"/>
      <c r="P25" s="355" t="s">
        <v>3</v>
      </c>
      <c r="Q25" s="355"/>
      <c r="R25" s="355"/>
      <c r="S25" s="355"/>
      <c r="T25" s="355"/>
      <c r="U25" s="355"/>
      <c r="V25" s="355"/>
      <c r="W25" s="355"/>
      <c r="X25" s="356"/>
      <c r="Y25" s="368" t="s">
        <v>14</v>
      </c>
      <c r="Z25" s="368"/>
    </row>
    <row r="26" spans="1:36" ht="48">
      <c r="A26" s="1107"/>
      <c r="B26" s="945" t="s">
        <v>15</v>
      </c>
      <c r="C26" s="369" t="s">
        <v>610</v>
      </c>
      <c r="D26" s="369" t="s">
        <v>34</v>
      </c>
      <c r="E26" s="369" t="s">
        <v>698</v>
      </c>
      <c r="F26" s="369" t="s">
        <v>35</v>
      </c>
      <c r="G26" s="369" t="s">
        <v>984</v>
      </c>
      <c r="H26" s="369" t="s">
        <v>809</v>
      </c>
      <c r="I26" s="369" t="s">
        <v>602</v>
      </c>
      <c r="J26" s="369" t="s">
        <v>605</v>
      </c>
      <c r="K26" s="369" t="s">
        <v>606</v>
      </c>
      <c r="L26" s="369" t="s">
        <v>607</v>
      </c>
      <c r="M26" s="369" t="s">
        <v>18</v>
      </c>
      <c r="N26" s="369" t="s">
        <v>36</v>
      </c>
      <c r="O26" s="369" t="s">
        <v>608</v>
      </c>
      <c r="P26" s="945" t="s">
        <v>15</v>
      </c>
      <c r="Q26" s="992" t="s">
        <v>1032</v>
      </c>
      <c r="R26" s="369" t="s">
        <v>34</v>
      </c>
      <c r="S26" s="369" t="s">
        <v>698</v>
      </c>
      <c r="T26" s="369" t="s">
        <v>35</v>
      </c>
      <c r="U26" s="369" t="s">
        <v>984</v>
      </c>
      <c r="V26" s="369" t="s">
        <v>809</v>
      </c>
      <c r="W26" s="369" t="s">
        <v>18</v>
      </c>
      <c r="X26" s="369" t="s">
        <v>37</v>
      </c>
      <c r="Y26" s="370" t="s">
        <v>38</v>
      </c>
      <c r="Z26" s="370" t="s">
        <v>39</v>
      </c>
      <c r="AB26" s="373" t="s">
        <v>623</v>
      </c>
      <c r="AD26" t="s">
        <v>619</v>
      </c>
      <c r="AE26" t="s">
        <v>620</v>
      </c>
    </row>
    <row r="27" spans="1:36">
      <c r="A27" s="365" t="s">
        <v>1</v>
      </c>
      <c r="B27" s="946"/>
      <c r="C27" s="365" t="s">
        <v>626</v>
      </c>
      <c r="D27" s="365" t="s">
        <v>40</v>
      </c>
      <c r="E27" s="365"/>
      <c r="F27" s="365" t="s">
        <v>41</v>
      </c>
      <c r="G27" s="365" t="s">
        <v>41</v>
      </c>
      <c r="H27" s="365" t="s">
        <v>808</v>
      </c>
      <c r="I27" s="365" t="s">
        <v>604</v>
      </c>
      <c r="J27" s="365" t="s">
        <v>603</v>
      </c>
      <c r="K27" s="365" t="s">
        <v>20</v>
      </c>
      <c r="L27" s="365" t="s">
        <v>20</v>
      </c>
      <c r="M27" s="365" t="s">
        <v>8</v>
      </c>
      <c r="N27" s="365" t="s">
        <v>10</v>
      </c>
      <c r="O27" s="365" t="s">
        <v>621</v>
      </c>
      <c r="P27" s="946"/>
      <c r="Q27" s="993"/>
      <c r="R27" s="365" t="s">
        <v>40</v>
      </c>
      <c r="S27" s="365"/>
      <c r="T27" s="365" t="s">
        <v>41</v>
      </c>
      <c r="U27" s="365" t="s">
        <v>41</v>
      </c>
      <c r="V27" s="365" t="s">
        <v>808</v>
      </c>
      <c r="W27" s="365" t="s">
        <v>8</v>
      </c>
      <c r="X27" s="365" t="s">
        <v>10</v>
      </c>
      <c r="Y27" s="365" t="s">
        <v>8</v>
      </c>
      <c r="Z27" s="365" t="s">
        <v>10</v>
      </c>
      <c r="AE27">
        <v>1</v>
      </c>
      <c r="AF27">
        <v>2</v>
      </c>
    </row>
    <row r="28" spans="1:36" s="363" customFormat="1" ht="30.75" customHeight="1">
      <c r="A28" s="362" t="s">
        <v>23</v>
      </c>
      <c r="B28" s="559" t="s">
        <v>42</v>
      </c>
      <c r="C28" s="559">
        <v>2000</v>
      </c>
      <c r="D28" s="559">
        <v>150</v>
      </c>
      <c r="E28" s="566" t="s">
        <v>622</v>
      </c>
      <c r="F28" s="559">
        <v>350</v>
      </c>
      <c r="G28" s="559">
        <v>1950</v>
      </c>
      <c r="H28" s="567">
        <f>IF(D28="","",IF(D28&gt;500,F28+G28*0.5^2,F28+G28*0.4^2))</f>
        <v>662</v>
      </c>
      <c r="I28" s="568">
        <v>250</v>
      </c>
      <c r="J28" s="539">
        <v>10</v>
      </c>
      <c r="K28" s="565">
        <v>0.4</v>
      </c>
      <c r="L28" s="565">
        <v>0.05</v>
      </c>
      <c r="M28" s="316">
        <f>(F28*365*24+G28*K28^2*I28*J28+G28*L28^2*I28*(24-J28)+G28*L28^2*(365-I28)*24)/1000</f>
        <v>3876.5174999999999</v>
      </c>
      <c r="N28" s="318">
        <f>M28*'CO₂係数 '!$I$33</f>
        <v>1.9188761624999999</v>
      </c>
      <c r="O28" s="903" t="s">
        <v>609</v>
      </c>
      <c r="P28" s="559" t="s">
        <v>43</v>
      </c>
      <c r="Q28" s="559">
        <v>1</v>
      </c>
      <c r="R28" s="559">
        <v>150</v>
      </c>
      <c r="S28" s="569" t="s">
        <v>622</v>
      </c>
      <c r="T28" s="559">
        <v>70</v>
      </c>
      <c r="U28" s="559">
        <v>1350</v>
      </c>
      <c r="V28" s="567">
        <f>IF(R28="","",IF(R28&gt;500,T28+U28*0.5^2,T28+U28*0.4^2))</f>
        <v>286</v>
      </c>
      <c r="W28" s="372">
        <f>(T28*365*24+U28*AE28^2*I28*J28+U28*AF28^2*I28*(24-J28)+U28*AF28^2*(365-I28)*24)/1000</f>
        <v>1174.3275000000001</v>
      </c>
      <c r="X28" s="318">
        <f>W28*'CO₂係数 '!$I$33</f>
        <v>0.58129211250000001</v>
      </c>
      <c r="Y28" s="316">
        <f>M28-W28</f>
        <v>2702.1899999999996</v>
      </c>
      <c r="Z28" s="318">
        <f>N28-X28</f>
        <v>1.3375840499999998</v>
      </c>
      <c r="AB28" s="374">
        <f>M28*'CO₂係数 '!$C$33*0.0258</f>
        <v>976.13811864000002</v>
      </c>
      <c r="AC28" s="374">
        <f>W28*'CO₂係数 '!$C$33*0.0258</f>
        <v>295.70505911999999</v>
      </c>
      <c r="AE28" s="366">
        <f>IF(AND(R30="",O28="●",O30=""),(D28*K28+K29*D29+D30*K30)/R28,IF(AND(R29="",O28="●"),(D28*K28+D29*K29)/R28,K28))</f>
        <v>0.4</v>
      </c>
      <c r="AF28" s="366">
        <f>IF(AND(R30="",O28="●",O30=""),(D28*L28+L29*D29+D30*L30)/R28,IF(AND(R29="",O28="●"),(D28*L28+D29*L29)/R28,L28))</f>
        <v>0.05</v>
      </c>
    </row>
    <row r="29" spans="1:36" ht="21.95" customHeight="1" thickBot="1">
      <c r="A29" s="712" t="s">
        <v>30</v>
      </c>
      <c r="B29" s="714"/>
      <c r="C29" s="714"/>
      <c r="D29" s="707">
        <f>_xlfn.AGGREGATE(9,7,D30:D39)</f>
        <v>0</v>
      </c>
      <c r="E29" s="715"/>
      <c r="F29" s="714"/>
      <c r="G29" s="681"/>
      <c r="H29" s="681"/>
      <c r="I29" s="681"/>
      <c r="J29" s="681"/>
      <c r="K29" s="716"/>
      <c r="L29" s="716"/>
      <c r="M29" s="707">
        <f>_xlfn.AGGREGATE(9,7,M30:M39)</f>
        <v>0</v>
      </c>
      <c r="N29" s="707">
        <f>_xlfn.AGGREGATE(9,7,N30:N39)</f>
        <v>0</v>
      </c>
      <c r="O29" s="717"/>
      <c r="P29" s="715"/>
      <c r="Q29" s="715"/>
      <c r="R29" s="707">
        <f>_xlfn.AGGREGATE(9,7,R30:R39)</f>
        <v>0</v>
      </c>
      <c r="S29" s="715"/>
      <c r="T29" s="714"/>
      <c r="U29" s="681"/>
      <c r="V29" s="681"/>
      <c r="W29" s="707">
        <f>_xlfn.AGGREGATE(9,7,W30:W39)</f>
        <v>0</v>
      </c>
      <c r="X29" s="707">
        <f>_xlfn.AGGREGATE(9,7,X30:X39)</f>
        <v>0</v>
      </c>
      <c r="Y29" s="707">
        <f>IF(M29=0,W29*-1,M29-W29)</f>
        <v>0</v>
      </c>
      <c r="Z29" s="707">
        <f>IFERROR(Y29*'CO₂係数 '!I33,"")</f>
        <v>0</v>
      </c>
      <c r="AB29" s="364">
        <f>_xlfn.AGGREGATE(9,7,AB30:AB39)</f>
        <v>0</v>
      </c>
      <c r="AC29" s="364">
        <f>_xlfn.AGGREGATE(9,7,AC30:AC39)</f>
        <v>0</v>
      </c>
      <c r="AJ29" t="s">
        <v>611</v>
      </c>
    </row>
    <row r="30" spans="1:36" ht="21.95" customHeight="1">
      <c r="A30" s="123">
        <v>1</v>
      </c>
      <c r="B30" s="692"/>
      <c r="C30" s="692">
        <v>2009</v>
      </c>
      <c r="D30" s="692"/>
      <c r="E30" s="692"/>
      <c r="F30" s="692"/>
      <c r="G30" s="692"/>
      <c r="H30" s="701" t="str">
        <f>IF(D30="","",IF(D30&gt;500,F30+G30*0.5^2,F30+G30*0.4^2))</f>
        <v/>
      </c>
      <c r="I30" s="692"/>
      <c r="J30" s="692"/>
      <c r="K30" s="710"/>
      <c r="L30" s="710"/>
      <c r="M30" s="806">
        <f t="shared" ref="M30:M39" si="0">(F30*365*24+G30*K30^2*I30*J30+G30*L30^2*I30*(24-J30)+G30*L30^2*(365-I30)*24)/1000</f>
        <v>0</v>
      </c>
      <c r="N30" s="801">
        <f>M30*'CO₂係数 '!$I$33</f>
        <v>0</v>
      </c>
      <c r="O30" s="711"/>
      <c r="P30" s="692"/>
      <c r="Q30" s="941"/>
      <c r="R30" s="692"/>
      <c r="S30" s="662"/>
      <c r="T30" s="692"/>
      <c r="U30" s="692"/>
      <c r="V30" s="701" t="str">
        <f>IF(R30="","",IF(R30&gt;500,T30+U30*0.5^2,T30+U30*0.4^2))</f>
        <v/>
      </c>
      <c r="W30" s="800">
        <f t="shared" ref="W30:W39" si="1">(T30*365*24+U30*AE30^2*I30*J30+U30*AF30^2*I30*(24-J30)+U30*AF30^2*(365-I30)*24)/1000</f>
        <v>0</v>
      </c>
      <c r="X30" s="801">
        <f>W30*'CO₂係数 '!$I$33</f>
        <v>0</v>
      </c>
      <c r="Y30" s="800">
        <f>IF(R30="",0,IF(AND(O30="●",R31="",R32=""),M30+M31+M32-W30,IF(AND(O30="●",R31=""),M30+M31-W30,M30-W30)))</f>
        <v>0</v>
      </c>
      <c r="Z30" s="802">
        <f>IF(R30="",0,IF(AND(O30="●",R31="",R32=""),N30+N31+N32-X30,IF(AND(O30="●",R31=""),N30+N31-X30,N30-X30)))</f>
        <v>0</v>
      </c>
      <c r="AB30" s="374">
        <f>M30*'CO₂係数 '!$C$33*0.0258</f>
        <v>0</v>
      </c>
      <c r="AC30" s="374">
        <f>W30*'CO₂係数 '!$C$33*0.0258</f>
        <v>0</v>
      </c>
      <c r="AE30" s="366">
        <f t="shared" ref="AE30:AE39" si="2">IF(AND(R32="",O30="●",O32=""),(D30*K30+K31*D31+D32*K32)/R30,IF(AND(R31="",O30="●"),(D30*K30+D31*K31)/R30,K30))</f>
        <v>0</v>
      </c>
      <c r="AF30" s="366">
        <f t="shared" ref="AF30:AF39" si="3">IF(AND(R32="",O30="●",O32=""),(D30*L30+L31*D31+D32*L32)/R30,IF(AND(R31="",O30="●"),(D30*L30+D31*L31)/R30,L30))</f>
        <v>0</v>
      </c>
      <c r="AJ30" t="s">
        <v>612</v>
      </c>
    </row>
    <row r="31" spans="1:36" ht="21.95" customHeight="1">
      <c r="A31" s="713">
        <v>2</v>
      </c>
      <c r="B31" s="403"/>
      <c r="C31" s="403"/>
      <c r="D31" s="403"/>
      <c r="E31" s="403"/>
      <c r="F31" s="403"/>
      <c r="G31" s="403"/>
      <c r="H31" s="410" t="str">
        <f t="shared" ref="H31:H39" si="4">IF(D31="","",IF(D31&gt;500,F31+G31*0.5^2,F31+G31*0.4^2))</f>
        <v/>
      </c>
      <c r="I31" s="403"/>
      <c r="J31" s="403"/>
      <c r="K31" s="418"/>
      <c r="L31" s="418"/>
      <c r="M31" s="807">
        <f t="shared" si="0"/>
        <v>0</v>
      </c>
      <c r="N31" s="804">
        <f>M31*'CO₂係数 '!$I$33</f>
        <v>0</v>
      </c>
      <c r="O31" s="547"/>
      <c r="P31" s="403"/>
      <c r="Q31" s="942"/>
      <c r="R31" s="403"/>
      <c r="S31" s="404"/>
      <c r="T31" s="403"/>
      <c r="U31" s="403"/>
      <c r="V31" s="410" t="str">
        <f t="shared" ref="V31:V39" si="5">IF(R31="","",IF(R31&gt;500,T31+U31*0.5^2,T31+U31*0.4^2))</f>
        <v/>
      </c>
      <c r="W31" s="803">
        <f t="shared" si="1"/>
        <v>0</v>
      </c>
      <c r="X31" s="804">
        <f>W31*'CO₂係数 '!$I$33</f>
        <v>0</v>
      </c>
      <c r="Y31" s="803">
        <f t="shared" ref="Y31:Y39" si="6">IF(R31="",0,IF(AND(O31="●",R32="",R33=""),M31+M32+M33-W31,IF(AND(O31="●",R32=""),M31+M32-W31,M31-W31)))</f>
        <v>0</v>
      </c>
      <c r="Z31" s="805">
        <f t="shared" ref="Z31:Z39" si="7">IF(R31="",0,IF(AND(O31="●",R32="",R33=""),N31+N32+N33-X31,IF(AND(O31="●",R32=""),N31+N32-X31,N31-X31)))</f>
        <v>0</v>
      </c>
      <c r="AB31" s="374">
        <f>M31*'CO₂係数 '!$C$33*0.0258</f>
        <v>0</v>
      </c>
      <c r="AC31" s="374">
        <f>W31*'CO₂係数 '!$C$33*0.0258</f>
        <v>0</v>
      </c>
      <c r="AE31" s="366">
        <f t="shared" si="2"/>
        <v>0</v>
      </c>
      <c r="AF31" s="366">
        <f t="shared" si="3"/>
        <v>0</v>
      </c>
      <c r="AJ31" t="s">
        <v>613</v>
      </c>
    </row>
    <row r="32" spans="1:36" ht="21.95" customHeight="1">
      <c r="A32" s="713">
        <v>3</v>
      </c>
      <c r="B32" s="403"/>
      <c r="C32" s="403"/>
      <c r="D32" s="403"/>
      <c r="E32" s="403"/>
      <c r="F32" s="403"/>
      <c r="G32" s="403"/>
      <c r="H32" s="410" t="str">
        <f t="shared" si="4"/>
        <v/>
      </c>
      <c r="I32" s="403"/>
      <c r="J32" s="403"/>
      <c r="K32" s="418"/>
      <c r="L32" s="418"/>
      <c r="M32" s="807">
        <f t="shared" si="0"/>
        <v>0</v>
      </c>
      <c r="N32" s="804">
        <f>M32*'CO₂係数 '!$I$33</f>
        <v>0</v>
      </c>
      <c r="O32" s="548"/>
      <c r="P32" s="403"/>
      <c r="Q32" s="942"/>
      <c r="R32" s="403"/>
      <c r="S32" s="404"/>
      <c r="T32" s="403"/>
      <c r="U32" s="403"/>
      <c r="V32" s="410" t="str">
        <f t="shared" si="5"/>
        <v/>
      </c>
      <c r="W32" s="803">
        <f t="shared" si="1"/>
        <v>0</v>
      </c>
      <c r="X32" s="804">
        <f>W32*'CO₂係数 '!$I$33</f>
        <v>0</v>
      </c>
      <c r="Y32" s="803">
        <f t="shared" si="6"/>
        <v>0</v>
      </c>
      <c r="Z32" s="805">
        <f t="shared" si="7"/>
        <v>0</v>
      </c>
      <c r="AB32" s="374">
        <f>M32*'CO₂係数 '!$C$33*0.0258</f>
        <v>0</v>
      </c>
      <c r="AC32" s="374">
        <f>W32*'CO₂係数 '!$C$33*0.0258</f>
        <v>0</v>
      </c>
      <c r="AE32" s="366">
        <f t="shared" si="2"/>
        <v>0</v>
      </c>
      <c r="AF32" s="366">
        <f t="shared" si="3"/>
        <v>0</v>
      </c>
      <c r="AJ32" t="s">
        <v>614</v>
      </c>
    </row>
    <row r="33" spans="1:36" ht="21.95" customHeight="1">
      <c r="A33" s="713">
        <v>4</v>
      </c>
      <c r="B33" s="403"/>
      <c r="C33" s="403"/>
      <c r="D33" s="403"/>
      <c r="E33" s="403"/>
      <c r="F33" s="403"/>
      <c r="G33" s="403"/>
      <c r="H33" s="410" t="str">
        <f t="shared" si="4"/>
        <v/>
      </c>
      <c r="I33" s="403"/>
      <c r="J33" s="403"/>
      <c r="K33" s="418"/>
      <c r="L33" s="418"/>
      <c r="M33" s="807">
        <f t="shared" si="0"/>
        <v>0</v>
      </c>
      <c r="N33" s="804">
        <f>M33*'CO₂係数 '!$I$33</f>
        <v>0</v>
      </c>
      <c r="O33" s="548"/>
      <c r="P33" s="403"/>
      <c r="Q33" s="942"/>
      <c r="R33" s="403"/>
      <c r="S33" s="404"/>
      <c r="T33" s="403"/>
      <c r="U33" s="403"/>
      <c r="V33" s="410" t="str">
        <f t="shared" si="5"/>
        <v/>
      </c>
      <c r="W33" s="803">
        <f t="shared" si="1"/>
        <v>0</v>
      </c>
      <c r="X33" s="804">
        <f>W33*'CO₂係数 '!$I$33</f>
        <v>0</v>
      </c>
      <c r="Y33" s="803">
        <f t="shared" si="6"/>
        <v>0</v>
      </c>
      <c r="Z33" s="805">
        <f t="shared" si="7"/>
        <v>0</v>
      </c>
      <c r="AB33" s="374">
        <f>M33*'CO₂係数 '!$C$33*0.0258</f>
        <v>0</v>
      </c>
      <c r="AC33" s="374">
        <f>W33*'CO₂係数 '!$C$33*0.0258</f>
        <v>0</v>
      </c>
      <c r="AE33" s="366">
        <f t="shared" si="2"/>
        <v>0</v>
      </c>
      <c r="AF33" s="366">
        <f t="shared" si="3"/>
        <v>0</v>
      </c>
      <c r="AJ33" t="s">
        <v>615</v>
      </c>
    </row>
    <row r="34" spans="1:36" ht="21.95" customHeight="1">
      <c r="A34" s="713">
        <v>5</v>
      </c>
      <c r="B34" s="403"/>
      <c r="C34" s="403"/>
      <c r="D34" s="403"/>
      <c r="E34" s="403"/>
      <c r="F34" s="403"/>
      <c r="G34" s="403"/>
      <c r="H34" s="410" t="str">
        <f t="shared" si="4"/>
        <v/>
      </c>
      <c r="I34" s="403"/>
      <c r="J34" s="403"/>
      <c r="K34" s="418"/>
      <c r="L34" s="418"/>
      <c r="M34" s="807">
        <f t="shared" si="0"/>
        <v>0</v>
      </c>
      <c r="N34" s="804">
        <f>M34*'CO₂係数 '!$I$33</f>
        <v>0</v>
      </c>
      <c r="O34" s="548"/>
      <c r="P34" s="403"/>
      <c r="Q34" s="942"/>
      <c r="R34" s="403"/>
      <c r="S34" s="404"/>
      <c r="T34" s="403"/>
      <c r="U34" s="403"/>
      <c r="V34" s="410" t="str">
        <f t="shared" si="5"/>
        <v/>
      </c>
      <c r="W34" s="803">
        <f t="shared" si="1"/>
        <v>0</v>
      </c>
      <c r="X34" s="804">
        <f>W34*'CO₂係数 '!$I$33</f>
        <v>0</v>
      </c>
      <c r="Y34" s="803">
        <f t="shared" si="6"/>
        <v>0</v>
      </c>
      <c r="Z34" s="805">
        <f t="shared" si="7"/>
        <v>0</v>
      </c>
      <c r="AB34" s="374">
        <f>M34*'CO₂係数 '!$C$33*0.0258</f>
        <v>0</v>
      </c>
      <c r="AC34" s="374">
        <f>W34*'CO₂係数 '!$C$33*0.0258</f>
        <v>0</v>
      </c>
      <c r="AE34" s="366">
        <f t="shared" si="2"/>
        <v>0</v>
      </c>
      <c r="AF34" s="366">
        <f t="shared" si="3"/>
        <v>0</v>
      </c>
      <c r="AJ34" t="s">
        <v>616</v>
      </c>
    </row>
    <row r="35" spans="1:36" ht="21.95" customHeight="1">
      <c r="A35" s="713">
        <v>6</v>
      </c>
      <c r="B35" s="403"/>
      <c r="C35" s="403"/>
      <c r="D35" s="403"/>
      <c r="E35" s="403"/>
      <c r="F35" s="403"/>
      <c r="G35" s="403"/>
      <c r="H35" s="410" t="str">
        <f t="shared" si="4"/>
        <v/>
      </c>
      <c r="I35" s="403"/>
      <c r="J35" s="403"/>
      <c r="K35" s="418"/>
      <c r="L35" s="418"/>
      <c r="M35" s="807">
        <f t="shared" si="0"/>
        <v>0</v>
      </c>
      <c r="N35" s="804">
        <f>M35*'CO₂係数 '!$I$33</f>
        <v>0</v>
      </c>
      <c r="O35" s="548"/>
      <c r="P35" s="403"/>
      <c r="Q35" s="942"/>
      <c r="R35" s="403"/>
      <c r="S35" s="404"/>
      <c r="T35" s="403"/>
      <c r="U35" s="403"/>
      <c r="V35" s="410" t="str">
        <f t="shared" si="5"/>
        <v/>
      </c>
      <c r="W35" s="803">
        <f t="shared" si="1"/>
        <v>0</v>
      </c>
      <c r="X35" s="804">
        <f>W35*'CO₂係数 '!$I$33</f>
        <v>0</v>
      </c>
      <c r="Y35" s="803">
        <f t="shared" si="6"/>
        <v>0</v>
      </c>
      <c r="Z35" s="805">
        <f t="shared" si="7"/>
        <v>0</v>
      </c>
      <c r="AB35" s="374">
        <f>M35*'CO₂係数 '!$C$33*0.0258</f>
        <v>0</v>
      </c>
      <c r="AC35" s="374">
        <f>W35*'CO₂係数 '!$C$33*0.0258</f>
        <v>0</v>
      </c>
      <c r="AE35" s="366">
        <f t="shared" si="2"/>
        <v>0</v>
      </c>
      <c r="AF35" s="366">
        <f t="shared" si="3"/>
        <v>0</v>
      </c>
      <c r="AJ35" t="s">
        <v>617</v>
      </c>
    </row>
    <row r="36" spans="1:36" ht="21.95" customHeight="1">
      <c r="A36" s="713">
        <v>7</v>
      </c>
      <c r="B36" s="403"/>
      <c r="C36" s="403"/>
      <c r="D36" s="403"/>
      <c r="E36" s="403"/>
      <c r="F36" s="403"/>
      <c r="G36" s="403"/>
      <c r="H36" s="410" t="str">
        <f t="shared" si="4"/>
        <v/>
      </c>
      <c r="I36" s="403"/>
      <c r="J36" s="403"/>
      <c r="K36" s="418"/>
      <c r="L36" s="418"/>
      <c r="M36" s="807">
        <f t="shared" si="0"/>
        <v>0</v>
      </c>
      <c r="N36" s="804">
        <f>M36*'CO₂係数 '!$I$33</f>
        <v>0</v>
      </c>
      <c r="O36" s="548"/>
      <c r="P36" s="403"/>
      <c r="Q36" s="942"/>
      <c r="R36" s="403"/>
      <c r="S36" s="404"/>
      <c r="T36" s="403"/>
      <c r="U36" s="403"/>
      <c r="V36" s="410" t="str">
        <f t="shared" si="5"/>
        <v/>
      </c>
      <c r="W36" s="803">
        <f t="shared" si="1"/>
        <v>0</v>
      </c>
      <c r="X36" s="804">
        <f>W36*'CO₂係数 '!$I$33</f>
        <v>0</v>
      </c>
      <c r="Y36" s="803">
        <f t="shared" si="6"/>
        <v>0</v>
      </c>
      <c r="Z36" s="805">
        <f t="shared" si="7"/>
        <v>0</v>
      </c>
      <c r="AB36" s="374">
        <f>M36*'CO₂係数 '!$C$33*0.0258</f>
        <v>0</v>
      </c>
      <c r="AC36" s="374">
        <f>W36*'CO₂係数 '!$C$33*0.0258</f>
        <v>0</v>
      </c>
      <c r="AE36" s="366">
        <f t="shared" si="2"/>
        <v>0</v>
      </c>
      <c r="AF36" s="366">
        <f t="shared" si="3"/>
        <v>0</v>
      </c>
      <c r="AJ36" t="s">
        <v>618</v>
      </c>
    </row>
    <row r="37" spans="1:36" ht="21.95" customHeight="1">
      <c r="A37" s="713">
        <v>8</v>
      </c>
      <c r="B37" s="403"/>
      <c r="C37" s="403"/>
      <c r="D37" s="403"/>
      <c r="E37" s="403"/>
      <c r="F37" s="403"/>
      <c r="G37" s="403"/>
      <c r="H37" s="410" t="str">
        <f t="shared" si="4"/>
        <v/>
      </c>
      <c r="I37" s="403"/>
      <c r="J37" s="403"/>
      <c r="K37" s="418"/>
      <c r="L37" s="418"/>
      <c r="M37" s="807">
        <f t="shared" si="0"/>
        <v>0</v>
      </c>
      <c r="N37" s="804">
        <f>M37*'CO₂係数 '!$I$33</f>
        <v>0</v>
      </c>
      <c r="O37" s="548"/>
      <c r="P37" s="403"/>
      <c r="Q37" s="942"/>
      <c r="R37" s="403"/>
      <c r="S37" s="404"/>
      <c r="T37" s="403"/>
      <c r="U37" s="403"/>
      <c r="V37" s="410" t="str">
        <f t="shared" si="5"/>
        <v/>
      </c>
      <c r="W37" s="803">
        <f t="shared" si="1"/>
        <v>0</v>
      </c>
      <c r="X37" s="804">
        <f>W37*'CO₂係数 '!$I$33</f>
        <v>0</v>
      </c>
      <c r="Y37" s="803">
        <f t="shared" si="6"/>
        <v>0</v>
      </c>
      <c r="Z37" s="805">
        <f t="shared" si="7"/>
        <v>0</v>
      </c>
      <c r="AB37" s="374">
        <f>M37*'CO₂係数 '!$C$33*0.0258</f>
        <v>0</v>
      </c>
      <c r="AC37" s="374">
        <f>W37*'CO₂係数 '!$C$33*0.0258</f>
        <v>0</v>
      </c>
      <c r="AE37" s="366">
        <f t="shared" si="2"/>
        <v>0</v>
      </c>
      <c r="AF37" s="366">
        <f t="shared" si="3"/>
        <v>0</v>
      </c>
    </row>
    <row r="38" spans="1:36" ht="21.95" customHeight="1">
      <c r="A38" s="713">
        <v>9</v>
      </c>
      <c r="B38" s="403"/>
      <c r="C38" s="403"/>
      <c r="D38" s="403"/>
      <c r="E38" s="403"/>
      <c r="F38" s="403"/>
      <c r="G38" s="403"/>
      <c r="H38" s="410" t="str">
        <f t="shared" si="4"/>
        <v/>
      </c>
      <c r="I38" s="403"/>
      <c r="J38" s="403"/>
      <c r="K38" s="418"/>
      <c r="L38" s="418"/>
      <c r="M38" s="807">
        <f t="shared" si="0"/>
        <v>0</v>
      </c>
      <c r="N38" s="804">
        <f>M38*'CO₂係数 '!$I$33</f>
        <v>0</v>
      </c>
      <c r="O38" s="548"/>
      <c r="P38" s="403"/>
      <c r="Q38" s="942"/>
      <c r="R38" s="403"/>
      <c r="S38" s="404"/>
      <c r="T38" s="403"/>
      <c r="U38" s="403"/>
      <c r="V38" s="410" t="str">
        <f t="shared" si="5"/>
        <v/>
      </c>
      <c r="W38" s="803">
        <f t="shared" si="1"/>
        <v>0</v>
      </c>
      <c r="X38" s="804">
        <f>W38*'CO₂係数 '!$I$33</f>
        <v>0</v>
      </c>
      <c r="Y38" s="803">
        <f t="shared" si="6"/>
        <v>0</v>
      </c>
      <c r="Z38" s="805">
        <f t="shared" si="7"/>
        <v>0</v>
      </c>
      <c r="AB38" s="374">
        <f>M38*'CO₂係数 '!$C$33*0.0258</f>
        <v>0</v>
      </c>
      <c r="AC38" s="374">
        <f>W38*'CO₂係数 '!$C$33*0.0258</f>
        <v>0</v>
      </c>
      <c r="AE38" s="366">
        <f t="shared" si="2"/>
        <v>0</v>
      </c>
      <c r="AF38" s="366">
        <f t="shared" si="3"/>
        <v>0</v>
      </c>
    </row>
    <row r="39" spans="1:36" ht="21.95" customHeight="1">
      <c r="A39" s="713">
        <v>10</v>
      </c>
      <c r="B39" s="403"/>
      <c r="C39" s="403"/>
      <c r="D39" s="403"/>
      <c r="E39" s="403"/>
      <c r="F39" s="403"/>
      <c r="G39" s="403"/>
      <c r="H39" s="410" t="str">
        <f t="shared" si="4"/>
        <v/>
      </c>
      <c r="I39" s="403"/>
      <c r="J39" s="403"/>
      <c r="K39" s="418"/>
      <c r="L39" s="418"/>
      <c r="M39" s="807">
        <f t="shared" si="0"/>
        <v>0</v>
      </c>
      <c r="N39" s="804">
        <f>M39*'CO₂係数 '!$I$33</f>
        <v>0</v>
      </c>
      <c r="O39" s="548"/>
      <c r="P39" s="403"/>
      <c r="Q39" s="942"/>
      <c r="R39" s="403"/>
      <c r="S39" s="404"/>
      <c r="T39" s="403"/>
      <c r="U39" s="403"/>
      <c r="V39" s="410" t="str">
        <f t="shared" si="5"/>
        <v/>
      </c>
      <c r="W39" s="803">
        <f t="shared" si="1"/>
        <v>0</v>
      </c>
      <c r="X39" s="804">
        <f>W39*'CO₂係数 '!$I$33</f>
        <v>0</v>
      </c>
      <c r="Y39" s="803">
        <f t="shared" si="6"/>
        <v>0</v>
      </c>
      <c r="Z39" s="805">
        <f t="shared" si="7"/>
        <v>0</v>
      </c>
      <c r="AB39" s="374">
        <f>M39*'CO₂係数 '!$C$33*0.0258</f>
        <v>0</v>
      </c>
      <c r="AC39" s="374">
        <f>W39*'CO₂係数 '!$C$33*0.0258</f>
        <v>0</v>
      </c>
      <c r="AE39" s="366">
        <f t="shared" si="2"/>
        <v>0</v>
      </c>
      <c r="AF39" s="366">
        <f t="shared" si="3"/>
        <v>0</v>
      </c>
    </row>
  </sheetData>
  <sheetProtection algorithmName="SHA-512" hashValue="XUwd4JWmjENXIyLW8ELoo+sEbbeI9tj5ira4HgE9g0shva07qGgCnwddKEW2pbNfvm8q62vcCiBjRBzt9qJwPw==" saltValue="EwAwXtRsrgiKyXPawTg/Vw==" spinCount="100000" sheet="1" formatCells="0"/>
  <mergeCells count="22">
    <mergeCell ref="Q26:Q27"/>
    <mergeCell ref="T3:Z3"/>
    <mergeCell ref="A25:A26"/>
    <mergeCell ref="M5:N5"/>
    <mergeCell ref="O5:Z5"/>
    <mergeCell ref="B8:C8"/>
    <mergeCell ref="B7:C7"/>
    <mergeCell ref="B6:C6"/>
    <mergeCell ref="B5:C5"/>
    <mergeCell ref="E8:F8"/>
    <mergeCell ref="E7:F7"/>
    <mergeCell ref="E6:F6"/>
    <mergeCell ref="E5:F5"/>
    <mergeCell ref="G8:H8"/>
    <mergeCell ref="G7:H7"/>
    <mergeCell ref="G6:H6"/>
    <mergeCell ref="M7:Z12"/>
    <mergeCell ref="G5:H5"/>
    <mergeCell ref="I8:J8"/>
    <mergeCell ref="I7:J7"/>
    <mergeCell ref="I6:J6"/>
    <mergeCell ref="I5:J5"/>
  </mergeCells>
  <phoneticPr fontId="3"/>
  <conditionalFormatting sqref="K8 G8 E8">
    <cfRule type="expression" dxfId="47" priority="9">
      <formula>$D$3="なし"</formula>
    </cfRule>
  </conditionalFormatting>
  <conditionalFormatting sqref="M7">
    <cfRule type="expression" dxfId="46" priority="85">
      <formula>D29-R29&lt;0</formula>
    </cfRule>
  </conditionalFormatting>
  <conditionalFormatting sqref="R29">
    <cfRule type="expression" dxfId="45" priority="2">
      <formula>$R$29-$D$29&gt;0</formula>
    </cfRule>
  </conditionalFormatting>
  <conditionalFormatting sqref="C30:C39">
    <cfRule type="cellIs" dxfId="44" priority="1" operator="greaterThan">
      <formula>2009</formula>
    </cfRule>
  </conditionalFormatting>
  <dataValidations count="5">
    <dataValidation type="list" allowBlank="1" showInputMessage="1" showErrorMessage="1" sqref="O30:O39" xr:uid="{92DF47AA-142C-40A0-AEA4-0AF02BB92E2D}">
      <formula1>"●"</formula1>
    </dataValidation>
    <dataValidation type="list" allowBlank="1" showInputMessage="1" showErrorMessage="1" sqref="E28 E30:E39 S28 S30:S39" xr:uid="{4964E709-6FEE-41A4-991F-A5870BF5AD87}">
      <formula1>"三相,単相"</formula1>
    </dataValidation>
    <dataValidation type="decimal" allowBlank="1" showInputMessage="1" showErrorMessage="1" error="最大24（時間）までの数値を記入します。" sqref="J30:J39" xr:uid="{581C0865-5583-4C9F-9E4F-6DC8D819E71B}">
      <formula1>0</formula1>
      <formula2>24</formula2>
    </dataValidation>
    <dataValidation type="decimal" allowBlank="1" showInputMessage="1" showErrorMessage="1" error="最大365（日）までの数値を記入します。" sqref="I30:I39" xr:uid="{4011B119-B880-488C-A5DC-7E5ABD656DBB}">
      <formula1>0</formula1>
      <formula2>365</formula2>
    </dataValidation>
    <dataValidation type="whole" allowBlank="1" showInputMessage="1" showErrorMessage="1" error="西暦で記入（年は省略）。_x000a_2009年以降は対象外となります。" sqref="C30:C39" xr:uid="{B5182636-D8E2-4B73-8131-B57940BDC665}">
      <formula1>1900</formula1>
      <formula2>2025</formula2>
    </dataValidation>
  </dataValidations>
  <printOptions horizontalCentered="1"/>
  <pageMargins left="0.59055118110236227" right="0.59055118110236227" top="0.45" bottom="0" header="0.31496062992125984" footer="0.31496062992125984"/>
  <pageSetup paperSize="9" scale="65" orientation="landscape" r:id="rId1"/>
  <headerFooter>
    <oddHeader>&amp;L&amp;10様式第1-1号（別紙）&amp;C&amp;10R5年度_《緊急予算枠》_CO₂削減量算定シート</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4901ED-3235-418A-8D58-B24EF233BF06}">
          <x14:formula1>
            <xm:f>記入方法!$X$18:$X$20</xm:f>
          </x14:formula1>
          <xm:sqref>Q30:Q39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7EEA1-59F1-47F8-87E9-5764553D140E}">
  <sheetPr codeName="Sheet8">
    <pageSetUpPr fitToPage="1"/>
  </sheetPr>
  <dimension ref="A1:CU89"/>
  <sheetViews>
    <sheetView view="pageBreakPreview" topLeftCell="B10" zoomScaleNormal="100" zoomScaleSheetLayoutView="100" workbookViewId="0">
      <selection activeCell="D20" sqref="D20"/>
    </sheetView>
  </sheetViews>
  <sheetFormatPr defaultColWidth="9" defaultRowHeight="18.75"/>
  <cols>
    <col min="1" max="1" width="3.25" style="130" customWidth="1"/>
    <col min="2" max="2" width="16.875" style="130" customWidth="1"/>
    <col min="3" max="4" width="8.5" style="130" customWidth="1"/>
    <col min="5" max="5" width="5.625" style="130" customWidth="1"/>
    <col min="6" max="6" width="6.875" style="130" customWidth="1"/>
    <col min="7" max="7" width="4.875" style="130" customWidth="1"/>
    <col min="8" max="8" width="7.375" style="130" customWidth="1"/>
    <col min="9" max="9" width="6.375" style="130" customWidth="1"/>
    <col min="10" max="11" width="6.625" style="130" customWidth="1"/>
    <col min="12" max="12" width="5.25" style="130" customWidth="1"/>
    <col min="13" max="13" width="5.625" style="130" customWidth="1"/>
    <col min="14" max="14" width="6.375" style="130" customWidth="1"/>
    <col min="15" max="15" width="5.625" style="130" customWidth="1"/>
    <col min="16" max="16" width="8.375" style="130" customWidth="1"/>
    <col min="17" max="17" width="7.375" style="130" customWidth="1"/>
    <col min="18" max="19" width="5.875" style="130" customWidth="1"/>
    <col min="20" max="20" width="7.375" style="130" customWidth="1"/>
    <col min="21" max="21" width="14.25" style="130" customWidth="1"/>
    <col min="22" max="22" width="4.75" style="130" customWidth="1"/>
    <col min="23" max="31" width="5.625" style="130" customWidth="1"/>
    <col min="32" max="32" width="8" style="130" customWidth="1"/>
    <col min="33" max="34" width="5.375" style="130" customWidth="1"/>
    <col min="35" max="35" width="6.5" style="130" customWidth="1"/>
    <col min="36" max="36" width="9.25" style="130" customWidth="1"/>
    <col min="37" max="37" width="7.375" style="130" customWidth="1"/>
    <col min="38" max="38" width="7" style="130" customWidth="1"/>
    <col min="39" max="61" width="5.625" style="130" customWidth="1"/>
    <col min="62" max="69" width="5.625" style="134" customWidth="1"/>
    <col min="70" max="96" width="9" style="134" customWidth="1"/>
    <col min="97" max="99" width="9" style="134"/>
    <col min="100" max="16384" width="9" style="130"/>
  </cols>
  <sheetData>
    <row r="1" spans="1:99" ht="28.5" customHeight="1">
      <c r="A1" s="67" t="s">
        <v>625</v>
      </c>
      <c r="AZ1" s="130" t="s">
        <v>570</v>
      </c>
      <c r="BA1" s="130" t="s">
        <v>571</v>
      </c>
      <c r="BE1" s="57" t="s">
        <v>538</v>
      </c>
      <c r="BF1" s="57"/>
      <c r="BG1" s="57" t="s">
        <v>539</v>
      </c>
      <c r="BH1" s="57" t="s">
        <v>540</v>
      </c>
      <c r="BI1" s="57" t="s">
        <v>541</v>
      </c>
      <c r="BJ1" s="57" t="s">
        <v>542</v>
      </c>
      <c r="BK1" s="57" t="s">
        <v>543</v>
      </c>
      <c r="BL1" s="146" t="s">
        <v>580</v>
      </c>
    </row>
    <row r="2" spans="1:99">
      <c r="A2" s="129" t="s">
        <v>308</v>
      </c>
      <c r="B2" s="1"/>
      <c r="C2" s="1"/>
      <c r="D2" s="1"/>
      <c r="E2" s="1"/>
      <c r="F2" s="1"/>
      <c r="G2" s="1"/>
      <c r="H2" s="1"/>
      <c r="I2" s="1"/>
      <c r="J2" s="6"/>
      <c r="K2" s="6"/>
      <c r="L2" s="1"/>
      <c r="R2" s="248"/>
      <c r="S2" s="248"/>
      <c r="T2" s="105" t="s">
        <v>310</v>
      </c>
      <c r="V2" s="104" t="s">
        <v>311</v>
      </c>
      <c r="X2" s="68"/>
      <c r="Y2" s="68"/>
      <c r="Z2" s="68"/>
      <c r="AA2" s="68"/>
      <c r="AB2" s="68"/>
      <c r="AC2" s="68"/>
      <c r="AD2" s="68"/>
      <c r="AE2" s="68"/>
      <c r="AF2" s="68"/>
      <c r="AG2" s="68"/>
      <c r="AH2" s="68"/>
      <c r="AZ2" s="130" t="s">
        <v>525</v>
      </c>
      <c r="BA2" s="130" t="s">
        <v>526</v>
      </c>
      <c r="BB2" s="130" t="s">
        <v>527</v>
      </c>
      <c r="BE2" s="267" t="s">
        <v>544</v>
      </c>
      <c r="BF2" s="57" t="s">
        <v>591</v>
      </c>
      <c r="BG2" s="268">
        <v>45</v>
      </c>
      <c r="BH2" s="269">
        <v>40.799999999999997</v>
      </c>
      <c r="BI2" s="57" t="s">
        <v>545</v>
      </c>
      <c r="BJ2" s="57" t="s">
        <v>546</v>
      </c>
      <c r="BK2" s="57" t="s">
        <v>584</v>
      </c>
      <c r="BL2" s="146">
        <v>2.2440000000000002</v>
      </c>
      <c r="BN2" s="146" t="s">
        <v>538</v>
      </c>
      <c r="BO2" s="146"/>
    </row>
    <row r="3" spans="1:99" ht="20.100000000000001" customHeight="1">
      <c r="A3" s="1"/>
      <c r="B3" s="980" t="s">
        <v>0</v>
      </c>
      <c r="C3" s="981"/>
      <c r="D3" s="981"/>
      <c r="E3" s="981"/>
      <c r="F3" s="1034"/>
      <c r="G3" s="124" t="s">
        <v>590</v>
      </c>
      <c r="H3" s="986" t="s">
        <v>2</v>
      </c>
      <c r="I3" s="987"/>
      <c r="J3" s="986" t="s">
        <v>3</v>
      </c>
      <c r="K3" s="1139"/>
      <c r="L3" s="987"/>
      <c r="M3" s="986" t="s">
        <v>4</v>
      </c>
      <c r="N3" s="987"/>
      <c r="O3" s="210" t="s">
        <v>5</v>
      </c>
      <c r="T3" s="1010" t="s">
        <v>11</v>
      </c>
      <c r="U3" s="1012"/>
      <c r="V3" s="1112" t="str">
        <f>IF(AJ26="","",IF(OR(E26&lt;W26,L26&lt;AB26),"定格出力が増加しています。下蘭に事由を記載してください。",""))</f>
        <v/>
      </c>
      <c r="W3" s="1113"/>
      <c r="X3" s="1113"/>
      <c r="Y3" s="1113"/>
      <c r="Z3" s="1113"/>
      <c r="AA3" s="1113"/>
      <c r="AB3" s="1113"/>
      <c r="AC3" s="1113"/>
      <c r="AD3" s="1113"/>
      <c r="AE3" s="1113"/>
      <c r="AF3" s="1113"/>
      <c r="AG3" s="1113"/>
      <c r="AH3" s="1113"/>
      <c r="AI3" s="1113"/>
      <c r="AJ3" s="1113"/>
      <c r="AK3" s="1113"/>
      <c r="AL3" s="1114"/>
      <c r="AW3" s="243"/>
      <c r="AZ3" s="130" t="s">
        <v>529</v>
      </c>
      <c r="BA3" s="130" t="s">
        <v>530</v>
      </c>
      <c r="BB3" s="130" t="s">
        <v>531</v>
      </c>
      <c r="BE3" s="270"/>
      <c r="BF3" s="273" t="s">
        <v>568</v>
      </c>
      <c r="BG3" s="57">
        <v>50.8</v>
      </c>
      <c r="BH3" s="57">
        <v>45.8</v>
      </c>
      <c r="BI3" s="57" t="s">
        <v>547</v>
      </c>
      <c r="BJ3" s="57" t="s">
        <v>548</v>
      </c>
      <c r="BK3" s="57" t="s">
        <v>549</v>
      </c>
      <c r="BL3" s="146">
        <v>2.9988999999999999</v>
      </c>
      <c r="BN3" s="331" t="s">
        <v>525</v>
      </c>
      <c r="BO3" s="146" t="s">
        <v>591</v>
      </c>
      <c r="CH3" s="130"/>
      <c r="CI3" s="130"/>
      <c r="CJ3" s="130"/>
      <c r="CK3" s="130"/>
      <c r="CL3" s="130"/>
      <c r="CM3" s="130"/>
      <c r="CN3" s="130"/>
      <c r="CO3" s="130"/>
      <c r="CP3" s="130"/>
      <c r="CQ3" s="130"/>
      <c r="CR3" s="130"/>
      <c r="CS3" s="130"/>
      <c r="CT3" s="130"/>
      <c r="CU3" s="130"/>
    </row>
    <row r="4" spans="1:99" ht="20.100000000000001" customHeight="1">
      <c r="A4" s="1"/>
      <c r="B4" s="980" t="s">
        <v>54</v>
      </c>
      <c r="C4" s="981"/>
      <c r="D4" s="981"/>
      <c r="E4" s="981"/>
      <c r="F4" s="1034"/>
      <c r="G4" s="378"/>
      <c r="H4" s="1140">
        <f>Q26</f>
        <v>126356.58914728681</v>
      </c>
      <c r="I4" s="1141"/>
      <c r="J4" s="1140">
        <f>AF26</f>
        <v>65292.996270203075</v>
      </c>
      <c r="K4" s="1145"/>
      <c r="L4" s="1141"/>
      <c r="M4" s="1140">
        <f>H4-J4</f>
        <v>61063.592877083734</v>
      </c>
      <c r="N4" s="1141"/>
      <c r="O4" s="212">
        <f>IFERROR(M4/H4,0)</f>
        <v>0.48326401724808604</v>
      </c>
      <c r="T4" s="18" t="s">
        <v>6</v>
      </c>
      <c r="U4" s="107"/>
      <c r="V4" s="107"/>
      <c r="W4" s="107"/>
      <c r="X4" s="107"/>
      <c r="Y4" s="107"/>
      <c r="Z4" s="107"/>
      <c r="AA4" s="107"/>
      <c r="AB4" s="107"/>
      <c r="AC4" s="107"/>
      <c r="AD4" s="107"/>
      <c r="AE4" s="107"/>
      <c r="AF4" s="107"/>
      <c r="AG4" s="107"/>
      <c r="AH4" s="107"/>
      <c r="AI4" s="107"/>
      <c r="AJ4" s="107"/>
      <c r="AK4" s="107"/>
      <c r="AL4" s="108"/>
      <c r="AX4" s="244"/>
      <c r="AZ4" s="130" t="s">
        <v>532</v>
      </c>
      <c r="BA4" s="130" t="s">
        <v>533</v>
      </c>
      <c r="BB4" s="130" t="s">
        <v>534</v>
      </c>
      <c r="BE4" s="270"/>
      <c r="BF4" s="273" t="s">
        <v>569</v>
      </c>
      <c r="BG4" s="274">
        <f>50.8/0.482</f>
        <v>105.39419087136929</v>
      </c>
      <c r="BH4" s="275">
        <f>45.8/0.482</f>
        <v>95.020746887966808</v>
      </c>
      <c r="BI4" s="276" t="s">
        <v>504</v>
      </c>
      <c r="BJ4" s="276" t="s">
        <v>582</v>
      </c>
      <c r="BK4" s="57" t="s">
        <v>584</v>
      </c>
      <c r="BL4" s="146">
        <v>6.22</v>
      </c>
      <c r="BN4" s="333"/>
      <c r="BO4" s="146" t="s">
        <v>567</v>
      </c>
      <c r="CH4" s="130"/>
      <c r="CI4" s="130"/>
      <c r="CJ4" s="130"/>
      <c r="CK4" s="130"/>
      <c r="CL4" s="130"/>
      <c r="CM4" s="130"/>
      <c r="CN4" s="130"/>
      <c r="CO4" s="130"/>
      <c r="CP4" s="130"/>
      <c r="CQ4" s="130"/>
      <c r="CR4" s="130"/>
      <c r="CS4" s="130"/>
      <c r="CT4" s="130"/>
      <c r="CU4" s="130"/>
    </row>
    <row r="5" spans="1:99" ht="20.100000000000001" customHeight="1">
      <c r="A5" s="1"/>
      <c r="B5" s="980" t="s">
        <v>7</v>
      </c>
      <c r="C5" s="981"/>
      <c r="D5" s="981"/>
      <c r="E5" s="981"/>
      <c r="F5" s="1034"/>
      <c r="G5" s="377" t="s">
        <v>635</v>
      </c>
      <c r="H5" s="1120"/>
      <c r="I5" s="1121"/>
      <c r="J5" s="1120"/>
      <c r="K5" s="1122"/>
      <c r="L5" s="1121"/>
      <c r="M5" s="1120"/>
      <c r="N5" s="1121"/>
      <c r="O5" s="146"/>
      <c r="T5" s="1123"/>
      <c r="U5" s="1124"/>
      <c r="V5" s="1124"/>
      <c r="W5" s="1124"/>
      <c r="X5" s="1124"/>
      <c r="Y5" s="1124"/>
      <c r="Z5" s="1124"/>
      <c r="AA5" s="1124"/>
      <c r="AB5" s="1124"/>
      <c r="AC5" s="1124"/>
      <c r="AD5" s="1124"/>
      <c r="AE5" s="1124"/>
      <c r="AF5" s="1124"/>
      <c r="AG5" s="1124"/>
      <c r="AH5" s="1124"/>
      <c r="AI5" s="1124"/>
      <c r="AJ5" s="1124"/>
      <c r="AK5" s="1124"/>
      <c r="AL5" s="1125"/>
      <c r="AX5" s="244"/>
      <c r="AZ5" s="130" t="s">
        <v>572</v>
      </c>
      <c r="BA5" s="130" t="s">
        <v>526</v>
      </c>
      <c r="BB5" s="130" t="s">
        <v>527</v>
      </c>
      <c r="BE5" s="270"/>
      <c r="BF5" s="57" t="s">
        <v>505</v>
      </c>
      <c r="BG5" s="57">
        <v>54.6</v>
      </c>
      <c r="BH5" s="57">
        <v>49.2</v>
      </c>
      <c r="BI5" s="57" t="s">
        <v>547</v>
      </c>
      <c r="BJ5" s="57" t="s">
        <v>548</v>
      </c>
      <c r="BK5" s="57" t="s">
        <v>549</v>
      </c>
      <c r="BL5" s="146">
        <v>2.7027000000000001</v>
      </c>
      <c r="BN5" s="333"/>
      <c r="BO5" s="146" t="s">
        <v>601</v>
      </c>
      <c r="CH5" s="130"/>
      <c r="CI5" s="130"/>
      <c r="CJ5" s="130"/>
      <c r="CK5" s="130"/>
      <c r="CL5" s="130"/>
      <c r="CM5" s="130"/>
      <c r="CN5" s="130"/>
      <c r="CO5" s="130"/>
      <c r="CP5" s="130"/>
      <c r="CQ5" s="130"/>
      <c r="CR5" s="130"/>
      <c r="CS5" s="130"/>
      <c r="CT5" s="130"/>
      <c r="CU5" s="130"/>
    </row>
    <row r="6" spans="1:99" ht="20.100000000000001" customHeight="1">
      <c r="A6" s="1"/>
      <c r="B6" s="980" t="s">
        <v>9</v>
      </c>
      <c r="C6" s="981"/>
      <c r="D6" s="981"/>
      <c r="E6" s="981"/>
      <c r="F6" s="1034"/>
      <c r="G6" s="119" t="s">
        <v>479</v>
      </c>
      <c r="H6" s="1142">
        <f>T26</f>
        <v>295.4674418604651</v>
      </c>
      <c r="I6" s="1143"/>
      <c r="J6" s="1142">
        <f>AI26</f>
        <v>195.80716651471201</v>
      </c>
      <c r="K6" s="1144"/>
      <c r="L6" s="1143"/>
      <c r="M6" s="1117">
        <f>H6-J6</f>
        <v>99.660275345753092</v>
      </c>
      <c r="N6" s="1118"/>
      <c r="O6" s="212">
        <f>IFERROR(M6/H6,0)</f>
        <v>0.33729697836832323</v>
      </c>
      <c r="T6" s="1126"/>
      <c r="U6" s="1127"/>
      <c r="V6" s="1127"/>
      <c r="W6" s="1127"/>
      <c r="X6" s="1127"/>
      <c r="Y6" s="1127"/>
      <c r="Z6" s="1127"/>
      <c r="AA6" s="1127"/>
      <c r="AB6" s="1127"/>
      <c r="AC6" s="1127"/>
      <c r="AD6" s="1127"/>
      <c r="AE6" s="1127"/>
      <c r="AF6" s="1127"/>
      <c r="AG6" s="1127"/>
      <c r="AH6" s="1127"/>
      <c r="AI6" s="1127"/>
      <c r="AJ6" s="1127"/>
      <c r="AK6" s="1127"/>
      <c r="AL6" s="1128"/>
      <c r="AX6" s="244"/>
      <c r="BE6" s="271"/>
      <c r="BF6" s="57" t="s">
        <v>566</v>
      </c>
      <c r="BG6" s="57">
        <f>W16</f>
        <v>0</v>
      </c>
      <c r="BH6" s="57">
        <f>W17</f>
        <v>0</v>
      </c>
      <c r="BI6" s="57" t="s">
        <v>526</v>
      </c>
      <c r="BJ6" s="57" t="s">
        <v>528</v>
      </c>
      <c r="BK6" s="57" t="s">
        <v>549</v>
      </c>
      <c r="BL6" s="146">
        <f>W18</f>
        <v>0</v>
      </c>
      <c r="BN6" s="333"/>
      <c r="BO6" s="146" t="s">
        <v>581</v>
      </c>
      <c r="CH6" s="130"/>
      <c r="CI6" s="130"/>
      <c r="CJ6" s="130"/>
      <c r="CK6" s="130"/>
      <c r="CL6" s="130"/>
      <c r="CM6" s="130"/>
      <c r="CN6" s="130"/>
      <c r="CO6" s="130"/>
      <c r="CP6" s="130"/>
      <c r="CQ6" s="130"/>
      <c r="CR6" s="130"/>
      <c r="CS6" s="130"/>
      <c r="CT6" s="130"/>
      <c r="CU6" s="130"/>
    </row>
    <row r="7" spans="1:99" ht="20.100000000000001" customHeight="1">
      <c r="A7" s="1"/>
      <c r="B7" s="383" t="s">
        <v>12</v>
      </c>
      <c r="C7" s="384"/>
      <c r="D7" s="384"/>
      <c r="E7" s="384"/>
      <c r="F7" s="385"/>
      <c r="G7" s="119" t="s">
        <v>13</v>
      </c>
      <c r="H7" s="1117">
        <f>AS26</f>
        <v>125015.99999999999</v>
      </c>
      <c r="I7" s="1118"/>
      <c r="J7" s="1117">
        <f>AY26</f>
        <v>85575.612631578959</v>
      </c>
      <c r="K7" s="1119"/>
      <c r="L7" s="1118"/>
      <c r="M7" s="1117">
        <f>H7-J7</f>
        <v>39440.387368421027</v>
      </c>
      <c r="N7" s="1118"/>
      <c r="O7" s="212">
        <f>IFERROR(M7/H7,0)</f>
        <v>0.31548271715957182</v>
      </c>
      <c r="R7" s="251"/>
      <c r="S7" s="251"/>
      <c r="T7" s="1126"/>
      <c r="U7" s="1127"/>
      <c r="V7" s="1127"/>
      <c r="W7" s="1127"/>
      <c r="X7" s="1127"/>
      <c r="Y7" s="1127"/>
      <c r="Z7" s="1127"/>
      <c r="AA7" s="1127"/>
      <c r="AB7" s="1127"/>
      <c r="AC7" s="1127"/>
      <c r="AD7" s="1127"/>
      <c r="AE7" s="1127"/>
      <c r="AF7" s="1127"/>
      <c r="AG7" s="1127"/>
      <c r="AH7" s="1127"/>
      <c r="AI7" s="1127"/>
      <c r="AJ7" s="1127"/>
      <c r="AK7" s="1127"/>
      <c r="AL7" s="1128"/>
      <c r="AX7" s="244"/>
      <c r="BE7" s="267" t="s">
        <v>550</v>
      </c>
      <c r="BF7" s="57" t="s">
        <v>551</v>
      </c>
      <c r="BG7" s="57">
        <v>36.700000000000003</v>
      </c>
      <c r="BH7" s="57">
        <v>34.200000000000003</v>
      </c>
      <c r="BI7" s="57" t="s">
        <v>552</v>
      </c>
      <c r="BJ7" s="57" t="s">
        <v>553</v>
      </c>
      <c r="BK7" s="57" t="s">
        <v>554</v>
      </c>
      <c r="BL7" s="146">
        <v>2.4895</v>
      </c>
      <c r="BN7" s="331" t="s">
        <v>550</v>
      </c>
      <c r="BO7" s="146" t="s">
        <v>551</v>
      </c>
      <c r="CH7" s="130"/>
      <c r="CI7" s="130"/>
      <c r="CJ7" s="130"/>
      <c r="CK7" s="130"/>
      <c r="CL7" s="130"/>
      <c r="CM7" s="130"/>
      <c r="CN7" s="130"/>
      <c r="CO7" s="130"/>
      <c r="CP7" s="130"/>
      <c r="CQ7" s="130"/>
      <c r="CR7" s="130"/>
      <c r="CS7" s="130"/>
      <c r="CT7" s="130"/>
      <c r="CU7" s="130"/>
    </row>
    <row r="8" spans="1:99" ht="19.5" customHeight="1">
      <c r="B8" s="284"/>
      <c r="C8" s="284"/>
      <c r="D8" s="284"/>
      <c r="E8" s="284"/>
      <c r="F8" s="284"/>
      <c r="G8" s="283"/>
      <c r="H8" s="285"/>
      <c r="I8" s="285"/>
      <c r="J8" s="285"/>
      <c r="K8" s="285"/>
      <c r="L8" s="285"/>
      <c r="M8" s="285"/>
      <c r="N8" s="285"/>
      <c r="O8" s="285"/>
      <c r="R8" s="250"/>
      <c r="S8" s="250"/>
      <c r="T8" s="1126"/>
      <c r="U8" s="1127"/>
      <c r="V8" s="1127"/>
      <c r="W8" s="1127"/>
      <c r="X8" s="1127"/>
      <c r="Y8" s="1127"/>
      <c r="Z8" s="1127"/>
      <c r="AA8" s="1127"/>
      <c r="AB8" s="1127"/>
      <c r="AC8" s="1127"/>
      <c r="AD8" s="1127"/>
      <c r="AE8" s="1127"/>
      <c r="AF8" s="1127"/>
      <c r="AG8" s="1127"/>
      <c r="AH8" s="1127"/>
      <c r="AI8" s="1127"/>
      <c r="AJ8" s="1127"/>
      <c r="AK8" s="1127"/>
      <c r="AL8" s="1128"/>
      <c r="AX8" s="244"/>
      <c r="BA8" s="57" t="s">
        <v>526</v>
      </c>
      <c r="BB8" s="134" t="s">
        <v>598</v>
      </c>
      <c r="BE8" s="270"/>
      <c r="BF8" s="57" t="s">
        <v>555</v>
      </c>
      <c r="BG8" s="57">
        <v>37.700000000000003</v>
      </c>
      <c r="BH8" s="57">
        <v>35.1</v>
      </c>
      <c r="BI8" s="57" t="s">
        <v>552</v>
      </c>
      <c r="BJ8" s="57" t="s">
        <v>553</v>
      </c>
      <c r="BK8" s="57" t="s">
        <v>554</v>
      </c>
      <c r="BL8" s="146">
        <v>2.585</v>
      </c>
      <c r="BN8" s="333"/>
      <c r="BO8" s="146" t="s">
        <v>555</v>
      </c>
      <c r="CH8" s="130"/>
      <c r="CI8" s="130"/>
      <c r="CJ8" s="130"/>
      <c r="CK8" s="130"/>
      <c r="CL8" s="130"/>
      <c r="CM8" s="130"/>
      <c r="CN8" s="130"/>
      <c r="CO8" s="130"/>
      <c r="CP8" s="130"/>
      <c r="CQ8" s="130"/>
      <c r="CR8" s="130"/>
      <c r="CS8" s="130"/>
      <c r="CT8" s="130"/>
      <c r="CU8" s="130"/>
    </row>
    <row r="9" spans="1:99" ht="20.25" customHeight="1">
      <c r="A9" s="105" t="s">
        <v>309</v>
      </c>
      <c r="T9" s="1126"/>
      <c r="U9" s="1127"/>
      <c r="V9" s="1127"/>
      <c r="W9" s="1127"/>
      <c r="X9" s="1127"/>
      <c r="Y9" s="1127"/>
      <c r="Z9" s="1127"/>
      <c r="AA9" s="1127"/>
      <c r="AB9" s="1127"/>
      <c r="AC9" s="1127"/>
      <c r="AD9" s="1127"/>
      <c r="AE9" s="1127"/>
      <c r="AF9" s="1127"/>
      <c r="AG9" s="1127"/>
      <c r="AH9" s="1127"/>
      <c r="AI9" s="1127"/>
      <c r="AJ9" s="1127"/>
      <c r="AK9" s="1127"/>
      <c r="AL9" s="1128"/>
      <c r="BA9" s="57" t="s">
        <v>552</v>
      </c>
      <c r="BB9" s="134" t="s">
        <v>600</v>
      </c>
      <c r="BE9" s="270"/>
      <c r="BF9" s="57" t="s">
        <v>556</v>
      </c>
      <c r="BG9" s="57">
        <v>39.1</v>
      </c>
      <c r="BH9" s="57">
        <v>36.6</v>
      </c>
      <c r="BI9" s="57" t="s">
        <v>552</v>
      </c>
      <c r="BJ9" s="57" t="s">
        <v>553</v>
      </c>
      <c r="BK9" s="57" t="s">
        <v>554</v>
      </c>
      <c r="BL9" s="146">
        <v>2.7096</v>
      </c>
      <c r="BN9" s="333"/>
      <c r="BO9" s="146" t="s">
        <v>556</v>
      </c>
      <c r="BR9" s="134" t="s">
        <v>636</v>
      </c>
      <c r="CH9" s="130"/>
      <c r="CI9" s="130"/>
      <c r="CJ9" s="130"/>
      <c r="CK9" s="130"/>
      <c r="CL9" s="130"/>
      <c r="CM9" s="130"/>
      <c r="CN9" s="130"/>
      <c r="CO9" s="130"/>
      <c r="CP9" s="130"/>
      <c r="CQ9" s="130"/>
      <c r="CR9" s="130"/>
      <c r="CS9" s="130"/>
      <c r="CT9" s="130"/>
      <c r="CU9" s="130"/>
    </row>
    <row r="10" spans="1:99" ht="20.25" customHeight="1">
      <c r="T10" s="1129"/>
      <c r="U10" s="1130"/>
      <c r="V10" s="1130"/>
      <c r="W10" s="1130"/>
      <c r="X10" s="1130"/>
      <c r="Y10" s="1130"/>
      <c r="Z10" s="1130"/>
      <c r="AA10" s="1130"/>
      <c r="AB10" s="1130"/>
      <c r="AC10" s="1130"/>
      <c r="AD10" s="1130"/>
      <c r="AE10" s="1130"/>
      <c r="AF10" s="1130"/>
      <c r="AG10" s="1130"/>
      <c r="AH10" s="1130"/>
      <c r="AI10" s="1130"/>
      <c r="AJ10" s="1130"/>
      <c r="AK10" s="1130"/>
      <c r="AL10" s="1131"/>
      <c r="AV10" s="146"/>
      <c r="AX10" s="146"/>
      <c r="BA10" s="57" t="s">
        <v>560</v>
      </c>
      <c r="BB10" s="134" t="s">
        <v>599</v>
      </c>
      <c r="BE10" s="270"/>
      <c r="BF10" s="57" t="s">
        <v>557</v>
      </c>
      <c r="BG10" s="57">
        <v>41.9</v>
      </c>
      <c r="BH10" s="57">
        <v>39.4</v>
      </c>
      <c r="BI10" s="57" t="s">
        <v>552</v>
      </c>
      <c r="BJ10" s="57" t="s">
        <v>553</v>
      </c>
      <c r="BK10" s="57" t="s">
        <v>554</v>
      </c>
      <c r="BL10" s="146">
        <v>2.7955999999999999</v>
      </c>
      <c r="BN10" s="333"/>
      <c r="BO10" s="146" t="s">
        <v>557</v>
      </c>
      <c r="BR10" s="134" t="s">
        <v>637</v>
      </c>
      <c r="CH10" s="130"/>
      <c r="CI10" s="130"/>
      <c r="CJ10" s="130"/>
      <c r="CK10" s="130"/>
      <c r="CL10" s="130"/>
      <c r="CM10" s="130"/>
      <c r="CN10" s="130"/>
      <c r="CO10" s="130"/>
      <c r="CP10" s="130"/>
      <c r="CQ10" s="130"/>
      <c r="CR10" s="130"/>
      <c r="CS10" s="130"/>
      <c r="CT10" s="130"/>
      <c r="CU10" s="130"/>
    </row>
    <row r="11" spans="1:99" ht="20.25" customHeight="1">
      <c r="U11" s="247"/>
      <c r="V11" s="247"/>
      <c r="W11" s="247"/>
      <c r="X11" s="247"/>
      <c r="Y11" s="247"/>
      <c r="Z11" s="247"/>
      <c r="AA11" s="247"/>
      <c r="AB11" s="247"/>
      <c r="AC11" s="247"/>
      <c r="AD11" s="247"/>
      <c r="AE11" s="247"/>
      <c r="AF11" s="247"/>
      <c r="AG11" s="247"/>
      <c r="AH11" s="247"/>
      <c r="AI11" s="247"/>
      <c r="AJ11" s="247"/>
      <c r="AK11" s="247"/>
      <c r="AL11" s="247"/>
      <c r="AM11" s="247"/>
      <c r="BE11" s="270"/>
      <c r="BF11" s="57" t="s">
        <v>558</v>
      </c>
      <c r="BG11" s="57">
        <v>41.9</v>
      </c>
      <c r="BH11" s="57">
        <v>39.4</v>
      </c>
      <c r="BI11" s="57" t="s">
        <v>552</v>
      </c>
      <c r="BJ11" s="57" t="s">
        <v>553</v>
      </c>
      <c r="BK11" s="57" t="s">
        <v>554</v>
      </c>
      <c r="BL11" s="146">
        <v>2.7955999999999999</v>
      </c>
      <c r="BN11" s="334"/>
      <c r="BO11" s="146" t="s">
        <v>558</v>
      </c>
      <c r="BR11" s="134" t="s">
        <v>667</v>
      </c>
      <c r="CH11" s="130"/>
      <c r="CI11" s="130"/>
      <c r="CJ11" s="130"/>
      <c r="CK11" s="130"/>
      <c r="CL11" s="130"/>
      <c r="CM11" s="130"/>
      <c r="CN11" s="130"/>
      <c r="CO11" s="130"/>
      <c r="CP11" s="130"/>
      <c r="CQ11" s="130"/>
      <c r="CR11" s="130"/>
      <c r="CS11" s="130"/>
      <c r="CT11" s="130"/>
      <c r="CU11" s="130"/>
    </row>
    <row r="12" spans="1:99" ht="20.25" customHeight="1">
      <c r="V12" s="177"/>
      <c r="W12" s="177"/>
      <c r="X12" s="177"/>
      <c r="Y12" s="247"/>
      <c r="Z12" s="247"/>
      <c r="AA12" s="247"/>
      <c r="AB12" s="247"/>
      <c r="AC12" s="247"/>
      <c r="AD12" s="247"/>
      <c r="AE12" s="247"/>
      <c r="AF12" s="247"/>
      <c r="AG12" s="247"/>
      <c r="AH12" s="247"/>
      <c r="AI12" s="247"/>
      <c r="AJ12" s="247"/>
      <c r="AK12" s="247"/>
      <c r="AL12" s="247"/>
      <c r="AM12" s="247"/>
      <c r="BE12" s="271"/>
      <c r="BF12" s="57" t="s">
        <v>564</v>
      </c>
      <c r="BG12" s="57">
        <f>W16</f>
        <v>0</v>
      </c>
      <c r="BH12" s="57">
        <f>W17</f>
        <v>0</v>
      </c>
      <c r="BI12" s="57" t="s">
        <v>552</v>
      </c>
      <c r="BJ12" s="57" t="s">
        <v>553</v>
      </c>
      <c r="BK12" s="57" t="s">
        <v>554</v>
      </c>
      <c r="BL12" s="146">
        <f>W18</f>
        <v>0</v>
      </c>
      <c r="BN12" s="146" t="s">
        <v>559</v>
      </c>
      <c r="BO12" s="146" t="s">
        <v>532</v>
      </c>
      <c r="BR12" s="134" t="s">
        <v>638</v>
      </c>
      <c r="CH12" s="130"/>
      <c r="CI12" s="130"/>
      <c r="CJ12" s="130"/>
      <c r="CK12" s="130"/>
      <c r="CL12" s="130"/>
      <c r="CM12" s="130"/>
      <c r="CN12" s="130"/>
      <c r="CO12" s="130"/>
      <c r="CP12" s="130"/>
      <c r="CQ12" s="130"/>
      <c r="CR12" s="130"/>
      <c r="CS12" s="130"/>
      <c r="CT12" s="130"/>
      <c r="CU12" s="130"/>
    </row>
    <row r="13" spans="1:99" ht="12" customHeight="1">
      <c r="U13" s="130" t="s">
        <v>634</v>
      </c>
      <c r="V13" s="247"/>
      <c r="W13" s="247"/>
      <c r="X13" s="247"/>
      <c r="Y13" s="247"/>
      <c r="Z13" s="247"/>
      <c r="AA13" s="247"/>
      <c r="AB13" s="247"/>
      <c r="AC13" s="247"/>
      <c r="AD13" s="247"/>
      <c r="AE13" s="247"/>
      <c r="AF13" s="247"/>
      <c r="AG13" s="247"/>
      <c r="AH13" s="247"/>
      <c r="AI13" s="247"/>
      <c r="AJ13" s="247"/>
      <c r="AK13" s="247"/>
      <c r="AL13" s="247"/>
      <c r="AM13" s="247"/>
      <c r="BE13" s="267" t="s">
        <v>559</v>
      </c>
      <c r="BF13" s="57" t="s">
        <v>532</v>
      </c>
      <c r="BG13" s="272">
        <v>3.6</v>
      </c>
      <c r="BH13" s="57">
        <v>3.6</v>
      </c>
      <c r="BI13" s="57" t="s">
        <v>560</v>
      </c>
      <c r="BJ13" s="332" t="s">
        <v>561</v>
      </c>
      <c r="BK13" s="57" t="s">
        <v>562</v>
      </c>
      <c r="BL13" s="146">
        <v>0.495</v>
      </c>
      <c r="BN13" s="331" t="s">
        <v>563</v>
      </c>
      <c r="BO13" s="146" t="s">
        <v>536</v>
      </c>
      <c r="BR13" s="134" t="s">
        <v>652</v>
      </c>
      <c r="CH13" s="130"/>
      <c r="CI13" s="130"/>
      <c r="CJ13" s="130"/>
      <c r="CK13" s="130"/>
      <c r="CL13" s="130"/>
      <c r="CM13" s="130"/>
      <c r="CN13" s="130"/>
      <c r="CO13" s="130"/>
      <c r="CP13" s="130"/>
      <c r="CQ13" s="130"/>
      <c r="CR13" s="130"/>
      <c r="CS13" s="130"/>
      <c r="CT13" s="130"/>
      <c r="CU13" s="130"/>
    </row>
    <row r="14" spans="1:99" ht="20.25" customHeight="1">
      <c r="U14" s="336" t="s">
        <v>573</v>
      </c>
      <c r="V14" s="1132" t="s">
        <v>525</v>
      </c>
      <c r="W14" s="1133"/>
      <c r="X14" s="1134"/>
      <c r="Y14" s="247"/>
      <c r="Z14" s="247"/>
      <c r="AA14" s="247"/>
      <c r="AB14" s="247"/>
      <c r="AC14" s="247"/>
      <c r="AD14" s="247"/>
      <c r="AE14" s="247"/>
      <c r="AF14" s="247"/>
      <c r="AG14" s="247"/>
      <c r="AH14" s="247"/>
      <c r="AI14" s="247"/>
      <c r="AJ14" s="247"/>
      <c r="AK14" s="247"/>
      <c r="AL14" s="247"/>
      <c r="AM14" s="247"/>
      <c r="BE14" s="271"/>
      <c r="BF14" s="57" t="s">
        <v>565</v>
      </c>
      <c r="BG14" s="57">
        <f>W16</f>
        <v>0</v>
      </c>
      <c r="BH14" s="57">
        <f>W17</f>
        <v>0</v>
      </c>
      <c r="BI14" s="57" t="s">
        <v>526</v>
      </c>
      <c r="BJ14" s="57" t="s">
        <v>561</v>
      </c>
      <c r="BK14" s="57" t="s">
        <v>562</v>
      </c>
      <c r="BL14" s="146">
        <f>W18</f>
        <v>0</v>
      </c>
      <c r="BN14" s="334"/>
      <c r="BO14" s="146" t="s">
        <v>537</v>
      </c>
      <c r="BR14" s="134" t="s">
        <v>651</v>
      </c>
    </row>
    <row r="15" spans="1:99" ht="20.25" customHeight="1">
      <c r="A15" s="207"/>
      <c r="B15" s="313"/>
      <c r="C15" s="313"/>
      <c r="D15" s="313"/>
      <c r="E15" s="314"/>
      <c r="F15" s="314"/>
      <c r="G15" s="314"/>
      <c r="H15" s="314"/>
      <c r="I15" s="314"/>
      <c r="J15" s="315"/>
      <c r="K15" s="315"/>
      <c r="L15" s="315"/>
      <c r="M15" s="314"/>
      <c r="N15" s="246"/>
      <c r="O15" s="246"/>
      <c r="P15" s="246"/>
      <c r="Q15" s="315"/>
      <c r="R15" s="315"/>
      <c r="S15" s="315"/>
      <c r="T15" s="246"/>
      <c r="U15" s="337" t="s">
        <v>597</v>
      </c>
      <c r="V15" s="341" t="s">
        <v>590</v>
      </c>
      <c r="W15" s="1132" t="s">
        <v>591</v>
      </c>
      <c r="X15" s="1134"/>
      <c r="Y15" s="208"/>
      <c r="Z15" s="208"/>
      <c r="AA15" s="208"/>
      <c r="AB15" s="208"/>
      <c r="AC15" s="208"/>
      <c r="AD15" s="208"/>
      <c r="AE15" s="208"/>
      <c r="AF15" s="209"/>
      <c r="AG15" s="209"/>
      <c r="AH15" s="209"/>
      <c r="AI15" s="209"/>
      <c r="AJ15" s="209"/>
      <c r="AK15" s="209"/>
      <c r="AL15" s="209"/>
      <c r="AM15" s="209"/>
      <c r="AN15" s="209"/>
      <c r="AO15" s="209"/>
      <c r="BE15" s="267" t="s">
        <v>563</v>
      </c>
      <c r="BF15" s="57" t="s">
        <v>536</v>
      </c>
      <c r="BG15" s="57">
        <v>25.7</v>
      </c>
      <c r="BH15" s="57">
        <v>24.4</v>
      </c>
      <c r="BI15" s="57" t="s">
        <v>547</v>
      </c>
      <c r="BJ15" s="57" t="s">
        <v>548</v>
      </c>
      <c r="BK15" s="57" t="s">
        <v>549</v>
      </c>
      <c r="BL15" s="146">
        <v>2.3275999999999999</v>
      </c>
      <c r="BR15" s="134" t="s">
        <v>658</v>
      </c>
    </row>
    <row r="16" spans="1:99" ht="20.25" customHeight="1">
      <c r="A16" s="207"/>
      <c r="B16" s="313"/>
      <c r="C16" s="313"/>
      <c r="D16" s="313"/>
      <c r="E16" s="314"/>
      <c r="F16" s="314"/>
      <c r="G16" s="314"/>
      <c r="H16" s="314"/>
      <c r="I16" s="314"/>
      <c r="J16" s="315"/>
      <c r="K16" s="315"/>
      <c r="L16" s="315"/>
      <c r="M16" s="314"/>
      <c r="N16" s="246"/>
      <c r="O16" s="246"/>
      <c r="P16" s="246"/>
      <c r="Q16" s="315"/>
      <c r="R16" s="246"/>
      <c r="S16" s="246"/>
      <c r="T16" s="252"/>
      <c r="U16" s="338" t="s">
        <v>594</v>
      </c>
      <c r="V16" s="335" t="s">
        <v>526</v>
      </c>
      <c r="W16" s="1135"/>
      <c r="X16" s="1136"/>
      <c r="Y16" s="208"/>
      <c r="Z16" s="208"/>
      <c r="AA16" s="208"/>
      <c r="AB16" s="208"/>
      <c r="AC16" s="208"/>
      <c r="AD16" s="208"/>
      <c r="AE16" s="208"/>
      <c r="AF16" s="209"/>
      <c r="AG16" s="209"/>
      <c r="AH16" s="209"/>
      <c r="AI16" s="209"/>
      <c r="AJ16" s="209"/>
      <c r="AK16" s="209"/>
      <c r="AL16" s="209"/>
      <c r="AM16" s="209"/>
      <c r="AN16" s="209"/>
      <c r="AO16" s="209"/>
      <c r="BE16" s="270"/>
      <c r="BF16" s="57" t="s">
        <v>537</v>
      </c>
      <c r="BG16" s="57">
        <v>29.4</v>
      </c>
      <c r="BH16" s="57">
        <v>27.9</v>
      </c>
      <c r="BI16" s="57" t="s">
        <v>547</v>
      </c>
      <c r="BJ16" s="57" t="s">
        <v>548</v>
      </c>
      <c r="BK16" s="57" t="s">
        <v>549</v>
      </c>
      <c r="BL16" s="146">
        <v>3.1692999999999998</v>
      </c>
      <c r="BR16" s="134" t="s">
        <v>653</v>
      </c>
    </row>
    <row r="17" spans="1:99" ht="21" customHeight="1">
      <c r="A17" s="133"/>
      <c r="B17" s="133"/>
      <c r="C17" s="133"/>
      <c r="D17" s="133"/>
      <c r="E17" s="175"/>
      <c r="F17" s="175"/>
      <c r="G17" s="314"/>
      <c r="H17" s="175"/>
      <c r="I17" s="175"/>
      <c r="J17" s="175"/>
      <c r="K17" s="175"/>
      <c r="L17" s="175"/>
      <c r="M17" s="175"/>
      <c r="N17" s="175"/>
      <c r="O17" s="175"/>
      <c r="P17" s="175"/>
      <c r="Q17" s="133"/>
      <c r="R17" s="133"/>
      <c r="S17" s="133"/>
      <c r="T17" s="133"/>
      <c r="U17" s="339" t="s">
        <v>595</v>
      </c>
      <c r="V17" s="335"/>
      <c r="W17" s="1132"/>
      <c r="X17" s="1134"/>
      <c r="Y17" s="175"/>
      <c r="Z17" s="175"/>
      <c r="AA17" s="175"/>
      <c r="AB17" s="175"/>
      <c r="AC17" s="175"/>
      <c r="AD17" s="175"/>
      <c r="AE17" s="175"/>
      <c r="AF17" s="175"/>
      <c r="AG17" s="175"/>
      <c r="AH17" s="175"/>
      <c r="AI17" s="175"/>
      <c r="AJ17" s="175"/>
      <c r="AK17" s="175"/>
      <c r="AL17" s="175"/>
      <c r="AM17" s="206"/>
      <c r="AN17" s="131"/>
      <c r="BE17" s="57" t="s">
        <v>535</v>
      </c>
      <c r="BF17" s="57" t="e">
        <f>#REF!</f>
        <v>#REF!</v>
      </c>
      <c r="BG17" s="57">
        <f>W16</f>
        <v>0</v>
      </c>
      <c r="BH17" s="57">
        <f>W17</f>
        <v>0</v>
      </c>
      <c r="BI17" s="57" t="s">
        <v>548</v>
      </c>
      <c r="BJ17" s="57" t="s">
        <v>549</v>
      </c>
      <c r="BK17" s="57" t="s">
        <v>549</v>
      </c>
      <c r="BL17" s="146">
        <f>W18</f>
        <v>0</v>
      </c>
      <c r="BM17" s="134" t="s">
        <v>598</v>
      </c>
      <c r="BR17" s="134" t="s">
        <v>654</v>
      </c>
    </row>
    <row r="18" spans="1:99" ht="21" customHeight="1">
      <c r="A18" s="133"/>
      <c r="B18" s="133"/>
      <c r="C18" s="133"/>
      <c r="D18" s="133"/>
      <c r="E18" s="175"/>
      <c r="F18" s="175"/>
      <c r="G18" s="314"/>
      <c r="H18" s="175"/>
      <c r="I18" s="175"/>
      <c r="J18" s="175"/>
      <c r="K18" s="175"/>
      <c r="L18" s="175"/>
      <c r="M18" s="175"/>
      <c r="N18" s="175"/>
      <c r="O18" s="175"/>
      <c r="P18" s="175"/>
      <c r="Q18" s="133"/>
      <c r="R18" s="133"/>
      <c r="S18" s="133"/>
      <c r="T18" s="133"/>
      <c r="U18" s="340" t="s">
        <v>596</v>
      </c>
      <c r="V18" s="342" t="str">
        <f>IFERROR(INDEX(BB8:BB10,MATCH(V16,BA8:BA10,0),1),"")</f>
        <v>t-CO₂/t</v>
      </c>
      <c r="W18" s="1137"/>
      <c r="X18" s="1138"/>
      <c r="Y18" s="175"/>
      <c r="Z18" s="175"/>
      <c r="AA18" s="175"/>
      <c r="AB18" s="175"/>
      <c r="AC18" s="175"/>
      <c r="AD18" s="175"/>
      <c r="AE18" s="175"/>
      <c r="AF18" s="175"/>
      <c r="AG18" s="175"/>
      <c r="AH18" s="175"/>
      <c r="AI18" s="175"/>
      <c r="AJ18" s="175"/>
      <c r="AK18" s="175"/>
      <c r="AL18" s="175"/>
      <c r="AM18" s="206"/>
      <c r="AN18" s="131"/>
      <c r="BE18" s="393"/>
      <c r="BF18" s="393"/>
      <c r="BG18" s="393"/>
      <c r="BH18" s="393"/>
      <c r="BI18" s="393"/>
      <c r="BJ18" s="393"/>
      <c r="BK18" s="393"/>
    </row>
    <row r="19" spans="1:99" ht="21" customHeight="1">
      <c r="A19" s="133"/>
      <c r="B19" s="133"/>
      <c r="C19" s="133"/>
      <c r="D19" s="133"/>
      <c r="E19" s="176"/>
      <c r="F19" s="176"/>
      <c r="G19" s="176"/>
      <c r="H19" s="176"/>
      <c r="I19" s="176"/>
      <c r="J19" s="176"/>
      <c r="K19" s="176"/>
      <c r="L19" s="175"/>
      <c r="M19" s="175"/>
      <c r="N19" s="175"/>
      <c r="O19" s="175"/>
      <c r="P19" s="175"/>
      <c r="Q19" s="133"/>
      <c r="R19" s="133"/>
      <c r="S19" s="133"/>
      <c r="T19" s="133"/>
      <c r="Y19" s="177"/>
      <c r="Z19" s="177"/>
      <c r="AA19" s="177"/>
      <c r="AB19" s="177"/>
      <c r="AC19" s="175"/>
      <c r="AD19" s="175"/>
      <c r="AE19" s="175"/>
      <c r="AF19" s="175"/>
      <c r="AG19" s="175"/>
      <c r="AH19" s="175"/>
      <c r="AI19" s="175"/>
      <c r="AJ19" s="175"/>
      <c r="AK19" s="175"/>
      <c r="AL19" s="175"/>
      <c r="AM19" s="134"/>
      <c r="BD19" s="271"/>
      <c r="BI19" s="134"/>
      <c r="CU19" s="130"/>
    </row>
    <row r="20" spans="1:99" ht="18" customHeight="1">
      <c r="A20" s="132"/>
      <c r="B20" s="206"/>
      <c r="C20" s="206"/>
      <c r="D20" s="380" t="s">
        <v>664</v>
      </c>
      <c r="E20" s="206"/>
      <c r="F20" s="206"/>
      <c r="G20" s="206"/>
      <c r="H20" s="206"/>
      <c r="I20" s="206"/>
      <c r="J20" s="206"/>
      <c r="K20" s="206"/>
      <c r="L20" s="206"/>
      <c r="M20" s="380" t="s">
        <v>643</v>
      </c>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133"/>
      <c r="AO20" s="133"/>
      <c r="BI20" s="134"/>
      <c r="CU20" s="130"/>
    </row>
    <row r="21" spans="1:99" ht="39.75" customHeight="1">
      <c r="A21" s="977" t="s">
        <v>0</v>
      </c>
      <c r="B21" s="213" t="s">
        <v>2</v>
      </c>
      <c r="C21" s="214"/>
      <c r="D21" s="214"/>
      <c r="E21" s="214"/>
      <c r="F21" s="214"/>
      <c r="G21" s="214"/>
      <c r="H21" s="214"/>
      <c r="I21" s="214"/>
      <c r="J21" s="214"/>
      <c r="K21" s="214"/>
      <c r="L21" s="214"/>
      <c r="M21" s="214"/>
      <c r="N21" s="214"/>
      <c r="O21" s="214"/>
      <c r="P21" s="214"/>
      <c r="Q21" s="215"/>
      <c r="R21" s="215"/>
      <c r="S21" s="215"/>
      <c r="T21" s="216"/>
      <c r="U21" s="217" t="s">
        <v>46</v>
      </c>
      <c r="V21" s="218"/>
      <c r="W21" s="218"/>
      <c r="X21" s="218"/>
      <c r="Y21" s="218"/>
      <c r="Z21" s="218"/>
      <c r="AA21" s="218"/>
      <c r="AB21" s="218"/>
      <c r="AC21" s="218"/>
      <c r="AD21" s="218"/>
      <c r="AE21" s="218"/>
      <c r="AF21" s="218"/>
      <c r="AG21" s="218"/>
      <c r="AH21" s="218"/>
      <c r="AI21" s="218"/>
      <c r="AJ21" s="994" t="s">
        <v>14</v>
      </c>
      <c r="AK21" s="1045"/>
      <c r="AL21" s="995"/>
      <c r="AM21" s="135"/>
      <c r="AN21" s="134"/>
      <c r="AO21" s="134"/>
      <c r="AP21" s="130" t="s">
        <v>586</v>
      </c>
      <c r="AV21" s="130" t="s">
        <v>587</v>
      </c>
      <c r="BA21" s="134"/>
      <c r="BB21" s="134"/>
      <c r="BI21" s="134"/>
      <c r="CU21" s="130"/>
    </row>
    <row r="22" spans="1:99" ht="15" customHeight="1">
      <c r="A22" s="978"/>
      <c r="B22" s="220"/>
      <c r="C22" s="221"/>
      <c r="D22" s="221"/>
      <c r="E22" s="221"/>
      <c r="F22" s="221"/>
      <c r="G22" s="221"/>
      <c r="H22" s="221"/>
      <c r="I22" s="221"/>
      <c r="J22" s="221"/>
      <c r="K22" s="221"/>
      <c r="L22" s="221"/>
      <c r="M22" s="221"/>
      <c r="N22" s="319" t="s">
        <v>49</v>
      </c>
      <c r="O22" s="219"/>
      <c r="P22" s="219"/>
      <c r="Q22" s="219"/>
      <c r="R22" s="219"/>
      <c r="S22" s="219"/>
      <c r="T22" s="219"/>
      <c r="U22" s="220"/>
      <c r="V22" s="221"/>
      <c r="W22" s="221"/>
      <c r="X22" s="221"/>
      <c r="Y22" s="221"/>
      <c r="Z22" s="221"/>
      <c r="AA22" s="221"/>
      <c r="AB22" s="221"/>
      <c r="AC22" s="221"/>
      <c r="AD22" s="319" t="s">
        <v>49</v>
      </c>
      <c r="AE22" s="215"/>
      <c r="AF22" s="219"/>
      <c r="AG22" s="219"/>
      <c r="AH22" s="219"/>
      <c r="AI22" s="216"/>
      <c r="AJ22" s="996"/>
      <c r="AK22" s="1046"/>
      <c r="AL22" s="997"/>
      <c r="AM22" s="135"/>
      <c r="AN22" s="134"/>
      <c r="AO22" s="134"/>
      <c r="BA22" s="134"/>
      <c r="BB22" s="134"/>
      <c r="BI22" s="134"/>
      <c r="CU22" s="130"/>
    </row>
    <row r="23" spans="1:99" s="134" customFormat="1" ht="23.25" customHeight="1">
      <c r="A23" s="979"/>
      <c r="B23" s="225" t="s">
        <v>15</v>
      </c>
      <c r="C23" s="225" t="s">
        <v>633</v>
      </c>
      <c r="D23" s="225" t="s">
        <v>663</v>
      </c>
      <c r="E23" s="1115" t="s">
        <v>662</v>
      </c>
      <c r="F23" s="242" t="s">
        <v>410</v>
      </c>
      <c r="G23" s="226" t="s">
        <v>418</v>
      </c>
      <c r="H23" s="242" t="s">
        <v>661</v>
      </c>
      <c r="I23" s="226" t="s">
        <v>655</v>
      </c>
      <c r="J23" s="242" t="s">
        <v>1</v>
      </c>
      <c r="K23" s="242" t="s">
        <v>649</v>
      </c>
      <c r="L23" s="1115" t="s">
        <v>411</v>
      </c>
      <c r="M23" s="226" t="s">
        <v>520</v>
      </c>
      <c r="N23" s="226" t="s">
        <v>521</v>
      </c>
      <c r="O23" s="226" t="s">
        <v>575</v>
      </c>
      <c r="P23" s="242" t="s">
        <v>585</v>
      </c>
      <c r="Q23" s="242" t="s">
        <v>650</v>
      </c>
      <c r="R23" s="242" t="s">
        <v>1</v>
      </c>
      <c r="S23" s="242" t="s">
        <v>632</v>
      </c>
      <c r="T23" s="226" t="s">
        <v>508</v>
      </c>
      <c r="U23" s="225" t="s">
        <v>15</v>
      </c>
      <c r="V23" s="226" t="s">
        <v>418</v>
      </c>
      <c r="W23" s="1115" t="s">
        <v>662</v>
      </c>
      <c r="X23" s="242" t="s">
        <v>661</v>
      </c>
      <c r="Y23" s="226" t="s">
        <v>655</v>
      </c>
      <c r="Z23" s="242" t="s">
        <v>1</v>
      </c>
      <c r="AA23" s="242" t="s">
        <v>649</v>
      </c>
      <c r="AB23" s="242" t="s">
        <v>523</v>
      </c>
      <c r="AC23" s="226" t="s">
        <v>520</v>
      </c>
      <c r="AD23" s="226" t="s">
        <v>248</v>
      </c>
      <c r="AE23" s="242" t="s">
        <v>659</v>
      </c>
      <c r="AF23" s="242" t="s">
        <v>671</v>
      </c>
      <c r="AG23" s="242" t="s">
        <v>1</v>
      </c>
      <c r="AH23" s="242" t="s">
        <v>672</v>
      </c>
      <c r="AI23" s="226" t="s">
        <v>508</v>
      </c>
      <c r="AJ23" s="227" t="s">
        <v>669</v>
      </c>
      <c r="AK23" s="227" t="s">
        <v>670</v>
      </c>
      <c r="AL23" s="227" t="s">
        <v>514</v>
      </c>
      <c r="AM23" s="136"/>
      <c r="AN23" s="137" t="s">
        <v>668</v>
      </c>
      <c r="AO23" s="137"/>
      <c r="AP23" s="188" t="s">
        <v>578</v>
      </c>
      <c r="AQ23" s="188" t="s">
        <v>579</v>
      </c>
      <c r="AR23" s="188" t="s">
        <v>577</v>
      </c>
      <c r="AS23" s="312" t="s">
        <v>589</v>
      </c>
      <c r="AT23" s="188" t="s">
        <v>580</v>
      </c>
      <c r="AU23" s="188"/>
      <c r="AV23" s="188" t="s">
        <v>578</v>
      </c>
      <c r="AW23" s="188" t="s">
        <v>579</v>
      </c>
      <c r="AX23" s="188" t="s">
        <v>577</v>
      </c>
      <c r="AY23" s="312" t="s">
        <v>589</v>
      </c>
      <c r="AZ23" s="188" t="s">
        <v>580</v>
      </c>
      <c r="BA23" s="139"/>
      <c r="BB23" s="139"/>
      <c r="BD23" s="130"/>
      <c r="BE23" s="130"/>
      <c r="BH23" s="130"/>
    </row>
    <row r="24" spans="1:99" s="134" customFormat="1" ht="23.25" customHeight="1">
      <c r="A24" s="126" t="s">
        <v>1</v>
      </c>
      <c r="B24" s="122"/>
      <c r="C24" s="122"/>
      <c r="D24" s="122"/>
      <c r="E24" s="1116"/>
      <c r="F24" s="123"/>
      <c r="G24" s="119" t="s">
        <v>44</v>
      </c>
      <c r="H24" s="266"/>
      <c r="I24" s="119" t="s">
        <v>588</v>
      </c>
      <c r="J24" s="266"/>
      <c r="K24" s="266" t="s">
        <v>631</v>
      </c>
      <c r="L24" s="1116"/>
      <c r="M24" s="119" t="s">
        <v>55</v>
      </c>
      <c r="N24" s="119" t="s">
        <v>22</v>
      </c>
      <c r="O24" s="119" t="s">
        <v>576</v>
      </c>
      <c r="P24" s="119" t="s">
        <v>583</v>
      </c>
      <c r="Q24" s="266"/>
      <c r="R24" s="266"/>
      <c r="S24" s="266" t="s">
        <v>660</v>
      </c>
      <c r="T24" s="119" t="s">
        <v>479</v>
      </c>
      <c r="U24" s="123"/>
      <c r="V24" s="119" t="s">
        <v>44</v>
      </c>
      <c r="W24" s="1116"/>
      <c r="X24" s="266"/>
      <c r="Y24" s="119" t="s">
        <v>588</v>
      </c>
      <c r="Z24" s="266"/>
      <c r="AA24" s="266" t="s">
        <v>631</v>
      </c>
      <c r="AB24" s="266"/>
      <c r="AC24" s="119" t="s">
        <v>55</v>
      </c>
      <c r="AD24" s="119" t="s">
        <v>266</v>
      </c>
      <c r="AE24" s="266" t="s">
        <v>660</v>
      </c>
      <c r="AF24" s="266"/>
      <c r="AG24" s="266"/>
      <c r="AH24" s="266" t="s">
        <v>660</v>
      </c>
      <c r="AI24" s="119" t="s">
        <v>479</v>
      </c>
      <c r="AJ24" s="119"/>
      <c r="AK24" s="119" t="s">
        <v>8</v>
      </c>
      <c r="AL24" s="119" t="s">
        <v>479</v>
      </c>
      <c r="AM24" s="136"/>
      <c r="AN24" s="137"/>
      <c r="AO24" s="137"/>
      <c r="BA24" s="139"/>
      <c r="BB24" s="139"/>
      <c r="BD24" s="130"/>
      <c r="BO24" s="147"/>
    </row>
    <row r="25" spans="1:99" s="134" customFormat="1" ht="23.25" customHeight="1">
      <c r="A25" s="343" t="s">
        <v>419</v>
      </c>
      <c r="B25" s="309" t="s">
        <v>231</v>
      </c>
      <c r="C25" s="391" t="s">
        <v>636</v>
      </c>
      <c r="D25" s="309"/>
      <c r="E25" s="287" t="s">
        <v>525</v>
      </c>
      <c r="F25" s="288" t="s">
        <v>378</v>
      </c>
      <c r="G25" s="310">
        <v>2</v>
      </c>
      <c r="H25" s="286" t="s">
        <v>591</v>
      </c>
      <c r="I25" s="304">
        <v>40</v>
      </c>
      <c r="J25" s="316" t="str">
        <f>IF(E25="","",VLOOKUP(H25,$BF$2:$BK$17,6,FALSE))</f>
        <v>m3（N)/h</v>
      </c>
      <c r="K25" s="316"/>
      <c r="L25" s="311" t="s">
        <v>666</v>
      </c>
      <c r="M25" s="305">
        <v>0.86</v>
      </c>
      <c r="N25" s="303">
        <v>2000</v>
      </c>
      <c r="O25" s="306">
        <v>0.5</v>
      </c>
      <c r="P25" s="316">
        <f>G25*I25*M25*N25*O25*AR25</f>
        <v>3096000</v>
      </c>
      <c r="Q25" s="316">
        <f>IF(O25="",G25*I25/M25*N25,G25*I25/M25*N25*O25)</f>
        <v>93023.255813953481</v>
      </c>
      <c r="R25" s="316" t="str">
        <f>IF(J25="","",IF(J25="kW","kW",LEFT(J25,FIND("/",J25)-1)))</f>
        <v>m3（N)</v>
      </c>
      <c r="S25" s="316"/>
      <c r="T25" s="318">
        <f>Q25*AT25*0.001</f>
        <v>208.74418604651163</v>
      </c>
      <c r="U25" s="309" t="s">
        <v>52</v>
      </c>
      <c r="V25" s="292">
        <v>2</v>
      </c>
      <c r="W25" s="287" t="s">
        <v>525</v>
      </c>
      <c r="X25" s="286" t="s">
        <v>591</v>
      </c>
      <c r="Y25" s="304">
        <v>40</v>
      </c>
      <c r="Z25" s="303" t="str">
        <f>IF(W25="","",VLOOKUP(X25,$BF$2:$BK$17,6,FALSE))</f>
        <v>m3（N)/h</v>
      </c>
      <c r="AA25" s="303"/>
      <c r="AB25" s="289" t="s">
        <v>27</v>
      </c>
      <c r="AC25" s="305">
        <v>0.95</v>
      </c>
      <c r="AD25" s="305"/>
      <c r="AE25" s="305"/>
      <c r="AF25" s="307">
        <f>P25/AC25/AX25</f>
        <v>72421.052631578947</v>
      </c>
      <c r="AG25" s="307" t="str">
        <f>IF(Z25="","",IF(Z25="kW","kW",LEFT(Z25,FIND("/",Z25)-1)))</f>
        <v>m3（N)</v>
      </c>
      <c r="AH25" s="307"/>
      <c r="AI25" s="307">
        <f>AF25*AZ25*0.001</f>
        <v>162.51284210526319</v>
      </c>
      <c r="AJ25" s="307">
        <f>IFERROR(Q25-AF25,"")</f>
        <v>20602.203182374535</v>
      </c>
      <c r="AK25" s="307"/>
      <c r="AL25" s="307">
        <f>IFERROR(T25-AI25,"")</f>
        <v>46.23134394124844</v>
      </c>
      <c r="AM25" s="136"/>
      <c r="AN25" s="137">
        <f t="shared" ref="AN25:AN36" si="0">MATCH(C25,$BR$9:$BR$17,0)</f>
        <v>1</v>
      </c>
      <c r="AO25" s="137"/>
      <c r="AP25" s="138">
        <f>VLOOKUP(H25,$BF$2:$BK$17,2,FALSE)</f>
        <v>45</v>
      </c>
      <c r="AQ25" s="138">
        <f>VLOOKUP(H25,$BF$2:$BK$17,3,FALSE)</f>
        <v>40.799999999999997</v>
      </c>
      <c r="AR25" s="139">
        <f>IF(L25="",VLOOKUP(H25,$BF$2:$BK$17,3,FALSE),VLOOKUP(H25,$BF$2:$BK$17,2,FALSE))</f>
        <v>45</v>
      </c>
      <c r="AS25" s="140">
        <f>Q25*AP25*0.0258</f>
        <v>107999.99999999999</v>
      </c>
      <c r="AT25" s="139">
        <f>VLOOKUP(H25,$BF$2:$BL$17,7,FALSE)</f>
        <v>2.2440000000000002</v>
      </c>
      <c r="AU25" s="139"/>
      <c r="AV25" s="138">
        <f>VLOOKUP(X25,$BF$2:$BK$17,2,FALSE)</f>
        <v>45</v>
      </c>
      <c r="AW25" s="138">
        <f>VLOOKUP(X25,$BF$2:$BK$17,3,FALSE)</f>
        <v>40.799999999999997</v>
      </c>
      <c r="AX25" s="139">
        <f>IF(R25="",VLOOKUP(X25,$BF$2:$BK$17,3,FALSE),VLOOKUP(X25,$BF$2:$BK$17,2,FALSE))</f>
        <v>45</v>
      </c>
      <c r="AY25" s="140">
        <f>AF25*AV25*0.0258</f>
        <v>84080.84210526316</v>
      </c>
      <c r="AZ25" s="139">
        <f>VLOOKUP(X25,$BF$2:$BL$17,7,FALSE)</f>
        <v>2.2440000000000002</v>
      </c>
      <c r="BA25" s="139"/>
      <c r="BB25" s="139"/>
      <c r="BO25" s="147"/>
      <c r="BR25" s="144"/>
      <c r="BY25" s="144"/>
    </row>
    <row r="26" spans="1:99" s="134" customFormat="1" ht="23.25" customHeight="1">
      <c r="A26" s="126" t="s">
        <v>30</v>
      </c>
      <c r="B26" s="301"/>
      <c r="C26" s="392"/>
      <c r="D26" s="376"/>
      <c r="E26" s="294"/>
      <c r="F26" s="293"/>
      <c r="G26" s="295">
        <f>_xlfn.AGGREGATE(9,7,G27:G36)</f>
        <v>3</v>
      </c>
      <c r="H26" s="291"/>
      <c r="I26" s="296"/>
      <c r="J26" s="290"/>
      <c r="K26" s="211"/>
      <c r="L26" s="294"/>
      <c r="M26" s="297"/>
      <c r="N26" s="291"/>
      <c r="O26" s="298"/>
      <c r="P26" s="211">
        <f>_xlfn.AGGREGATE(9,7,P27:P36)</f>
        <v>3248240</v>
      </c>
      <c r="Q26" s="128">
        <f>_xlfn.AGGREGATE(9,7,Q27:Q36)</f>
        <v>126356.58914728681</v>
      </c>
      <c r="R26" s="211" t="str">
        <f>RIGHT(J26,FIND("",J26))</f>
        <v/>
      </c>
      <c r="S26" s="211"/>
      <c r="T26" s="300">
        <f>_xlfn.AGGREGATE(9,7,T27:T36)</f>
        <v>295.4674418604651</v>
      </c>
      <c r="U26" s="302"/>
      <c r="V26" s="299">
        <f>_xlfn.AGGREGATE(9,7,V27:V36)</f>
        <v>1</v>
      </c>
      <c r="W26" s="294"/>
      <c r="X26" s="291"/>
      <c r="Y26" s="296"/>
      <c r="Z26" s="290"/>
      <c r="AA26" s="211"/>
      <c r="AB26" s="294"/>
      <c r="AC26" s="297"/>
      <c r="AD26" s="297"/>
      <c r="AE26" s="297"/>
      <c r="AF26" s="128">
        <f>_xlfn.AGGREGATE(9,7,AF27:AF36)</f>
        <v>65292.996270203075</v>
      </c>
      <c r="AG26" s="211" t="str">
        <f>RIGHT(Z26,FIND("",Z26))</f>
        <v/>
      </c>
      <c r="AH26" s="211"/>
      <c r="AI26" s="300">
        <f>_xlfn.AGGREGATE(9,7,AI27:AI36)</f>
        <v>195.80716651471201</v>
      </c>
      <c r="AJ26" s="128">
        <f>_xlfn.AGGREGATE(9,7,AJ27:AJ36)</f>
        <v>27730.259543750406</v>
      </c>
      <c r="AK26" s="128"/>
      <c r="AL26" s="300">
        <f>_xlfn.AGGREGATE(9,7,AL27:AL36)</f>
        <v>83.160275345753092</v>
      </c>
      <c r="AM26" s="136"/>
      <c r="AN26" s="137" t="e">
        <f t="shared" si="0"/>
        <v>#N/A</v>
      </c>
      <c r="AO26" s="137"/>
      <c r="AP26" s="138"/>
      <c r="AQ26" s="138"/>
      <c r="AR26" s="139"/>
      <c r="AS26" s="128">
        <f t="shared" ref="AS26" si="1">_xlfn.AGGREGATE(9,7,AS27:AS46)</f>
        <v>125015.99999999999</v>
      </c>
      <c r="AT26" s="139"/>
      <c r="AU26" s="139"/>
      <c r="AV26" s="138"/>
      <c r="AW26" s="138"/>
      <c r="AX26" s="139"/>
      <c r="AY26" s="128">
        <f t="shared" ref="AY26" si="2">_xlfn.AGGREGATE(9,7,AY27:AY46)</f>
        <v>85575.612631578959</v>
      </c>
      <c r="AZ26" s="139"/>
      <c r="BA26" s="139"/>
      <c r="BB26" s="139"/>
      <c r="BK26" s="254"/>
      <c r="BL26" s="254"/>
      <c r="BM26" s="150"/>
      <c r="BO26" s="147"/>
    </row>
    <row r="27" spans="1:99" s="134" customFormat="1" ht="23.25" customHeight="1">
      <c r="A27" s="21">
        <v>1</v>
      </c>
      <c r="B27" s="321"/>
      <c r="C27" s="321" t="s">
        <v>636</v>
      </c>
      <c r="D27" s="321"/>
      <c r="E27" s="320" t="s">
        <v>525</v>
      </c>
      <c r="F27" s="379">
        <v>2008</v>
      </c>
      <c r="G27" s="321">
        <v>1</v>
      </c>
      <c r="H27" s="277" t="s">
        <v>567</v>
      </c>
      <c r="I27" s="322">
        <v>40</v>
      </c>
      <c r="J27" s="211" t="str">
        <f t="shared" ref="J27:J36" si="3">IF(E27="","",VLOOKUP(H27,$BF$2:$BK$17,6,FALSE))</f>
        <v>kg/h</v>
      </c>
      <c r="K27" s="390"/>
      <c r="L27" s="394"/>
      <c r="M27" s="324">
        <v>0.86</v>
      </c>
      <c r="N27" s="325">
        <v>2000</v>
      </c>
      <c r="O27" s="326"/>
      <c r="P27" s="327">
        <f t="shared" ref="P27:P36" si="4">IFERROR(IF(L27="",G27*I27*M27*N27*AR27,G27*I27*M27*N27*O27*AR27),"")</f>
        <v>3151040</v>
      </c>
      <c r="Q27" s="128">
        <f t="shared" ref="Q27:Q36" si="5">IFERROR(IF(O27="",G27*I27/M27*N27,G27*I27/M27*N27*O27),"")</f>
        <v>93023.255813953481</v>
      </c>
      <c r="R27" s="307" t="str">
        <f t="shared" ref="R27:R36" si="6">IF(J27="","",IF(J27="kW","kW",LEFT(J27,FIND("/",J27)-1)))</f>
        <v>kg</v>
      </c>
      <c r="S27" s="307"/>
      <c r="T27" s="308">
        <f t="shared" ref="T27:T36" si="7">IFERROR(Q27*AT27*0.001,"")</f>
        <v>278.9674418604651</v>
      </c>
      <c r="U27" s="321"/>
      <c r="V27" s="321">
        <v>1</v>
      </c>
      <c r="W27" s="320" t="s">
        <v>525</v>
      </c>
      <c r="X27" s="277" t="s">
        <v>567</v>
      </c>
      <c r="Y27" s="322">
        <v>40</v>
      </c>
      <c r="Z27" s="328" t="str">
        <f t="shared" ref="Z27:Z36" si="8">IF(W27="","",VLOOKUP(X27,$BF$2:$BK$17,6,FALSE))</f>
        <v>kg/h</v>
      </c>
      <c r="AA27" s="328"/>
      <c r="AB27" s="323"/>
      <c r="AC27" s="324">
        <v>0.95</v>
      </c>
      <c r="AD27" s="324"/>
      <c r="AE27" s="395"/>
      <c r="AF27" s="307">
        <f t="shared" ref="AF27:AF36" si="9">IFERROR(P27/AC27/AX27,"")</f>
        <v>65292.996270203075</v>
      </c>
      <c r="AG27" s="307" t="str">
        <f t="shared" ref="AG27:AG36" si="10">IF(Z27="","",IF(Z27="kW","kW",LEFT(Z27,FIND("/",Z27)-1)))</f>
        <v>kg</v>
      </c>
      <c r="AH27" s="307"/>
      <c r="AI27" s="307">
        <f t="shared" ref="AI27:AI36" si="11">IFERROR(AF27*AZ27*0.001,"")</f>
        <v>195.80716651471201</v>
      </c>
      <c r="AJ27" s="128">
        <f t="shared" ref="AJ27:AJ36" si="12">IFERROR(Q27-AF27,"")</f>
        <v>27730.259543750406</v>
      </c>
      <c r="AK27" s="128"/>
      <c r="AL27" s="329">
        <f t="shared" ref="AL27:AL36" si="13">IFERROR(T27-AI27,"")</f>
        <v>83.160275345753092</v>
      </c>
      <c r="AM27" s="136"/>
      <c r="AN27" s="137">
        <f t="shared" si="0"/>
        <v>1</v>
      </c>
      <c r="AO27" s="137"/>
      <c r="AP27" s="138">
        <f t="shared" ref="AP27:AP36" si="14">VLOOKUP(H27,$BF$2:$BK$17,2,FALSE)</f>
        <v>50.8</v>
      </c>
      <c r="AQ27" s="138">
        <f t="shared" ref="AQ27:AQ36" si="15">VLOOKUP(H27,$BF$2:$BK$17,3,FALSE)</f>
        <v>45.8</v>
      </c>
      <c r="AR27" s="139">
        <f t="shared" ref="AR27:AR36" si="16">IF(L27="",VLOOKUP(H27,$BF$2:$BK$17,3,FALSE),VLOOKUP(H27,$BF$2:$BK$17,2,FALSE))</f>
        <v>45.8</v>
      </c>
      <c r="AS27" s="140">
        <f t="shared" ref="AS27:AS36" si="17">Q27*AP27*0.0258</f>
        <v>121919.99999999999</v>
      </c>
      <c r="AT27" s="139">
        <f t="shared" ref="AT27:AT36" si="18">VLOOKUP(H27,$BF$2:$BL$17,7,FALSE)</f>
        <v>2.9988999999999999</v>
      </c>
      <c r="AU27" s="139"/>
      <c r="AV27" s="138">
        <f t="shared" ref="AV27:AV36" si="19">VLOOKUP(X27,$BF$2:$BK$17,2,FALSE)</f>
        <v>50.8</v>
      </c>
      <c r="AW27" s="138">
        <f t="shared" ref="AW27:AW36" si="20">VLOOKUP(X27,$BF$2:$BK$17,3,FALSE)</f>
        <v>45.8</v>
      </c>
      <c r="AX27" s="139">
        <f t="shared" ref="AX27:AX36" si="21">IF(R27="",VLOOKUP(X27,$BF$2:$BK$17,3,FALSE),VLOOKUP(X27,$BF$2:$BK$17,2,FALSE))</f>
        <v>50.8</v>
      </c>
      <c r="AY27" s="140">
        <f t="shared" ref="AY27:AY35" si="22">AF27*AV27*0.0258</f>
        <v>85575.612631578959</v>
      </c>
      <c r="AZ27" s="139">
        <f t="shared" ref="AZ27:AZ36" si="23">VLOOKUP(X27,$BF$2:$BL$17,7,FALSE)</f>
        <v>2.9988999999999999</v>
      </c>
      <c r="BA27" s="139"/>
      <c r="BB27" s="139"/>
      <c r="BK27" s="254"/>
      <c r="BL27" s="254"/>
      <c r="BM27" s="150"/>
      <c r="BO27" s="147"/>
      <c r="BP27" s="147"/>
      <c r="BR27" s="253"/>
      <c r="BS27" s="150"/>
      <c r="BV27" s="147"/>
      <c r="BW27" s="147"/>
      <c r="BY27" s="254"/>
      <c r="BZ27" s="150"/>
    </row>
    <row r="28" spans="1:99" s="134" customFormat="1" ht="23.25" customHeight="1">
      <c r="A28" s="21">
        <v>2</v>
      </c>
      <c r="B28" s="321"/>
      <c r="C28" s="321"/>
      <c r="D28" s="321"/>
      <c r="E28" s="320" t="s">
        <v>529</v>
      </c>
      <c r="F28" s="379">
        <v>2009</v>
      </c>
      <c r="G28" s="321">
        <v>1</v>
      </c>
      <c r="H28" s="277" t="s">
        <v>551</v>
      </c>
      <c r="I28" s="322"/>
      <c r="J28" s="211" t="str">
        <f t="shared" si="3"/>
        <v>L/h</v>
      </c>
      <c r="K28" s="390"/>
      <c r="L28" s="394"/>
      <c r="M28" s="324"/>
      <c r="N28" s="325"/>
      <c r="O28" s="326"/>
      <c r="P28" s="327">
        <f t="shared" si="4"/>
        <v>0</v>
      </c>
      <c r="Q28" s="128" t="str">
        <f t="shared" si="5"/>
        <v/>
      </c>
      <c r="R28" s="307" t="str">
        <f t="shared" si="6"/>
        <v>L</v>
      </c>
      <c r="S28" s="307"/>
      <c r="T28" s="308" t="str">
        <f t="shared" si="7"/>
        <v/>
      </c>
      <c r="U28" s="321"/>
      <c r="V28" s="321"/>
      <c r="W28" s="320" t="s">
        <v>529</v>
      </c>
      <c r="X28" s="277" t="s">
        <v>555</v>
      </c>
      <c r="Y28" s="322"/>
      <c r="Z28" s="328" t="str">
        <f t="shared" si="8"/>
        <v>L/h</v>
      </c>
      <c r="AA28" s="328"/>
      <c r="AB28" s="323"/>
      <c r="AC28" s="324"/>
      <c r="AD28" s="324"/>
      <c r="AE28" s="395"/>
      <c r="AF28" s="307" t="str">
        <f t="shared" si="9"/>
        <v/>
      </c>
      <c r="AG28" s="307" t="str">
        <f t="shared" si="10"/>
        <v>L</v>
      </c>
      <c r="AH28" s="307"/>
      <c r="AI28" s="307" t="str">
        <f t="shared" si="11"/>
        <v/>
      </c>
      <c r="AJ28" s="128" t="str">
        <f t="shared" si="12"/>
        <v/>
      </c>
      <c r="AK28" s="128"/>
      <c r="AL28" s="329" t="str">
        <f t="shared" si="13"/>
        <v/>
      </c>
      <c r="AM28" s="136"/>
      <c r="AN28" s="137" t="e">
        <f t="shared" si="0"/>
        <v>#N/A</v>
      </c>
      <c r="AO28" s="137"/>
      <c r="AP28" s="138">
        <f t="shared" si="14"/>
        <v>36.700000000000003</v>
      </c>
      <c r="AQ28" s="138">
        <f t="shared" si="15"/>
        <v>34.200000000000003</v>
      </c>
      <c r="AR28" s="139">
        <f t="shared" si="16"/>
        <v>34.200000000000003</v>
      </c>
      <c r="AS28" s="140" t="e">
        <f t="shared" si="17"/>
        <v>#VALUE!</v>
      </c>
      <c r="AT28" s="139">
        <f t="shared" si="18"/>
        <v>2.4895</v>
      </c>
      <c r="AU28" s="139"/>
      <c r="AV28" s="138">
        <f t="shared" si="19"/>
        <v>37.700000000000003</v>
      </c>
      <c r="AW28" s="138">
        <f t="shared" si="20"/>
        <v>35.1</v>
      </c>
      <c r="AX28" s="139">
        <f t="shared" si="21"/>
        <v>37.700000000000003</v>
      </c>
      <c r="AY28" s="140" t="e">
        <f t="shared" si="22"/>
        <v>#VALUE!</v>
      </c>
      <c r="AZ28" s="139">
        <f t="shared" si="23"/>
        <v>2.585</v>
      </c>
      <c r="BA28" s="139"/>
      <c r="BB28" s="139"/>
      <c r="BD28" s="145"/>
      <c r="BI28" s="147"/>
      <c r="BJ28" s="253"/>
      <c r="BK28" s="254"/>
      <c r="BL28" s="254"/>
      <c r="BM28" s="150"/>
      <c r="BO28" s="147"/>
      <c r="BP28" s="147"/>
      <c r="BR28" s="253"/>
      <c r="BS28" s="150"/>
      <c r="BV28" s="147"/>
      <c r="BW28" s="147"/>
      <c r="BY28" s="254"/>
      <c r="BZ28" s="150"/>
    </row>
    <row r="29" spans="1:99" s="134" customFormat="1" ht="23.25" customHeight="1">
      <c r="A29" s="21">
        <v>3</v>
      </c>
      <c r="B29" s="321"/>
      <c r="C29" s="321"/>
      <c r="D29" s="321"/>
      <c r="E29" s="320" t="s">
        <v>532</v>
      </c>
      <c r="F29" s="379">
        <v>2009</v>
      </c>
      <c r="G29" s="321">
        <v>1</v>
      </c>
      <c r="H29" s="277" t="s">
        <v>532</v>
      </c>
      <c r="I29" s="322">
        <v>30</v>
      </c>
      <c r="J29" s="211" t="str">
        <f t="shared" si="3"/>
        <v>kW</v>
      </c>
      <c r="K29" s="390"/>
      <c r="L29" s="394"/>
      <c r="M29" s="324">
        <v>0.9</v>
      </c>
      <c r="N29" s="325">
        <v>1000</v>
      </c>
      <c r="O29" s="326"/>
      <c r="P29" s="327">
        <f t="shared" si="4"/>
        <v>97200</v>
      </c>
      <c r="Q29" s="128">
        <f t="shared" si="5"/>
        <v>33333.333333333336</v>
      </c>
      <c r="R29" s="307" t="str">
        <f t="shared" si="6"/>
        <v>kW</v>
      </c>
      <c r="S29" s="307"/>
      <c r="T29" s="308">
        <f t="shared" si="7"/>
        <v>16.5</v>
      </c>
      <c r="U29" s="321"/>
      <c r="V29" s="321"/>
      <c r="W29" s="320"/>
      <c r="X29" s="277"/>
      <c r="Y29" s="322"/>
      <c r="Z29" s="328" t="str">
        <f t="shared" si="8"/>
        <v/>
      </c>
      <c r="AA29" s="328"/>
      <c r="AB29" s="323"/>
      <c r="AC29" s="324"/>
      <c r="AD29" s="324"/>
      <c r="AE29" s="395"/>
      <c r="AF29" s="307" t="str">
        <f t="shared" si="9"/>
        <v/>
      </c>
      <c r="AG29" s="307" t="str">
        <f t="shared" si="10"/>
        <v/>
      </c>
      <c r="AH29" s="307"/>
      <c r="AI29" s="307" t="str">
        <f t="shared" si="11"/>
        <v/>
      </c>
      <c r="AJ29" s="128" t="str">
        <f t="shared" si="12"/>
        <v/>
      </c>
      <c r="AK29" s="128"/>
      <c r="AL29" s="329" t="str">
        <f t="shared" si="13"/>
        <v/>
      </c>
      <c r="AM29" s="136"/>
      <c r="AN29" s="137" t="e">
        <f t="shared" si="0"/>
        <v>#N/A</v>
      </c>
      <c r="AO29" s="137"/>
      <c r="AP29" s="138">
        <f t="shared" si="14"/>
        <v>3.6</v>
      </c>
      <c r="AQ29" s="138">
        <f t="shared" si="15"/>
        <v>3.6</v>
      </c>
      <c r="AR29" s="139">
        <f t="shared" si="16"/>
        <v>3.6</v>
      </c>
      <c r="AS29" s="140">
        <f t="shared" si="17"/>
        <v>3096.0000000000005</v>
      </c>
      <c r="AT29" s="139">
        <f t="shared" si="18"/>
        <v>0.495</v>
      </c>
      <c r="AU29" s="139"/>
      <c r="AV29" s="138" t="e">
        <f t="shared" si="19"/>
        <v>#N/A</v>
      </c>
      <c r="AW29" s="138" t="e">
        <f t="shared" si="20"/>
        <v>#N/A</v>
      </c>
      <c r="AX29" s="139" t="e">
        <f t="shared" si="21"/>
        <v>#N/A</v>
      </c>
      <c r="AY29" s="140" t="e">
        <f t="shared" si="22"/>
        <v>#VALUE!</v>
      </c>
      <c r="AZ29" s="139" t="e">
        <f t="shared" si="23"/>
        <v>#N/A</v>
      </c>
      <c r="BA29" s="139"/>
      <c r="BB29" s="139"/>
      <c r="BD29" s="145"/>
      <c r="BI29" s="147"/>
      <c r="BJ29" s="253"/>
      <c r="BK29" s="253"/>
      <c r="BL29" s="254"/>
      <c r="BM29" s="150"/>
      <c r="BO29" s="147"/>
      <c r="BP29" s="147"/>
      <c r="BR29" s="253"/>
      <c r="BS29" s="150"/>
      <c r="BV29" s="147"/>
      <c r="BW29" s="147"/>
      <c r="BY29" s="254"/>
      <c r="BZ29" s="150"/>
    </row>
    <row r="30" spans="1:99" s="134" customFormat="1" ht="23.25" customHeight="1">
      <c r="A30" s="21">
        <v>4</v>
      </c>
      <c r="B30" s="321"/>
      <c r="C30" s="321"/>
      <c r="D30" s="321"/>
      <c r="E30" s="320"/>
      <c r="F30" s="379">
        <v>2009</v>
      </c>
      <c r="G30" s="321"/>
      <c r="H30" s="277"/>
      <c r="I30" s="322"/>
      <c r="J30" s="211" t="str">
        <f t="shared" si="3"/>
        <v/>
      </c>
      <c r="K30" s="390"/>
      <c r="L30" s="394"/>
      <c r="M30" s="324"/>
      <c r="N30" s="325"/>
      <c r="O30" s="326"/>
      <c r="P30" s="327" t="str">
        <f t="shared" si="4"/>
        <v/>
      </c>
      <c r="Q30" s="128" t="str">
        <f t="shared" si="5"/>
        <v/>
      </c>
      <c r="R30" s="307" t="str">
        <f t="shared" si="6"/>
        <v/>
      </c>
      <c r="S30" s="307"/>
      <c r="T30" s="308" t="str">
        <f t="shared" si="7"/>
        <v/>
      </c>
      <c r="U30" s="321"/>
      <c r="V30" s="321"/>
      <c r="W30" s="320"/>
      <c r="X30" s="277"/>
      <c r="Y30" s="322"/>
      <c r="Z30" s="328" t="str">
        <f t="shared" si="8"/>
        <v/>
      </c>
      <c r="AA30" s="328"/>
      <c r="AB30" s="323"/>
      <c r="AC30" s="324"/>
      <c r="AD30" s="324"/>
      <c r="AE30" s="395"/>
      <c r="AF30" s="307" t="str">
        <f t="shared" si="9"/>
        <v/>
      </c>
      <c r="AG30" s="307" t="str">
        <f t="shared" si="10"/>
        <v/>
      </c>
      <c r="AH30" s="307"/>
      <c r="AI30" s="307" t="str">
        <f t="shared" si="11"/>
        <v/>
      </c>
      <c r="AJ30" s="128" t="str">
        <f t="shared" si="12"/>
        <v/>
      </c>
      <c r="AK30" s="128"/>
      <c r="AL30" s="329" t="str">
        <f t="shared" si="13"/>
        <v/>
      </c>
      <c r="AM30" s="136"/>
      <c r="AN30" s="137" t="e">
        <f t="shared" si="0"/>
        <v>#N/A</v>
      </c>
      <c r="AO30" s="137"/>
      <c r="AP30" s="138" t="e">
        <f t="shared" si="14"/>
        <v>#N/A</v>
      </c>
      <c r="AQ30" s="138" t="e">
        <f t="shared" si="15"/>
        <v>#N/A</v>
      </c>
      <c r="AR30" s="139" t="e">
        <f t="shared" si="16"/>
        <v>#N/A</v>
      </c>
      <c r="AS30" s="140" t="e">
        <f t="shared" si="17"/>
        <v>#VALUE!</v>
      </c>
      <c r="AT30" s="139" t="e">
        <f t="shared" si="18"/>
        <v>#N/A</v>
      </c>
      <c r="AU30" s="139"/>
      <c r="AV30" s="138" t="e">
        <f t="shared" si="19"/>
        <v>#N/A</v>
      </c>
      <c r="AW30" s="138" t="e">
        <f t="shared" si="20"/>
        <v>#N/A</v>
      </c>
      <c r="AX30" s="139" t="e">
        <f t="shared" si="21"/>
        <v>#N/A</v>
      </c>
      <c r="AY30" s="140" t="e">
        <f t="shared" si="22"/>
        <v>#VALUE!</v>
      </c>
      <c r="AZ30" s="139" t="e">
        <f t="shared" si="23"/>
        <v>#N/A</v>
      </c>
      <c r="BA30" s="139"/>
      <c r="BB30" s="139"/>
      <c r="BD30" s="145"/>
      <c r="BI30" s="147"/>
      <c r="BJ30" s="253"/>
      <c r="BK30" s="253"/>
      <c r="BL30" s="254"/>
      <c r="BM30" s="150"/>
      <c r="BO30" s="147"/>
      <c r="BP30" s="147"/>
      <c r="BR30" s="253"/>
      <c r="BS30" s="150"/>
      <c r="BV30" s="147"/>
      <c r="BW30" s="147"/>
      <c r="BY30" s="254"/>
      <c r="BZ30" s="150"/>
    </row>
    <row r="31" spans="1:99" s="134" customFormat="1" ht="23.25" customHeight="1">
      <c r="A31" s="21">
        <v>5</v>
      </c>
      <c r="B31" s="321"/>
      <c r="C31" s="321"/>
      <c r="D31" s="321"/>
      <c r="E31" s="320"/>
      <c r="F31" s="379">
        <v>2009</v>
      </c>
      <c r="G31" s="321"/>
      <c r="H31" s="277"/>
      <c r="I31" s="322"/>
      <c r="J31" s="211" t="str">
        <f t="shared" si="3"/>
        <v/>
      </c>
      <c r="K31" s="390"/>
      <c r="L31" s="394"/>
      <c r="M31" s="324"/>
      <c r="N31" s="325"/>
      <c r="O31" s="326"/>
      <c r="P31" s="327" t="str">
        <f t="shared" si="4"/>
        <v/>
      </c>
      <c r="Q31" s="128" t="str">
        <f t="shared" si="5"/>
        <v/>
      </c>
      <c r="R31" s="307" t="str">
        <f t="shared" si="6"/>
        <v/>
      </c>
      <c r="S31" s="307"/>
      <c r="T31" s="308" t="str">
        <f t="shared" si="7"/>
        <v/>
      </c>
      <c r="U31" s="321"/>
      <c r="V31" s="321"/>
      <c r="W31" s="320"/>
      <c r="X31" s="277"/>
      <c r="Y31" s="322"/>
      <c r="Z31" s="328" t="str">
        <f t="shared" si="8"/>
        <v/>
      </c>
      <c r="AA31" s="328"/>
      <c r="AB31" s="323"/>
      <c r="AC31" s="324"/>
      <c r="AD31" s="324"/>
      <c r="AE31" s="395"/>
      <c r="AF31" s="307" t="str">
        <f t="shared" si="9"/>
        <v/>
      </c>
      <c r="AG31" s="307" t="str">
        <f t="shared" si="10"/>
        <v/>
      </c>
      <c r="AH31" s="307"/>
      <c r="AI31" s="307" t="str">
        <f t="shared" si="11"/>
        <v/>
      </c>
      <c r="AJ31" s="128" t="str">
        <f t="shared" si="12"/>
        <v/>
      </c>
      <c r="AK31" s="128"/>
      <c r="AL31" s="329" t="str">
        <f t="shared" si="13"/>
        <v/>
      </c>
      <c r="AM31" s="136"/>
      <c r="AN31" s="137" t="e">
        <f t="shared" si="0"/>
        <v>#N/A</v>
      </c>
      <c r="AO31" s="137"/>
      <c r="AP31" s="138" t="e">
        <f t="shared" si="14"/>
        <v>#N/A</v>
      </c>
      <c r="AQ31" s="138" t="e">
        <f t="shared" si="15"/>
        <v>#N/A</v>
      </c>
      <c r="AR31" s="139" t="e">
        <f t="shared" si="16"/>
        <v>#N/A</v>
      </c>
      <c r="AS31" s="140" t="e">
        <f t="shared" si="17"/>
        <v>#VALUE!</v>
      </c>
      <c r="AT31" s="139" t="e">
        <f t="shared" si="18"/>
        <v>#N/A</v>
      </c>
      <c r="AU31" s="139"/>
      <c r="AV31" s="138" t="e">
        <f t="shared" si="19"/>
        <v>#N/A</v>
      </c>
      <c r="AW31" s="138" t="e">
        <f t="shared" si="20"/>
        <v>#N/A</v>
      </c>
      <c r="AX31" s="139" t="e">
        <f t="shared" si="21"/>
        <v>#N/A</v>
      </c>
      <c r="AY31" s="140" t="e">
        <f t="shared" si="22"/>
        <v>#VALUE!</v>
      </c>
      <c r="AZ31" s="139" t="e">
        <f t="shared" si="23"/>
        <v>#N/A</v>
      </c>
      <c r="BA31" s="139"/>
      <c r="BB31" s="139"/>
      <c r="BD31" s="145"/>
      <c r="BI31" s="147"/>
      <c r="BJ31" s="254"/>
      <c r="BK31" s="254"/>
      <c r="BL31" s="254"/>
      <c r="BM31" s="150"/>
      <c r="BO31" s="147"/>
      <c r="BP31" s="147"/>
      <c r="BR31" s="253"/>
      <c r="BS31" s="150"/>
      <c r="BV31" s="147"/>
      <c r="BW31" s="147"/>
      <c r="BY31" s="254"/>
      <c r="BZ31" s="150"/>
    </row>
    <row r="32" spans="1:99" s="134" customFormat="1" ht="23.25" customHeight="1">
      <c r="A32" s="21">
        <v>6</v>
      </c>
      <c r="B32" s="321"/>
      <c r="C32" s="321"/>
      <c r="D32" s="321"/>
      <c r="E32" s="320"/>
      <c r="F32" s="379">
        <v>2009</v>
      </c>
      <c r="G32" s="321"/>
      <c r="H32" s="277"/>
      <c r="I32" s="322"/>
      <c r="J32" s="211" t="str">
        <f t="shared" si="3"/>
        <v/>
      </c>
      <c r="K32" s="390"/>
      <c r="L32" s="394"/>
      <c r="M32" s="324"/>
      <c r="N32" s="325"/>
      <c r="O32" s="326"/>
      <c r="P32" s="327" t="str">
        <f t="shared" si="4"/>
        <v/>
      </c>
      <c r="Q32" s="128" t="str">
        <f t="shared" si="5"/>
        <v/>
      </c>
      <c r="R32" s="307" t="str">
        <f t="shared" si="6"/>
        <v/>
      </c>
      <c r="S32" s="307"/>
      <c r="T32" s="308" t="str">
        <f t="shared" si="7"/>
        <v/>
      </c>
      <c r="U32" s="321"/>
      <c r="V32" s="321"/>
      <c r="W32" s="320"/>
      <c r="X32" s="277"/>
      <c r="Y32" s="322"/>
      <c r="Z32" s="328" t="str">
        <f t="shared" si="8"/>
        <v/>
      </c>
      <c r="AA32" s="328"/>
      <c r="AB32" s="323"/>
      <c r="AC32" s="324"/>
      <c r="AD32" s="324"/>
      <c r="AE32" s="395"/>
      <c r="AF32" s="307" t="str">
        <f t="shared" si="9"/>
        <v/>
      </c>
      <c r="AG32" s="307" t="str">
        <f t="shared" si="10"/>
        <v/>
      </c>
      <c r="AH32" s="307"/>
      <c r="AI32" s="307" t="str">
        <f t="shared" si="11"/>
        <v/>
      </c>
      <c r="AJ32" s="128" t="str">
        <f t="shared" si="12"/>
        <v/>
      </c>
      <c r="AK32" s="128"/>
      <c r="AL32" s="329" t="str">
        <f t="shared" si="13"/>
        <v/>
      </c>
      <c r="AM32" s="136"/>
      <c r="AN32" s="137" t="e">
        <f t="shared" si="0"/>
        <v>#N/A</v>
      </c>
      <c r="AO32" s="137"/>
      <c r="AP32" s="138" t="e">
        <f t="shared" si="14"/>
        <v>#N/A</v>
      </c>
      <c r="AQ32" s="138" t="e">
        <f t="shared" si="15"/>
        <v>#N/A</v>
      </c>
      <c r="AR32" s="139" t="e">
        <f t="shared" si="16"/>
        <v>#N/A</v>
      </c>
      <c r="AS32" s="140" t="e">
        <f t="shared" si="17"/>
        <v>#VALUE!</v>
      </c>
      <c r="AT32" s="139" t="e">
        <f t="shared" si="18"/>
        <v>#N/A</v>
      </c>
      <c r="AU32" s="139"/>
      <c r="AV32" s="138" t="e">
        <f t="shared" si="19"/>
        <v>#N/A</v>
      </c>
      <c r="AW32" s="138" t="e">
        <f t="shared" si="20"/>
        <v>#N/A</v>
      </c>
      <c r="AX32" s="139" t="e">
        <f t="shared" si="21"/>
        <v>#N/A</v>
      </c>
      <c r="AY32" s="140" t="e">
        <f t="shared" si="22"/>
        <v>#VALUE!</v>
      </c>
      <c r="AZ32" s="139" t="e">
        <f t="shared" si="23"/>
        <v>#N/A</v>
      </c>
      <c r="BA32" s="139"/>
      <c r="BB32" s="139"/>
      <c r="BI32" s="147"/>
      <c r="BJ32" s="254"/>
      <c r="BK32" s="253"/>
      <c r="BL32" s="254"/>
      <c r="BM32" s="150"/>
      <c r="BO32" s="147"/>
      <c r="BP32" s="147"/>
      <c r="BR32" s="253"/>
      <c r="BS32" s="150"/>
      <c r="BV32" s="147"/>
      <c r="BW32" s="147"/>
      <c r="BY32" s="254"/>
      <c r="BZ32" s="150"/>
    </row>
    <row r="33" spans="1:95" s="134" customFormat="1" ht="23.25" customHeight="1">
      <c r="A33" s="21">
        <v>7</v>
      </c>
      <c r="B33" s="321"/>
      <c r="C33" s="321"/>
      <c r="D33" s="321"/>
      <c r="E33" s="320"/>
      <c r="F33" s="379">
        <v>2009</v>
      </c>
      <c r="G33" s="321"/>
      <c r="H33" s="277"/>
      <c r="I33" s="322"/>
      <c r="J33" s="211" t="str">
        <f t="shared" si="3"/>
        <v/>
      </c>
      <c r="K33" s="390"/>
      <c r="L33" s="394"/>
      <c r="M33" s="324"/>
      <c r="N33" s="325"/>
      <c r="O33" s="326"/>
      <c r="P33" s="327" t="str">
        <f t="shared" si="4"/>
        <v/>
      </c>
      <c r="Q33" s="128" t="str">
        <f t="shared" si="5"/>
        <v/>
      </c>
      <c r="R33" s="307" t="str">
        <f t="shared" si="6"/>
        <v/>
      </c>
      <c r="S33" s="307"/>
      <c r="T33" s="308" t="str">
        <f t="shared" si="7"/>
        <v/>
      </c>
      <c r="U33" s="321"/>
      <c r="V33" s="321"/>
      <c r="W33" s="320"/>
      <c r="X33" s="277"/>
      <c r="Y33" s="322"/>
      <c r="Z33" s="328" t="str">
        <f t="shared" si="8"/>
        <v/>
      </c>
      <c r="AA33" s="328"/>
      <c r="AB33" s="323"/>
      <c r="AC33" s="324"/>
      <c r="AD33" s="324"/>
      <c r="AE33" s="395"/>
      <c r="AF33" s="307" t="str">
        <f t="shared" si="9"/>
        <v/>
      </c>
      <c r="AG33" s="307" t="str">
        <f t="shared" si="10"/>
        <v/>
      </c>
      <c r="AH33" s="307"/>
      <c r="AI33" s="307" t="str">
        <f t="shared" si="11"/>
        <v/>
      </c>
      <c r="AJ33" s="128" t="str">
        <f t="shared" si="12"/>
        <v/>
      </c>
      <c r="AK33" s="128"/>
      <c r="AL33" s="329" t="str">
        <f t="shared" si="13"/>
        <v/>
      </c>
      <c r="AM33" s="136"/>
      <c r="AN33" s="137" t="e">
        <f t="shared" si="0"/>
        <v>#N/A</v>
      </c>
      <c r="AO33" s="137"/>
      <c r="AP33" s="138" t="e">
        <f t="shared" si="14"/>
        <v>#N/A</v>
      </c>
      <c r="AQ33" s="138" t="e">
        <f t="shared" si="15"/>
        <v>#N/A</v>
      </c>
      <c r="AR33" s="139" t="e">
        <f t="shared" si="16"/>
        <v>#N/A</v>
      </c>
      <c r="AS33" s="140" t="e">
        <f t="shared" si="17"/>
        <v>#VALUE!</v>
      </c>
      <c r="AT33" s="139" t="e">
        <f t="shared" si="18"/>
        <v>#N/A</v>
      </c>
      <c r="AU33" s="139"/>
      <c r="AV33" s="138" t="e">
        <f t="shared" si="19"/>
        <v>#N/A</v>
      </c>
      <c r="AW33" s="138" t="e">
        <f t="shared" si="20"/>
        <v>#N/A</v>
      </c>
      <c r="AX33" s="139" t="e">
        <f t="shared" si="21"/>
        <v>#N/A</v>
      </c>
      <c r="AY33" s="140" t="e">
        <f t="shared" si="22"/>
        <v>#VALUE!</v>
      </c>
      <c r="AZ33" s="139" t="e">
        <f t="shared" si="23"/>
        <v>#N/A</v>
      </c>
      <c r="BA33" s="139"/>
      <c r="BB33" s="139"/>
      <c r="BI33" s="147"/>
      <c r="BJ33" s="253"/>
      <c r="BK33" s="253"/>
      <c r="BL33" s="254"/>
      <c r="BM33" s="150"/>
      <c r="BO33" s="147"/>
      <c r="BP33" s="147"/>
      <c r="BR33" s="253"/>
      <c r="BS33" s="150"/>
      <c r="BV33" s="147"/>
      <c r="BW33" s="147"/>
      <c r="BY33" s="254"/>
      <c r="BZ33" s="150"/>
    </row>
    <row r="34" spans="1:95" s="134" customFormat="1" ht="23.25" customHeight="1">
      <c r="A34" s="21">
        <v>8</v>
      </c>
      <c r="B34" s="321"/>
      <c r="C34" s="321"/>
      <c r="D34" s="321"/>
      <c r="E34" s="320"/>
      <c r="F34" s="379">
        <v>2009</v>
      </c>
      <c r="G34" s="321"/>
      <c r="H34" s="277"/>
      <c r="I34" s="322"/>
      <c r="J34" s="211" t="str">
        <f t="shared" si="3"/>
        <v/>
      </c>
      <c r="K34" s="390"/>
      <c r="L34" s="394"/>
      <c r="M34" s="324"/>
      <c r="N34" s="325"/>
      <c r="O34" s="326"/>
      <c r="P34" s="327" t="str">
        <f t="shared" si="4"/>
        <v/>
      </c>
      <c r="Q34" s="128" t="str">
        <f t="shared" si="5"/>
        <v/>
      </c>
      <c r="R34" s="307" t="str">
        <f t="shared" si="6"/>
        <v/>
      </c>
      <c r="S34" s="307"/>
      <c r="T34" s="308" t="str">
        <f t="shared" si="7"/>
        <v/>
      </c>
      <c r="U34" s="321"/>
      <c r="V34" s="321"/>
      <c r="W34" s="320"/>
      <c r="X34" s="277"/>
      <c r="Y34" s="322"/>
      <c r="Z34" s="328" t="str">
        <f t="shared" si="8"/>
        <v/>
      </c>
      <c r="AA34" s="328"/>
      <c r="AB34" s="323"/>
      <c r="AC34" s="324"/>
      <c r="AD34" s="324"/>
      <c r="AE34" s="395"/>
      <c r="AF34" s="307" t="str">
        <f t="shared" si="9"/>
        <v/>
      </c>
      <c r="AG34" s="307" t="str">
        <f t="shared" si="10"/>
        <v/>
      </c>
      <c r="AH34" s="307"/>
      <c r="AI34" s="307" t="str">
        <f t="shared" si="11"/>
        <v/>
      </c>
      <c r="AJ34" s="128" t="str">
        <f t="shared" si="12"/>
        <v/>
      </c>
      <c r="AK34" s="128"/>
      <c r="AL34" s="329" t="str">
        <f t="shared" si="13"/>
        <v/>
      </c>
      <c r="AM34" s="136"/>
      <c r="AN34" s="137" t="e">
        <f t="shared" si="0"/>
        <v>#N/A</v>
      </c>
      <c r="AO34" s="137"/>
      <c r="AP34" s="138" t="e">
        <f t="shared" si="14"/>
        <v>#N/A</v>
      </c>
      <c r="AQ34" s="138" t="e">
        <f t="shared" si="15"/>
        <v>#N/A</v>
      </c>
      <c r="AR34" s="139" t="e">
        <f t="shared" si="16"/>
        <v>#N/A</v>
      </c>
      <c r="AS34" s="140" t="e">
        <f t="shared" si="17"/>
        <v>#VALUE!</v>
      </c>
      <c r="AT34" s="139" t="e">
        <f t="shared" si="18"/>
        <v>#N/A</v>
      </c>
      <c r="AU34" s="139"/>
      <c r="AV34" s="138" t="e">
        <f t="shared" si="19"/>
        <v>#N/A</v>
      </c>
      <c r="AW34" s="138" t="e">
        <f t="shared" si="20"/>
        <v>#N/A</v>
      </c>
      <c r="AX34" s="139" t="e">
        <f t="shared" si="21"/>
        <v>#N/A</v>
      </c>
      <c r="AY34" s="140" t="e">
        <f t="shared" si="22"/>
        <v>#VALUE!</v>
      </c>
      <c r="AZ34" s="139" t="e">
        <f t="shared" si="23"/>
        <v>#N/A</v>
      </c>
      <c r="BA34" s="139"/>
      <c r="BB34" s="139"/>
      <c r="BI34" s="147"/>
      <c r="BJ34" s="254"/>
      <c r="BK34" s="254"/>
      <c r="BL34" s="254"/>
      <c r="BM34" s="150"/>
      <c r="BO34" s="147"/>
      <c r="BP34" s="147"/>
      <c r="BR34" s="253"/>
      <c r="BS34" s="150"/>
      <c r="BV34" s="147"/>
      <c r="BW34" s="147"/>
      <c r="BY34" s="254"/>
      <c r="BZ34" s="150"/>
    </row>
    <row r="35" spans="1:95" s="134" customFormat="1" ht="24" customHeight="1">
      <c r="A35" s="21">
        <v>9</v>
      </c>
      <c r="B35" s="321"/>
      <c r="C35" s="321"/>
      <c r="D35" s="321"/>
      <c r="E35" s="320"/>
      <c r="F35" s="379">
        <v>2009</v>
      </c>
      <c r="G35" s="321"/>
      <c r="H35" s="277"/>
      <c r="I35" s="322"/>
      <c r="J35" s="211" t="str">
        <f t="shared" si="3"/>
        <v/>
      </c>
      <c r="K35" s="390"/>
      <c r="L35" s="394"/>
      <c r="M35" s="324"/>
      <c r="N35" s="325"/>
      <c r="O35" s="326"/>
      <c r="P35" s="327" t="str">
        <f t="shared" si="4"/>
        <v/>
      </c>
      <c r="Q35" s="128" t="str">
        <f t="shared" si="5"/>
        <v/>
      </c>
      <c r="R35" s="307" t="str">
        <f t="shared" si="6"/>
        <v/>
      </c>
      <c r="S35" s="307"/>
      <c r="T35" s="308" t="str">
        <f t="shared" si="7"/>
        <v/>
      </c>
      <c r="U35" s="321"/>
      <c r="V35" s="321"/>
      <c r="W35" s="320"/>
      <c r="X35" s="277"/>
      <c r="Y35" s="322"/>
      <c r="Z35" s="328" t="str">
        <f t="shared" si="8"/>
        <v/>
      </c>
      <c r="AA35" s="328"/>
      <c r="AB35" s="323"/>
      <c r="AC35" s="324"/>
      <c r="AD35" s="324"/>
      <c r="AE35" s="395"/>
      <c r="AF35" s="307" t="str">
        <f t="shared" si="9"/>
        <v/>
      </c>
      <c r="AG35" s="307" t="str">
        <f t="shared" si="10"/>
        <v/>
      </c>
      <c r="AH35" s="307"/>
      <c r="AI35" s="307" t="str">
        <f t="shared" si="11"/>
        <v/>
      </c>
      <c r="AJ35" s="128" t="str">
        <f t="shared" si="12"/>
        <v/>
      </c>
      <c r="AK35" s="128"/>
      <c r="AL35" s="329" t="str">
        <f t="shared" si="13"/>
        <v/>
      </c>
      <c r="AM35" s="136"/>
      <c r="AN35" s="137" t="e">
        <f t="shared" si="0"/>
        <v>#N/A</v>
      </c>
      <c r="AO35" s="137"/>
      <c r="AP35" s="138" t="e">
        <f t="shared" si="14"/>
        <v>#N/A</v>
      </c>
      <c r="AQ35" s="138" t="e">
        <f t="shared" si="15"/>
        <v>#N/A</v>
      </c>
      <c r="AR35" s="139" t="e">
        <f t="shared" si="16"/>
        <v>#N/A</v>
      </c>
      <c r="AS35" s="140" t="e">
        <f t="shared" si="17"/>
        <v>#VALUE!</v>
      </c>
      <c r="AT35" s="139" t="e">
        <f t="shared" si="18"/>
        <v>#N/A</v>
      </c>
      <c r="AU35" s="139"/>
      <c r="AV35" s="138" t="e">
        <f t="shared" si="19"/>
        <v>#N/A</v>
      </c>
      <c r="AW35" s="138" t="e">
        <f t="shared" si="20"/>
        <v>#N/A</v>
      </c>
      <c r="AX35" s="139" t="e">
        <f t="shared" si="21"/>
        <v>#N/A</v>
      </c>
      <c r="AY35" s="140" t="e">
        <f t="shared" si="22"/>
        <v>#VALUE!</v>
      </c>
      <c r="AZ35" s="139" t="e">
        <f t="shared" si="23"/>
        <v>#N/A</v>
      </c>
      <c r="BA35" s="139"/>
      <c r="BB35" s="139"/>
      <c r="BI35" s="147"/>
      <c r="BJ35" s="254"/>
      <c r="BK35" s="254"/>
      <c r="BL35" s="254"/>
      <c r="BM35" s="150"/>
      <c r="BO35" s="147"/>
      <c r="BP35" s="147"/>
      <c r="BR35" s="253"/>
      <c r="BS35" s="150"/>
      <c r="BV35" s="147"/>
      <c r="BW35" s="147"/>
      <c r="BY35" s="254"/>
      <c r="BZ35" s="150"/>
    </row>
    <row r="36" spans="1:95" s="134" customFormat="1" ht="24" customHeight="1">
      <c r="A36" s="21">
        <v>10</v>
      </c>
      <c r="B36" s="321"/>
      <c r="C36" s="321"/>
      <c r="D36" s="321"/>
      <c r="E36" s="320"/>
      <c r="F36" s="379">
        <v>2009</v>
      </c>
      <c r="G36" s="321"/>
      <c r="H36" s="277"/>
      <c r="I36" s="322"/>
      <c r="J36" s="211" t="str">
        <f t="shared" si="3"/>
        <v/>
      </c>
      <c r="K36" s="390"/>
      <c r="L36" s="394"/>
      <c r="M36" s="324"/>
      <c r="N36" s="325"/>
      <c r="O36" s="326"/>
      <c r="P36" s="327" t="str">
        <f t="shared" si="4"/>
        <v/>
      </c>
      <c r="Q36" s="128" t="str">
        <f t="shared" si="5"/>
        <v/>
      </c>
      <c r="R36" s="307" t="str">
        <f t="shared" si="6"/>
        <v/>
      </c>
      <c r="S36" s="307"/>
      <c r="T36" s="308" t="str">
        <f t="shared" si="7"/>
        <v/>
      </c>
      <c r="U36" s="321"/>
      <c r="V36" s="321"/>
      <c r="W36" s="320"/>
      <c r="X36" s="277"/>
      <c r="Y36" s="322"/>
      <c r="Z36" s="328" t="str">
        <f t="shared" si="8"/>
        <v/>
      </c>
      <c r="AA36" s="328"/>
      <c r="AB36" s="323"/>
      <c r="AC36" s="324"/>
      <c r="AD36" s="324"/>
      <c r="AE36" s="395"/>
      <c r="AF36" s="307" t="str">
        <f t="shared" si="9"/>
        <v/>
      </c>
      <c r="AG36" s="307" t="str">
        <f t="shared" si="10"/>
        <v/>
      </c>
      <c r="AH36" s="307"/>
      <c r="AI36" s="307" t="str">
        <f t="shared" si="11"/>
        <v/>
      </c>
      <c r="AJ36" s="128" t="str">
        <f t="shared" si="12"/>
        <v/>
      </c>
      <c r="AK36" s="128"/>
      <c r="AL36" s="329" t="str">
        <f t="shared" si="13"/>
        <v/>
      </c>
      <c r="AM36" s="136"/>
      <c r="AN36" s="137" t="e">
        <f t="shared" si="0"/>
        <v>#N/A</v>
      </c>
      <c r="AO36" s="137"/>
      <c r="AP36" s="138" t="e">
        <f t="shared" si="14"/>
        <v>#N/A</v>
      </c>
      <c r="AQ36" s="138" t="e">
        <f t="shared" si="15"/>
        <v>#N/A</v>
      </c>
      <c r="AR36" s="139" t="e">
        <f t="shared" si="16"/>
        <v>#N/A</v>
      </c>
      <c r="AS36" s="140" t="e">
        <f t="shared" si="17"/>
        <v>#VALUE!</v>
      </c>
      <c r="AT36" s="139" t="e">
        <f t="shared" si="18"/>
        <v>#N/A</v>
      </c>
      <c r="AU36" s="139"/>
      <c r="AV36" s="138" t="e">
        <f t="shared" si="19"/>
        <v>#N/A</v>
      </c>
      <c r="AW36" s="138" t="e">
        <f t="shared" si="20"/>
        <v>#N/A</v>
      </c>
      <c r="AX36" s="139" t="e">
        <f t="shared" si="21"/>
        <v>#N/A</v>
      </c>
      <c r="AY36" s="140" t="e">
        <f>AF36*AV36*0.0258</f>
        <v>#VALUE!</v>
      </c>
      <c r="AZ36" s="139" t="e">
        <f t="shared" si="23"/>
        <v>#N/A</v>
      </c>
      <c r="BA36" s="139"/>
      <c r="BB36" s="139"/>
      <c r="BI36" s="147"/>
      <c r="BJ36" s="253"/>
      <c r="BK36" s="253"/>
      <c r="BL36" s="254"/>
      <c r="BM36" s="150"/>
      <c r="BO36" s="147"/>
      <c r="BP36" s="147"/>
      <c r="BR36" s="253"/>
      <c r="BS36" s="150"/>
      <c r="BV36" s="147"/>
      <c r="BW36" s="147"/>
      <c r="BY36" s="254"/>
      <c r="BZ36" s="150"/>
    </row>
    <row r="37" spans="1:95" s="134" customFormat="1" ht="18" customHeight="1">
      <c r="A37" s="133"/>
      <c r="B37" s="133"/>
      <c r="C37" s="133"/>
      <c r="D37" s="133"/>
      <c r="E37" s="133"/>
      <c r="F37" s="189"/>
      <c r="G37" s="189"/>
      <c r="H37" s="189"/>
      <c r="I37" s="189"/>
      <c r="J37" s="317"/>
      <c r="K37" s="317"/>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330"/>
      <c r="AK37" s="330"/>
      <c r="AL37" s="330"/>
      <c r="AM37" s="136"/>
      <c r="AN37" s="137"/>
      <c r="AO37" s="137"/>
      <c r="AP37" s="138" t="e">
        <f>VLOOKUP(#REF!,$BF$2:$BK$17,2,FALSE)</f>
        <v>#REF!</v>
      </c>
      <c r="AQ37" s="138" t="e">
        <f>VLOOKUP(#REF!,$BF$2:$BK$17,3,FALSE)</f>
        <v>#REF!</v>
      </c>
      <c r="AR37" s="139" t="e">
        <f>IF(#REF!="",VLOOKUP(#REF!,$BF$2:$BK$17,3,FALSE),VLOOKUP(#REF!,$BF$2:$BK$17,2,FALSE))</f>
        <v>#REF!</v>
      </c>
      <c r="AS37" s="140" t="e">
        <f>#REF!*AP37*0.0258</f>
        <v>#REF!</v>
      </c>
      <c r="AT37" s="139" t="e">
        <f>VLOOKUP(#REF!,$BF$2:$BL$17,7,FALSE)</f>
        <v>#REF!</v>
      </c>
      <c r="AU37" s="139"/>
      <c r="AV37" s="138" t="e">
        <f>VLOOKUP(#REF!,$BF$2:$BK$17,2,FALSE)</f>
        <v>#REF!</v>
      </c>
      <c r="AW37" s="138" t="e">
        <f>VLOOKUP(#REF!,$BF$2:$BK$17,3,FALSE)</f>
        <v>#REF!</v>
      </c>
      <c r="AX37" s="139" t="e">
        <f>IF(#REF!="",VLOOKUP(#REF!,$BF$2:$BK$17,3,FALSE),VLOOKUP(#REF!,$BF$2:$BK$17,2,FALSE))</f>
        <v>#REF!</v>
      </c>
      <c r="AY37" s="140" t="e">
        <f>#REF!*AV37*0.0258</f>
        <v>#REF!</v>
      </c>
      <c r="AZ37" s="139" t="e">
        <f>VLOOKUP(#REF!,$BF$2:$BL$17,7,FALSE)</f>
        <v>#REF!</v>
      </c>
      <c r="BA37" s="139"/>
      <c r="BB37" s="139"/>
      <c r="BI37" s="147"/>
      <c r="BJ37" s="253"/>
      <c r="BK37" s="254"/>
      <c r="BL37" s="254"/>
      <c r="BM37" s="150"/>
      <c r="BP37" s="147"/>
      <c r="BR37" s="253"/>
      <c r="BS37" s="150"/>
      <c r="BV37" s="147"/>
      <c r="BW37" s="147"/>
      <c r="BY37" s="254"/>
      <c r="BZ37" s="150"/>
    </row>
    <row r="38" spans="1:95" s="134" customFormat="1" ht="18" customHeight="1">
      <c r="A38" s="133"/>
      <c r="B38" s="133"/>
      <c r="C38" s="133"/>
      <c r="D38" s="133"/>
      <c r="E38" s="176"/>
      <c r="F38" s="176"/>
      <c r="G38" s="176"/>
      <c r="H38" s="176"/>
      <c r="I38" s="176"/>
      <c r="J38" s="176"/>
      <c r="K38" s="176"/>
      <c r="L38" s="175"/>
      <c r="M38" s="175"/>
      <c r="N38" s="175"/>
      <c r="O38" s="175"/>
      <c r="P38" s="175"/>
      <c r="Q38" s="133"/>
      <c r="R38" s="133"/>
      <c r="S38" s="133"/>
      <c r="T38" s="133"/>
      <c r="U38" s="177"/>
      <c r="V38" s="177"/>
      <c r="W38" s="177"/>
      <c r="X38" s="177"/>
      <c r="Y38" s="177"/>
      <c r="Z38" s="177"/>
      <c r="AA38" s="177"/>
      <c r="AB38" s="177"/>
      <c r="AC38" s="175"/>
      <c r="AD38" s="175"/>
      <c r="AE38" s="175"/>
      <c r="AF38" s="175"/>
      <c r="AG38" s="175"/>
      <c r="AH38" s="175"/>
      <c r="AI38" s="175"/>
      <c r="AJ38" s="175"/>
      <c r="AK38" s="175"/>
      <c r="AL38" s="175"/>
      <c r="AM38" s="136"/>
      <c r="AN38" s="137"/>
      <c r="AO38" s="137"/>
      <c r="AP38" s="138" t="e">
        <f>VLOOKUP(#REF!,$BF$2:$BK$17,2,FALSE)</f>
        <v>#REF!</v>
      </c>
      <c r="AQ38" s="138" t="e">
        <f>VLOOKUP(#REF!,$BF$2:$BK$17,3,FALSE)</f>
        <v>#REF!</v>
      </c>
      <c r="AR38" s="139" t="e">
        <f>IF(#REF!="",VLOOKUP(#REF!,$BF$2:$BK$17,3,FALSE),VLOOKUP(#REF!,$BF$2:$BK$17,2,FALSE))</f>
        <v>#REF!</v>
      </c>
      <c r="AS38" s="140" t="e">
        <f>#REF!*AP38*0.0258</f>
        <v>#REF!</v>
      </c>
      <c r="AT38" s="139" t="e">
        <f>VLOOKUP(#REF!,$BF$2:$BL$17,7,FALSE)</f>
        <v>#REF!</v>
      </c>
      <c r="AU38" s="139"/>
      <c r="AV38" s="138" t="e">
        <f>VLOOKUP(#REF!,$BF$2:$BK$17,2,FALSE)</f>
        <v>#REF!</v>
      </c>
      <c r="AW38" s="138" t="e">
        <f>VLOOKUP(#REF!,$BF$2:$BK$17,3,FALSE)</f>
        <v>#REF!</v>
      </c>
      <c r="AX38" s="139" t="e">
        <f>IF(#REF!="",VLOOKUP(#REF!,$BF$2:$BK$17,3,FALSE),VLOOKUP(#REF!,$BF$2:$BK$17,2,FALSE))</f>
        <v>#REF!</v>
      </c>
      <c r="AY38" s="140" t="e">
        <f>#REF!*AV38*0.0258</f>
        <v>#REF!</v>
      </c>
      <c r="AZ38" s="139" t="e">
        <f>VLOOKUP(#REF!,$BF$2:$BL$17,7,FALSE)</f>
        <v>#REF!</v>
      </c>
      <c r="BA38" s="139"/>
      <c r="BB38" s="139"/>
      <c r="BI38" s="147"/>
      <c r="BJ38" s="254"/>
      <c r="BK38" s="254"/>
      <c r="BL38" s="254"/>
      <c r="BP38" s="147"/>
      <c r="BR38" s="253"/>
      <c r="BS38" s="150"/>
      <c r="BV38" s="147"/>
      <c r="BW38" s="147"/>
      <c r="BY38" s="254"/>
      <c r="BZ38" s="150"/>
    </row>
    <row r="39" spans="1:95" s="134" customFormat="1" ht="18" customHeight="1">
      <c r="A39" s="133"/>
      <c r="B39" s="133"/>
      <c r="C39" s="133"/>
      <c r="D39" s="133"/>
      <c r="E39" s="133"/>
      <c r="F39" s="178"/>
      <c r="G39" s="178"/>
      <c r="H39" s="179"/>
      <c r="I39" s="179"/>
      <c r="J39" s="180"/>
      <c r="K39" s="180"/>
      <c r="L39" s="180"/>
      <c r="M39" s="180"/>
      <c r="N39" s="180"/>
      <c r="O39" s="180"/>
      <c r="P39" s="180"/>
      <c r="Q39" s="133"/>
      <c r="R39" s="133"/>
      <c r="S39" s="133"/>
      <c r="T39" s="133"/>
      <c r="V39" s="133"/>
      <c r="W39" s="133"/>
      <c r="X39" s="133"/>
      <c r="Y39" s="133"/>
      <c r="Z39" s="133"/>
      <c r="AA39" s="133"/>
      <c r="AB39" s="133"/>
      <c r="AC39" s="178"/>
      <c r="AD39" s="178"/>
      <c r="AE39" s="178"/>
      <c r="AF39" s="178"/>
      <c r="AG39" s="178"/>
      <c r="AH39" s="178"/>
      <c r="AI39" s="178"/>
      <c r="AJ39" s="178"/>
      <c r="AK39" s="178"/>
      <c r="AL39" s="181"/>
      <c r="AM39" s="136"/>
      <c r="AN39" s="137"/>
      <c r="AO39" s="137"/>
      <c r="AP39" s="138" t="e">
        <f>VLOOKUP(#REF!,$BF$2:$BK$17,2,FALSE)</f>
        <v>#REF!</v>
      </c>
      <c r="AQ39" s="138" t="e">
        <f>VLOOKUP(#REF!,$BF$2:$BK$17,3,FALSE)</f>
        <v>#REF!</v>
      </c>
      <c r="AR39" s="139" t="e">
        <f>IF(#REF!="",VLOOKUP(#REF!,$BF$2:$BK$17,3,FALSE),VLOOKUP(#REF!,$BF$2:$BK$17,2,FALSE))</f>
        <v>#REF!</v>
      </c>
      <c r="AS39" s="140" t="e">
        <f>#REF!*AP39*0.0258</f>
        <v>#REF!</v>
      </c>
      <c r="AT39" s="139" t="e">
        <f>VLOOKUP(#REF!,$BF$2:$BL$17,7,FALSE)</f>
        <v>#REF!</v>
      </c>
      <c r="AU39" s="139"/>
      <c r="AV39" s="138" t="e">
        <f>VLOOKUP(#REF!,$BF$2:$BK$17,2,FALSE)</f>
        <v>#REF!</v>
      </c>
      <c r="AW39" s="138" t="e">
        <f>VLOOKUP(#REF!,$BF$2:$BK$17,3,FALSE)</f>
        <v>#REF!</v>
      </c>
      <c r="AX39" s="139" t="e">
        <f>IF(#REF!="",VLOOKUP(#REF!,$BF$2:$BK$17,3,FALSE),VLOOKUP(#REF!,$BF$2:$BK$17,2,FALSE))</f>
        <v>#REF!</v>
      </c>
      <c r="AY39" s="140" t="e">
        <f>#REF!*AV39*0.0258</f>
        <v>#REF!</v>
      </c>
      <c r="AZ39" s="139" t="e">
        <f>VLOOKUP(#REF!,$BF$2:$BL$17,7,FALSE)</f>
        <v>#REF!</v>
      </c>
      <c r="BA39" s="139"/>
      <c r="BB39" s="139"/>
      <c r="BI39" s="147"/>
      <c r="BJ39" s="253"/>
      <c r="BQ39" s="255"/>
      <c r="BR39" s="254"/>
      <c r="BT39" s="255"/>
      <c r="BV39" s="147"/>
      <c r="BX39" s="255"/>
      <c r="BY39" s="254"/>
      <c r="CA39" s="255"/>
    </row>
    <row r="40" spans="1:95" s="134" customFormat="1" ht="18" customHeight="1">
      <c r="A40" s="182"/>
      <c r="B40" s="183"/>
      <c r="C40" s="183"/>
      <c r="D40" s="183"/>
      <c r="E40" s="175"/>
      <c r="F40" s="175"/>
      <c r="G40" s="175"/>
      <c r="H40" s="175"/>
      <c r="I40" s="175"/>
      <c r="J40" s="175"/>
      <c r="K40" s="175"/>
      <c r="L40" s="175"/>
      <c r="M40" s="175"/>
      <c r="N40" s="175"/>
      <c r="O40" s="175"/>
      <c r="P40" s="175"/>
      <c r="U40" s="175"/>
      <c r="V40" s="175"/>
      <c r="W40" s="175"/>
      <c r="X40" s="175"/>
      <c r="Y40" s="175"/>
      <c r="Z40" s="175"/>
      <c r="AA40" s="175"/>
      <c r="AB40" s="175"/>
      <c r="AC40" s="175"/>
      <c r="AD40" s="175"/>
      <c r="AE40" s="175"/>
      <c r="AF40" s="175"/>
      <c r="AG40" s="175"/>
      <c r="AH40" s="175"/>
      <c r="AI40" s="175"/>
      <c r="AJ40" s="175"/>
      <c r="AK40" s="175"/>
      <c r="AM40" s="136"/>
      <c r="AN40" s="137"/>
      <c r="AO40" s="137"/>
      <c r="AP40" s="138" t="e">
        <f>VLOOKUP(#REF!,$BF$2:$BK$17,2,FALSE)</f>
        <v>#REF!</v>
      </c>
      <c r="AQ40" s="138" t="e">
        <f>VLOOKUP(#REF!,$BF$2:$BK$17,3,FALSE)</f>
        <v>#REF!</v>
      </c>
      <c r="AR40" s="139" t="e">
        <f>IF(#REF!="",VLOOKUP(#REF!,$BF$2:$BK$17,3,FALSE),VLOOKUP(#REF!,$BF$2:$BK$17,2,FALSE))</f>
        <v>#REF!</v>
      </c>
      <c r="AS40" s="140" t="e">
        <f>#REF!*AP40*0.0258</f>
        <v>#REF!</v>
      </c>
      <c r="AT40" s="139" t="e">
        <f>VLOOKUP(#REF!,$BF$2:$BL$17,7,FALSE)</f>
        <v>#REF!</v>
      </c>
      <c r="AU40" s="139"/>
      <c r="AV40" s="138" t="e">
        <f>VLOOKUP(#REF!,$BF$2:$BK$17,2,FALSE)</f>
        <v>#REF!</v>
      </c>
      <c r="AW40" s="138" t="e">
        <f>VLOOKUP(#REF!,$BF$2:$BK$17,3,FALSE)</f>
        <v>#REF!</v>
      </c>
      <c r="AX40" s="139" t="e">
        <f>IF(#REF!="",VLOOKUP(#REF!,$BF$2:$BK$17,3,FALSE),VLOOKUP(#REF!,$BF$2:$BK$17,2,FALSE))</f>
        <v>#REF!</v>
      </c>
      <c r="AY40" s="140" t="e">
        <f>#REF!*AV40*0.0258</f>
        <v>#REF!</v>
      </c>
      <c r="AZ40" s="139" t="e">
        <f>VLOOKUP(#REF!,$BF$2:$BL$17,7,FALSE)</f>
        <v>#REF!</v>
      </c>
      <c r="BA40" s="139"/>
      <c r="BB40" s="139"/>
      <c r="BI40" s="147"/>
      <c r="BJ40" s="254"/>
      <c r="CG40" s="256"/>
      <c r="CH40" s="256"/>
      <c r="CI40" s="256"/>
      <c r="CJ40" s="256"/>
      <c r="CK40" s="256"/>
      <c r="CL40" s="256"/>
      <c r="CM40" s="256"/>
      <c r="CN40" s="256"/>
      <c r="CO40" s="256"/>
      <c r="CP40" s="256"/>
    </row>
    <row r="41" spans="1:95" s="134" customFormat="1" ht="18" customHeight="1">
      <c r="A41" s="182"/>
      <c r="B41" s="186"/>
      <c r="C41" s="186"/>
      <c r="D41" s="186"/>
      <c r="E41" s="187"/>
      <c r="F41" s="187"/>
      <c r="G41" s="187"/>
      <c r="H41" s="187"/>
      <c r="I41" s="187"/>
      <c r="J41" s="187"/>
      <c r="K41" s="187"/>
      <c r="L41" s="188"/>
      <c r="M41" s="188"/>
      <c r="N41" s="188"/>
      <c r="O41" s="188"/>
      <c r="P41" s="188"/>
      <c r="Q41" s="175"/>
      <c r="R41" s="175"/>
      <c r="S41" s="175"/>
      <c r="T41" s="175"/>
      <c r="U41" s="187"/>
      <c r="V41" s="187"/>
      <c r="W41" s="187"/>
      <c r="X41" s="187"/>
      <c r="Y41" s="187"/>
      <c r="Z41" s="187"/>
      <c r="AA41" s="187"/>
      <c r="AB41" s="187"/>
      <c r="AC41" s="188"/>
      <c r="AD41" s="188"/>
      <c r="AE41" s="188"/>
      <c r="AF41" s="188"/>
      <c r="AG41" s="188"/>
      <c r="AH41" s="188"/>
      <c r="AI41" s="188"/>
      <c r="AJ41" s="188"/>
      <c r="AK41" s="188"/>
      <c r="AL41" s="175"/>
      <c r="AM41" s="136"/>
      <c r="AN41" s="137"/>
      <c r="AO41" s="137"/>
      <c r="AP41" s="138" t="e">
        <f>VLOOKUP(#REF!,$BF$2:$BK$17,2,FALSE)</f>
        <v>#REF!</v>
      </c>
      <c r="AQ41" s="138" t="e">
        <f>VLOOKUP(#REF!,$BF$2:$BK$17,3,FALSE)</f>
        <v>#REF!</v>
      </c>
      <c r="AR41" s="139" t="e">
        <f>IF(#REF!="",VLOOKUP(#REF!,$BF$2:$BK$17,3,FALSE),VLOOKUP(#REF!,$BF$2:$BK$17,2,FALSE))</f>
        <v>#REF!</v>
      </c>
      <c r="AS41" s="140" t="e">
        <f>#REF!*AP41*0.0258</f>
        <v>#REF!</v>
      </c>
      <c r="AT41" s="139" t="e">
        <f>VLOOKUP(#REF!,$BF$2:$BL$17,7,FALSE)</f>
        <v>#REF!</v>
      </c>
      <c r="AU41" s="139"/>
      <c r="AV41" s="138" t="e">
        <f>VLOOKUP(#REF!,$BF$2:$BK$17,2,FALSE)</f>
        <v>#REF!</v>
      </c>
      <c r="AW41" s="138" t="e">
        <f>VLOOKUP(#REF!,$BF$2:$BK$17,3,FALSE)</f>
        <v>#REF!</v>
      </c>
      <c r="AX41" s="139" t="e">
        <f>IF(#REF!="",VLOOKUP(#REF!,$BF$2:$BK$17,3,FALSE),VLOOKUP(#REF!,$BF$2:$BK$17,2,FALSE))</f>
        <v>#REF!</v>
      </c>
      <c r="AY41" s="140" t="e">
        <f>#REF!*AV41*0.0258</f>
        <v>#REF!</v>
      </c>
      <c r="AZ41" s="139" t="e">
        <f>VLOOKUP(#REF!,$BF$2:$BL$17,7,FALSE)</f>
        <v>#REF!</v>
      </c>
      <c r="BA41" s="139"/>
      <c r="BB41" s="139"/>
      <c r="CG41" s="256"/>
      <c r="CH41" s="257"/>
      <c r="CI41" s="256"/>
      <c r="CJ41" s="256"/>
      <c r="CK41" s="256"/>
      <c r="CL41" s="256"/>
      <c r="CM41" s="256"/>
      <c r="CN41" s="256"/>
      <c r="CO41" s="256"/>
      <c r="CP41" s="256"/>
    </row>
    <row r="42" spans="1:95" s="134" customFormat="1" ht="18" customHeight="1">
      <c r="A42" s="189"/>
      <c r="B42" s="189"/>
      <c r="C42" s="189"/>
      <c r="D42" s="189"/>
      <c r="E42" s="187"/>
      <c r="F42" s="187"/>
      <c r="G42" s="187"/>
      <c r="H42" s="187"/>
      <c r="I42" s="187"/>
      <c r="J42" s="187"/>
      <c r="K42" s="187"/>
      <c r="L42" s="188"/>
      <c r="M42" s="188"/>
      <c r="N42" s="188"/>
      <c r="O42" s="188"/>
      <c r="P42" s="188"/>
      <c r="Q42" s="175"/>
      <c r="R42" s="175"/>
      <c r="S42" s="175"/>
      <c r="T42" s="175"/>
      <c r="U42" s="187"/>
      <c r="V42" s="187"/>
      <c r="W42" s="187"/>
      <c r="X42" s="187"/>
      <c r="Y42" s="187"/>
      <c r="Z42" s="187"/>
      <c r="AA42" s="187"/>
      <c r="AB42" s="187"/>
      <c r="AC42" s="188"/>
      <c r="AD42" s="188"/>
      <c r="AE42" s="188"/>
      <c r="AF42" s="188"/>
      <c r="AG42" s="188"/>
      <c r="AH42" s="188"/>
      <c r="AI42" s="188"/>
      <c r="AJ42" s="188"/>
      <c r="AK42" s="188"/>
      <c r="AL42" s="175"/>
      <c r="AM42" s="136"/>
      <c r="AN42" s="137"/>
      <c r="AO42" s="137"/>
      <c r="AP42" s="138" t="e">
        <f>VLOOKUP(#REF!,$BF$2:$BK$17,2,FALSE)</f>
        <v>#REF!</v>
      </c>
      <c r="AQ42" s="138" t="e">
        <f>VLOOKUP(#REF!,$BF$2:$BK$17,3,FALSE)</f>
        <v>#REF!</v>
      </c>
      <c r="AR42" s="139" t="e">
        <f>IF(#REF!="",VLOOKUP(#REF!,$BF$2:$BK$17,3,FALSE),VLOOKUP(#REF!,$BF$2:$BK$17,2,FALSE))</f>
        <v>#REF!</v>
      </c>
      <c r="AS42" s="140" t="e">
        <f>#REF!*AP42*0.0258</f>
        <v>#REF!</v>
      </c>
      <c r="AT42" s="139" t="e">
        <f>VLOOKUP(#REF!,$BF$2:$BL$17,7,FALSE)</f>
        <v>#REF!</v>
      </c>
      <c r="AU42" s="139"/>
      <c r="AV42" s="138" t="e">
        <f>VLOOKUP(#REF!,$BF$2:$BK$17,2,FALSE)</f>
        <v>#REF!</v>
      </c>
      <c r="AW42" s="138" t="e">
        <f>VLOOKUP(#REF!,$BF$2:$BK$17,3,FALSE)</f>
        <v>#REF!</v>
      </c>
      <c r="AX42" s="139" t="e">
        <f>IF(#REF!="",VLOOKUP(#REF!,$BF$2:$BK$17,3,FALSE),VLOOKUP(#REF!,$BF$2:$BK$17,2,FALSE))</f>
        <v>#REF!</v>
      </c>
      <c r="AY42" s="140" t="e">
        <f>#REF!*AV42*0.0258</f>
        <v>#REF!</v>
      </c>
      <c r="AZ42" s="139" t="e">
        <f>VLOOKUP(#REF!,$BF$2:$BL$17,7,FALSE)</f>
        <v>#REF!</v>
      </c>
      <c r="BA42" s="139"/>
      <c r="BB42" s="139"/>
      <c r="CG42" s="256"/>
      <c r="CH42" s="257"/>
      <c r="CI42" s="256"/>
      <c r="CJ42" s="256"/>
      <c r="CK42" s="256"/>
      <c r="CL42" s="256"/>
      <c r="CM42" s="256"/>
      <c r="CN42" s="256"/>
      <c r="CO42" s="256"/>
      <c r="CP42" s="256"/>
    </row>
    <row r="43" spans="1:95" s="134" customFormat="1" ht="18" customHeight="1">
      <c r="B43" s="175"/>
      <c r="C43" s="175"/>
      <c r="D43" s="175"/>
      <c r="AM43" s="136"/>
      <c r="AN43" s="137"/>
      <c r="AO43" s="137"/>
      <c r="AP43" s="138" t="e">
        <f>VLOOKUP(#REF!,$BF$2:$BK$17,2,FALSE)</f>
        <v>#REF!</v>
      </c>
      <c r="AQ43" s="138" t="e">
        <f>VLOOKUP(#REF!,$BF$2:$BK$17,3,FALSE)</f>
        <v>#REF!</v>
      </c>
      <c r="AR43" s="139" t="e">
        <f>IF(#REF!="",VLOOKUP(#REF!,$BF$2:$BK$17,3,FALSE),VLOOKUP(#REF!,$BF$2:$BK$17,2,FALSE))</f>
        <v>#REF!</v>
      </c>
      <c r="AS43" s="140" t="e">
        <f>#REF!*AP43*0.0258</f>
        <v>#REF!</v>
      </c>
      <c r="AT43" s="139" t="e">
        <f>VLOOKUP(#REF!,$BF$2:$BL$17,7,FALSE)</f>
        <v>#REF!</v>
      </c>
      <c r="AU43" s="139"/>
      <c r="AV43" s="138" t="e">
        <f>VLOOKUP(#REF!,$BF$2:$BK$17,2,FALSE)</f>
        <v>#REF!</v>
      </c>
      <c r="AW43" s="138" t="e">
        <f>VLOOKUP(#REF!,$BF$2:$BK$17,3,FALSE)</f>
        <v>#REF!</v>
      </c>
      <c r="AX43" s="139" t="e">
        <f>IF(#REF!="",VLOOKUP(#REF!,$BF$2:$BK$17,3,FALSE),VLOOKUP(#REF!,$BF$2:$BK$17,2,FALSE))</f>
        <v>#REF!</v>
      </c>
      <c r="AY43" s="140" t="e">
        <f>#REF!*AV43*0.0258</f>
        <v>#REF!</v>
      </c>
      <c r="AZ43" s="139" t="e">
        <f>VLOOKUP(#REF!,$BF$2:$BL$17,7,FALSE)</f>
        <v>#REF!</v>
      </c>
      <c r="BA43" s="139"/>
      <c r="BB43" s="139"/>
      <c r="BN43" s="169"/>
      <c r="BO43" s="260"/>
      <c r="CG43" s="256"/>
      <c r="CH43" s="256"/>
      <c r="CI43" s="256"/>
      <c r="CJ43" s="256"/>
      <c r="CK43" s="256"/>
      <c r="CL43" s="256"/>
      <c r="CM43" s="256"/>
      <c r="CN43" s="256"/>
      <c r="CO43" s="256"/>
      <c r="CP43" s="256"/>
    </row>
    <row r="44" spans="1:95" s="134" customFormat="1" ht="18" customHeight="1">
      <c r="A44" s="130"/>
      <c r="B44" s="130"/>
      <c r="C44" s="130"/>
      <c r="D44" s="130"/>
      <c r="U44" s="190"/>
      <c r="V44" s="190"/>
      <c r="W44" s="190"/>
      <c r="X44" s="190"/>
      <c r="Y44" s="190"/>
      <c r="Z44" s="190"/>
      <c r="AA44" s="190"/>
      <c r="AB44" s="190"/>
      <c r="AC44" s="190"/>
      <c r="AD44" s="190"/>
      <c r="AE44" s="190"/>
      <c r="AM44" s="136"/>
      <c r="AN44" s="137"/>
      <c r="AO44" s="137"/>
      <c r="AP44" s="138" t="e">
        <f>VLOOKUP(#REF!,$BF$2:$BK$17,2,FALSE)</f>
        <v>#REF!</v>
      </c>
      <c r="AQ44" s="138" t="e">
        <f>VLOOKUP(#REF!,$BF$2:$BK$17,3,FALSE)</f>
        <v>#REF!</v>
      </c>
      <c r="AR44" s="139" t="e">
        <f>IF(#REF!="",VLOOKUP(#REF!,$BF$2:$BK$17,3,FALSE),VLOOKUP(#REF!,$BF$2:$BK$17,2,FALSE))</f>
        <v>#REF!</v>
      </c>
      <c r="AS44" s="140" t="e">
        <f>#REF!*AP44*0.0258</f>
        <v>#REF!</v>
      </c>
      <c r="AT44" s="139" t="e">
        <f>VLOOKUP(#REF!,$BF$2:$BL$17,7,FALSE)</f>
        <v>#REF!</v>
      </c>
      <c r="AU44" s="139"/>
      <c r="AV44" s="138" t="e">
        <f>VLOOKUP(#REF!,$BF$2:$BK$17,2,FALSE)</f>
        <v>#REF!</v>
      </c>
      <c r="AW44" s="138" t="e">
        <f>VLOOKUP(#REF!,$BF$2:$BK$17,3,FALSE)</f>
        <v>#REF!</v>
      </c>
      <c r="AX44" s="139" t="e">
        <f>IF(#REF!="",VLOOKUP(#REF!,$BF$2:$BK$17,3,FALSE),VLOOKUP(#REF!,$BF$2:$BK$17,2,FALSE))</f>
        <v>#REF!</v>
      </c>
      <c r="AY44" s="140" t="e">
        <f>#REF!*AV44*0.0258</f>
        <v>#REF!</v>
      </c>
      <c r="AZ44" s="139" t="e">
        <f>VLOOKUP(#REF!,$BF$2:$BL$17,7,FALSE)</f>
        <v>#REF!</v>
      </c>
      <c r="BA44" s="139"/>
      <c r="BB44" s="139"/>
      <c r="BN44" s="169"/>
      <c r="BO44" s="228"/>
      <c r="CD44" s="164"/>
      <c r="CG44" s="256"/>
      <c r="CH44" s="256"/>
      <c r="CI44" s="256"/>
      <c r="CJ44" s="256"/>
      <c r="CK44" s="256"/>
      <c r="CL44" s="256"/>
      <c r="CM44" s="256"/>
      <c r="CN44" s="256"/>
      <c r="CO44" s="256"/>
      <c r="CP44" s="256"/>
    </row>
    <row r="45" spans="1:95" s="134" customFormat="1" ht="15" customHeight="1">
      <c r="A45" s="130"/>
      <c r="B45" s="130"/>
      <c r="C45" s="130"/>
      <c r="D45" s="130"/>
      <c r="T45" s="147"/>
      <c r="U45" s="191"/>
      <c r="V45" s="191"/>
      <c r="W45" s="191"/>
      <c r="X45" s="191"/>
      <c r="Y45" s="191"/>
      <c r="Z45" s="191"/>
      <c r="AA45" s="191"/>
      <c r="AB45" s="175"/>
      <c r="AC45" s="175"/>
      <c r="AD45" s="175"/>
      <c r="AE45" s="175"/>
      <c r="AM45" s="136"/>
      <c r="AN45" s="137"/>
      <c r="AO45" s="130"/>
      <c r="AP45" s="138" t="e">
        <f>VLOOKUP(#REF!,$BF$2:$BK$17,2,FALSE)</f>
        <v>#REF!</v>
      </c>
      <c r="AQ45" s="138" t="e">
        <f>VLOOKUP(#REF!,$BF$2:$BK$17,3,FALSE)</f>
        <v>#REF!</v>
      </c>
      <c r="AR45" s="139" t="e">
        <f>IF(#REF!="",VLOOKUP(#REF!,$BF$2:$BK$17,3,FALSE),VLOOKUP(#REF!,$BF$2:$BK$17,2,FALSE))</f>
        <v>#REF!</v>
      </c>
      <c r="AS45" s="140" t="e">
        <f>#REF!*AP45*0.0258</f>
        <v>#REF!</v>
      </c>
      <c r="AT45" s="139" t="e">
        <f>VLOOKUP(#REF!,$BF$2:$BL$17,7,FALSE)</f>
        <v>#REF!</v>
      </c>
      <c r="AU45" s="139"/>
      <c r="AV45" s="138" t="e">
        <f>VLOOKUP(#REF!,$BF$2:$BK$17,2,FALSE)</f>
        <v>#REF!</v>
      </c>
      <c r="AW45" s="138" t="e">
        <f>VLOOKUP(#REF!,$BF$2:$BK$17,3,FALSE)</f>
        <v>#REF!</v>
      </c>
      <c r="AX45" s="139" t="e">
        <f>IF(#REF!="",VLOOKUP(#REF!,$BF$2:$BK$17,3,FALSE),VLOOKUP(#REF!,$BF$2:$BK$17,2,FALSE))</f>
        <v>#REF!</v>
      </c>
      <c r="AY45" s="140" t="e">
        <f>#REF!*AV45*0.0258</f>
        <v>#REF!</v>
      </c>
      <c r="AZ45" s="139" t="e">
        <f>VLOOKUP(#REF!,$BF$2:$BL$17,7,FALSE)</f>
        <v>#REF!</v>
      </c>
      <c r="BN45" s="169"/>
      <c r="BO45" s="228"/>
      <c r="CE45" s="164"/>
      <c r="CH45" s="256"/>
      <c r="CI45" s="256"/>
      <c r="CJ45" s="256"/>
      <c r="CK45" s="256"/>
      <c r="CL45" s="258"/>
      <c r="CM45" s="258"/>
      <c r="CN45" s="258"/>
      <c r="CO45" s="259"/>
      <c r="CP45" s="259"/>
      <c r="CQ45" s="259"/>
    </row>
    <row r="46" spans="1:95" s="134" customFormat="1" ht="15" customHeight="1">
      <c r="A46" s="130"/>
      <c r="B46" s="130"/>
      <c r="C46" s="130"/>
      <c r="D46" s="130"/>
      <c r="U46" s="191"/>
      <c r="V46" s="191"/>
      <c r="W46" s="191"/>
      <c r="X46" s="191"/>
      <c r="Y46" s="191"/>
      <c r="Z46" s="191"/>
      <c r="AA46" s="191"/>
      <c r="AB46" s="175"/>
      <c r="AC46" s="175"/>
      <c r="AD46" s="175"/>
      <c r="AE46" s="175"/>
      <c r="AN46" s="136"/>
      <c r="AO46" s="137"/>
      <c r="AP46" s="138" t="e">
        <f>VLOOKUP(#REF!,$BF$2:$BK$17,2,FALSE)</f>
        <v>#REF!</v>
      </c>
      <c r="AQ46" s="138" t="e">
        <f>VLOOKUP(#REF!,$BF$2:$BK$17,3,FALSE)</f>
        <v>#REF!</v>
      </c>
      <c r="AR46" s="139" t="e">
        <f>IF(#REF!="",VLOOKUP(#REF!,$BF$2:$BK$17,3,FALSE),VLOOKUP(#REF!,$BF$2:$BK$17,2,FALSE))</f>
        <v>#REF!</v>
      </c>
      <c r="AS46" s="140" t="e">
        <f>#REF!*AP46*0.0258</f>
        <v>#REF!</v>
      </c>
      <c r="AT46" s="139" t="e">
        <f>VLOOKUP(#REF!,$BF$2:$BL$17,7,FALSE)</f>
        <v>#REF!</v>
      </c>
      <c r="AU46" s="139"/>
      <c r="AV46" s="138" t="e">
        <f>VLOOKUP(#REF!,$BF$2:$BK$17,2,FALSE)</f>
        <v>#REF!</v>
      </c>
      <c r="AW46" s="138" t="e">
        <f>VLOOKUP(#REF!,$BF$2:$BK$17,3,FALSE)</f>
        <v>#REF!</v>
      </c>
      <c r="AX46" s="139" t="e">
        <f>IF(#REF!="",VLOOKUP(#REF!,$BF$2:$BK$17,3,FALSE),VLOOKUP(#REF!,$BF$2:$BK$17,2,FALSE))</f>
        <v>#REF!</v>
      </c>
      <c r="AY46" s="140" t="e">
        <f>#REF!*AV46*0.0258</f>
        <v>#REF!</v>
      </c>
      <c r="AZ46" s="139" t="e">
        <f>VLOOKUP(#REF!,$BF$2:$BL$17,7,FALSE)</f>
        <v>#REF!</v>
      </c>
      <c r="BN46" s="169"/>
      <c r="BO46" s="228"/>
      <c r="BP46" s="260"/>
      <c r="BQ46" s="169"/>
      <c r="BR46" s="230"/>
      <c r="BS46" s="231"/>
      <c r="BT46" s="261"/>
      <c r="BU46" s="261"/>
      <c r="BV46" s="169"/>
      <c r="CE46" s="164"/>
      <c r="CH46" s="256"/>
      <c r="CI46" s="256"/>
      <c r="CJ46" s="256"/>
      <c r="CK46" s="256"/>
      <c r="CL46" s="258"/>
      <c r="CM46" s="258"/>
      <c r="CN46" s="258"/>
      <c r="CO46" s="259"/>
      <c r="CP46" s="259"/>
      <c r="CQ46" s="259"/>
    </row>
    <row r="47" spans="1:95" s="134" customFormat="1" ht="15" customHeight="1">
      <c r="A47" s="130"/>
      <c r="B47" s="130"/>
      <c r="C47" s="130"/>
      <c r="D47" s="130"/>
      <c r="U47" s="192"/>
      <c r="W47" s="193"/>
      <c r="AM47" s="175"/>
      <c r="AN47" s="136"/>
      <c r="AO47" s="137"/>
      <c r="AP47" s="137"/>
      <c r="AQ47" s="138"/>
      <c r="AR47" s="138"/>
      <c r="AS47" s="139"/>
      <c r="AT47" s="139"/>
      <c r="AU47" s="139"/>
      <c r="AV47" s="139"/>
      <c r="AW47" s="139"/>
      <c r="AX47" s="139"/>
      <c r="AY47" s="139"/>
      <c r="AZ47" s="139"/>
      <c r="BN47" s="169"/>
      <c r="BO47" s="228"/>
      <c r="BP47" s="228"/>
      <c r="BQ47" s="169"/>
      <c r="BR47" s="169"/>
      <c r="BS47" s="169"/>
      <c r="BT47" s="169"/>
      <c r="BU47" s="169"/>
      <c r="BV47" s="169"/>
      <c r="CE47" s="164"/>
      <c r="CH47" s="256"/>
      <c r="CI47" s="256"/>
      <c r="CJ47" s="256"/>
      <c r="CK47" s="256"/>
      <c r="CL47" s="258"/>
      <c r="CM47" s="258"/>
      <c r="CN47" s="258"/>
      <c r="CO47" s="259"/>
      <c r="CP47" s="259"/>
      <c r="CQ47" s="259"/>
    </row>
    <row r="48" spans="1:95" s="134" customFormat="1" ht="15" customHeight="1">
      <c r="A48" s="130"/>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75"/>
      <c r="AN48" s="136"/>
      <c r="AO48" s="137"/>
      <c r="AP48" s="137"/>
      <c r="AQ48" s="138"/>
      <c r="AR48" s="138"/>
      <c r="AS48" s="139"/>
      <c r="AT48" s="139"/>
      <c r="AU48" s="139"/>
      <c r="AV48" s="139"/>
      <c r="AW48" s="139"/>
      <c r="AX48" s="139"/>
      <c r="AY48" s="139"/>
      <c r="AZ48" s="139"/>
      <c r="BN48" s="169"/>
      <c r="BO48" s="228"/>
      <c r="BP48" s="228"/>
      <c r="BQ48" s="169"/>
      <c r="BR48" s="169"/>
      <c r="BS48" s="169"/>
      <c r="BT48" s="169"/>
      <c r="BU48" s="169"/>
      <c r="BV48" s="169"/>
      <c r="CE48" s="164"/>
      <c r="CH48" s="256"/>
      <c r="CI48" s="256"/>
      <c r="CJ48" s="256"/>
      <c r="CK48" s="256"/>
      <c r="CL48" s="258"/>
      <c r="CM48" s="258"/>
      <c r="CN48" s="258"/>
      <c r="CO48" s="259"/>
      <c r="CP48" s="259"/>
      <c r="CQ48" s="259"/>
    </row>
    <row r="49" spans="1:95" s="134" customFormat="1" ht="15" customHeight="1">
      <c r="A49" s="130"/>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81"/>
      <c r="AN49" s="136"/>
      <c r="AO49" s="137"/>
      <c r="AP49" s="137"/>
      <c r="AQ49" s="138"/>
      <c r="AR49" s="138"/>
      <c r="AS49" s="139"/>
      <c r="AT49" s="139"/>
      <c r="AU49" s="139"/>
      <c r="AV49" s="139"/>
      <c r="AW49" s="139"/>
      <c r="AX49" s="139"/>
      <c r="AY49" s="139"/>
      <c r="AZ49" s="139"/>
      <c r="BN49" s="169"/>
      <c r="BO49" s="228"/>
      <c r="BP49" s="228"/>
      <c r="BQ49" s="169"/>
      <c r="BR49" s="169"/>
      <c r="BS49" s="169"/>
      <c r="BT49" s="169"/>
      <c r="BU49" s="169"/>
      <c r="BV49" s="169"/>
      <c r="CE49" s="164"/>
      <c r="CH49" s="256"/>
      <c r="CI49" s="256"/>
      <c r="CJ49" s="256"/>
      <c r="CK49" s="256"/>
      <c r="CL49" s="258"/>
      <c r="CM49" s="258"/>
      <c r="CN49" s="258"/>
      <c r="CO49" s="259"/>
      <c r="CP49" s="259"/>
      <c r="CQ49" s="259"/>
    </row>
    <row r="50" spans="1:95" s="134" customFormat="1" ht="15" customHeight="1">
      <c r="A50" s="130"/>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N50" s="136"/>
      <c r="AO50" s="137"/>
      <c r="AP50" s="137"/>
      <c r="AQ50" s="138"/>
      <c r="AR50" s="138"/>
      <c r="AS50" s="139"/>
      <c r="AT50" s="139"/>
      <c r="AU50" s="139"/>
      <c r="AV50" s="139"/>
      <c r="AW50" s="139"/>
      <c r="AX50" s="139"/>
      <c r="AY50" s="139"/>
      <c r="AZ50" s="139"/>
      <c r="BN50" s="169"/>
      <c r="BO50" s="228"/>
      <c r="BP50" s="228"/>
      <c r="BQ50" s="169"/>
      <c r="BR50" s="169"/>
      <c r="BS50" s="169"/>
      <c r="BT50" s="169"/>
      <c r="BU50" s="169"/>
      <c r="BV50" s="169"/>
      <c r="CE50" s="164"/>
      <c r="CH50" s="256"/>
      <c r="CI50" s="256"/>
      <c r="CJ50" s="256"/>
      <c r="CK50" s="256"/>
      <c r="CL50" s="258"/>
      <c r="CM50" s="258"/>
      <c r="CN50" s="258"/>
      <c r="CO50" s="259"/>
      <c r="CP50" s="259"/>
      <c r="CQ50" s="259"/>
    </row>
    <row r="51" spans="1:95" s="134" customFormat="1" ht="15" customHeight="1">
      <c r="A51" s="130"/>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75"/>
      <c r="AN51" s="136"/>
      <c r="AO51" s="137"/>
      <c r="AP51" s="137"/>
      <c r="AQ51" s="138"/>
      <c r="AR51" s="138"/>
      <c r="AS51" s="139"/>
      <c r="AT51" s="139"/>
      <c r="AU51" s="139"/>
      <c r="AV51" s="139"/>
      <c r="AW51" s="139"/>
      <c r="AX51" s="139"/>
      <c r="AY51" s="139"/>
      <c r="AZ51" s="139"/>
      <c r="BN51" s="169"/>
      <c r="BO51" s="228"/>
      <c r="BP51" s="228"/>
      <c r="BQ51" s="169"/>
      <c r="BR51" s="169"/>
      <c r="BS51" s="169"/>
      <c r="BT51" s="169"/>
      <c r="BU51" s="169"/>
      <c r="BV51" s="169"/>
      <c r="CE51" s="164"/>
      <c r="CH51" s="256"/>
      <c r="CI51" s="256"/>
      <c r="CJ51" s="256"/>
      <c r="CK51" s="256"/>
      <c r="CL51" s="258"/>
      <c r="CM51" s="258"/>
      <c r="CN51" s="258"/>
      <c r="CO51" s="259"/>
      <c r="CP51" s="259"/>
      <c r="CQ51" s="259"/>
    </row>
    <row r="52" spans="1:95" s="134" customFormat="1" ht="15" customHeight="1">
      <c r="A52" s="130"/>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75"/>
      <c r="AN52" s="136"/>
      <c r="AO52" s="137"/>
      <c r="AP52" s="137"/>
      <c r="AQ52" s="138"/>
      <c r="AR52" s="138"/>
      <c r="AS52" s="139"/>
      <c r="AT52" s="139"/>
      <c r="AU52" s="139"/>
      <c r="AV52" s="139"/>
      <c r="AW52" s="139"/>
      <c r="AX52" s="139"/>
      <c r="AY52" s="139"/>
      <c r="AZ52" s="139"/>
      <c r="BN52" s="169"/>
      <c r="BO52" s="228"/>
      <c r="BP52" s="228"/>
      <c r="BQ52" s="169"/>
      <c r="BR52" s="169"/>
      <c r="BS52" s="169"/>
      <c r="BT52" s="169"/>
      <c r="BU52" s="169"/>
      <c r="BV52" s="169"/>
      <c r="CE52" s="164"/>
      <c r="CH52" s="256"/>
      <c r="CI52" s="256"/>
      <c r="CJ52" s="256"/>
      <c r="CK52" s="256"/>
      <c r="CL52" s="258"/>
      <c r="CM52" s="262"/>
      <c r="CN52" s="258"/>
      <c r="CO52" s="259"/>
      <c r="CP52" s="263"/>
      <c r="CQ52" s="259"/>
    </row>
    <row r="53" spans="1:95" s="134" customFormat="1" ht="15" customHeight="1">
      <c r="A53" s="130"/>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N53" s="136"/>
      <c r="AO53" s="137"/>
      <c r="AP53" s="137"/>
      <c r="AQ53" s="138"/>
      <c r="AR53" s="138"/>
      <c r="AS53" s="139"/>
      <c r="AT53" s="139"/>
      <c r="AU53" s="139"/>
      <c r="AV53" s="139"/>
      <c r="AW53" s="139"/>
      <c r="AX53" s="139"/>
      <c r="AY53" s="139"/>
      <c r="AZ53" s="139"/>
      <c r="BG53" s="134" t="s">
        <v>378</v>
      </c>
      <c r="BN53" s="169"/>
      <c r="BO53" s="260"/>
      <c r="BP53" s="228"/>
      <c r="BQ53" s="169"/>
      <c r="BR53" s="169"/>
      <c r="BS53" s="169"/>
      <c r="BT53" s="169"/>
      <c r="BU53" s="169"/>
      <c r="BV53" s="169"/>
      <c r="CE53" s="164"/>
      <c r="CH53" s="256"/>
      <c r="CI53" s="256"/>
      <c r="CJ53" s="256"/>
      <c r="CK53" s="256"/>
      <c r="CL53" s="258"/>
      <c r="CM53" s="258"/>
      <c r="CN53" s="258"/>
      <c r="CO53" s="259"/>
      <c r="CP53" s="259"/>
      <c r="CQ53" s="259"/>
    </row>
    <row r="54" spans="1:95" s="134" customFormat="1" ht="15" customHeight="1">
      <c r="A54" s="130"/>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N54" s="136"/>
      <c r="AO54" s="137"/>
      <c r="AP54" s="137"/>
      <c r="AQ54" s="138"/>
      <c r="AR54" s="138"/>
      <c r="AS54" s="139"/>
      <c r="AT54" s="139"/>
      <c r="AU54" s="139"/>
      <c r="AV54" s="139"/>
      <c r="AW54" s="139"/>
      <c r="AX54" s="139"/>
      <c r="AY54" s="139"/>
      <c r="AZ54" s="139"/>
      <c r="BG54" s="134" t="s">
        <v>380</v>
      </c>
      <c r="BN54" s="169"/>
      <c r="BO54" s="228"/>
      <c r="BP54" s="228"/>
      <c r="BQ54" s="169"/>
      <c r="BR54" s="169"/>
      <c r="BS54" s="169"/>
      <c r="BT54" s="169"/>
      <c r="BU54" s="169"/>
      <c r="BV54" s="169"/>
      <c r="CE54" s="164"/>
      <c r="CH54" s="256"/>
      <c r="CI54" s="256"/>
      <c r="CJ54" s="256"/>
      <c r="CK54" s="256"/>
      <c r="CL54" s="258"/>
      <c r="CM54" s="258"/>
      <c r="CN54" s="258"/>
      <c r="CO54" s="259"/>
      <c r="CP54" s="259"/>
      <c r="CQ54" s="259"/>
    </row>
    <row r="55" spans="1:95" s="134" customFormat="1" ht="15" customHeight="1">
      <c r="A55" s="130"/>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N55" s="136"/>
      <c r="AO55" s="137"/>
      <c r="AP55" s="137"/>
      <c r="AQ55" s="138"/>
      <c r="AR55" s="138"/>
      <c r="AS55" s="139"/>
      <c r="AT55" s="139"/>
      <c r="AU55" s="139"/>
      <c r="AV55" s="139"/>
      <c r="AW55" s="139"/>
      <c r="AX55" s="139"/>
      <c r="AY55" s="139"/>
      <c r="AZ55" s="139"/>
      <c r="BG55" s="134" t="s">
        <v>382</v>
      </c>
      <c r="BN55" s="169"/>
      <c r="BO55" s="228"/>
      <c r="BP55" s="228"/>
      <c r="BQ55" s="169"/>
      <c r="BR55" s="169"/>
      <c r="BS55" s="169"/>
      <c r="BT55" s="169"/>
      <c r="BU55" s="169"/>
      <c r="BV55" s="169"/>
      <c r="CE55" s="164"/>
      <c r="CH55" s="256"/>
      <c r="CI55" s="256"/>
      <c r="CJ55" s="256"/>
      <c r="CK55" s="256"/>
      <c r="CL55" s="258"/>
      <c r="CM55" s="258"/>
      <c r="CN55" s="258"/>
      <c r="CO55" s="259"/>
      <c r="CP55" s="259"/>
      <c r="CQ55" s="259"/>
    </row>
    <row r="56" spans="1:95" s="134" customFormat="1" ht="15" customHeight="1">
      <c r="A56" s="130"/>
      <c r="B56" s="130"/>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N56" s="136"/>
      <c r="AO56" s="137"/>
      <c r="AP56" s="137"/>
      <c r="AQ56" s="138"/>
      <c r="AR56" s="138"/>
      <c r="AS56" s="139"/>
      <c r="AT56" s="139"/>
      <c r="AU56" s="139"/>
      <c r="AV56" s="139"/>
      <c r="AW56" s="139"/>
      <c r="AX56" s="139"/>
      <c r="AY56" s="139"/>
      <c r="AZ56" s="139"/>
      <c r="BG56" s="134" t="s">
        <v>384</v>
      </c>
      <c r="BN56" s="169"/>
      <c r="BO56" s="228"/>
      <c r="BP56" s="260"/>
      <c r="BQ56" s="169"/>
      <c r="BR56" s="230"/>
      <c r="BS56" s="230"/>
      <c r="BT56" s="261"/>
      <c r="BU56" s="261"/>
      <c r="BV56" s="169"/>
      <c r="CE56" s="164"/>
      <c r="CH56" s="256"/>
      <c r="CI56" s="256"/>
      <c r="CJ56" s="256"/>
      <c r="CK56" s="256"/>
      <c r="CL56" s="258"/>
      <c r="CM56" s="258"/>
      <c r="CN56" s="256"/>
      <c r="CO56" s="259"/>
      <c r="CP56" s="259"/>
      <c r="CQ56" s="259"/>
    </row>
    <row r="57" spans="1:95" s="134" customFormat="1" ht="15" customHeight="1">
      <c r="A57" s="130"/>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N57" s="136"/>
      <c r="AO57" s="137"/>
      <c r="AP57" s="137"/>
      <c r="AQ57" s="138"/>
      <c r="AR57" s="138"/>
      <c r="AS57" s="139"/>
      <c r="AT57" s="139"/>
      <c r="AU57" s="139"/>
      <c r="AV57" s="139"/>
      <c r="AW57" s="139"/>
      <c r="AX57" s="139"/>
      <c r="AY57" s="139"/>
      <c r="AZ57" s="139"/>
      <c r="BG57" s="134" t="s">
        <v>386</v>
      </c>
      <c r="BN57" s="169"/>
      <c r="BO57" s="228"/>
      <c r="BP57" s="228"/>
      <c r="BQ57" s="169"/>
      <c r="BR57" s="169"/>
      <c r="BS57" s="169"/>
      <c r="BT57" s="169"/>
      <c r="BU57" s="169"/>
      <c r="BV57" s="169"/>
      <c r="CE57" s="164"/>
      <c r="CH57" s="256"/>
      <c r="CI57" s="256"/>
      <c r="CJ57" s="256"/>
      <c r="CK57" s="256"/>
      <c r="CL57" s="256"/>
      <c r="CM57" s="258"/>
      <c r="CN57" s="256"/>
      <c r="CO57" s="259"/>
      <c r="CP57" s="259"/>
      <c r="CQ57" s="259"/>
    </row>
    <row r="58" spans="1:95" s="134" customFormat="1" ht="15" customHeight="1">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6"/>
      <c r="AO58" s="137"/>
      <c r="AP58" s="137"/>
      <c r="AQ58" s="138"/>
      <c r="AR58" s="138"/>
      <c r="AS58" s="139"/>
      <c r="AT58" s="139"/>
      <c r="AU58" s="139"/>
      <c r="AV58" s="139"/>
      <c r="AW58" s="139"/>
      <c r="AX58" s="139"/>
      <c r="AY58" s="139"/>
      <c r="AZ58" s="139"/>
      <c r="BG58" s="134" t="s">
        <v>388</v>
      </c>
      <c r="BN58" s="169"/>
      <c r="BO58" s="260"/>
      <c r="BP58" s="228"/>
      <c r="BQ58" s="169"/>
      <c r="BR58" s="169"/>
      <c r="BS58" s="169"/>
      <c r="BT58" s="169"/>
      <c r="BU58" s="169"/>
      <c r="BV58" s="169"/>
      <c r="CE58" s="164"/>
      <c r="CH58" s="256"/>
      <c r="CI58" s="256"/>
      <c r="CJ58" s="256"/>
      <c r="CK58" s="256"/>
      <c r="CL58" s="256"/>
      <c r="CM58" s="258"/>
      <c r="CN58" s="256"/>
      <c r="CO58" s="259"/>
      <c r="CP58" s="259"/>
      <c r="CQ58" s="259"/>
    </row>
    <row r="59" spans="1:95" s="134" customFormat="1" ht="15" customHeight="1">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c r="AL59" s="130"/>
      <c r="AM59" s="130"/>
      <c r="AN59" s="136"/>
      <c r="AO59" s="137"/>
      <c r="AP59" s="137"/>
      <c r="AQ59" s="138"/>
      <c r="AR59" s="138"/>
      <c r="AS59" s="139"/>
      <c r="AT59" s="139"/>
      <c r="AU59" s="139"/>
      <c r="AV59" s="139"/>
      <c r="AW59" s="139"/>
      <c r="AX59" s="139"/>
      <c r="AY59" s="139"/>
      <c r="AZ59" s="139"/>
      <c r="BG59" s="134" t="s">
        <v>390</v>
      </c>
      <c r="BN59" s="169"/>
      <c r="BO59" s="228"/>
      <c r="BP59" s="228"/>
      <c r="BQ59" s="169"/>
      <c r="BR59" s="169"/>
      <c r="BS59" s="169"/>
      <c r="BT59" s="169"/>
      <c r="BU59" s="169"/>
      <c r="BV59" s="169"/>
      <c r="CE59" s="164"/>
      <c r="CH59" s="256"/>
      <c r="CI59" s="256"/>
      <c r="CJ59" s="256"/>
      <c r="CK59" s="256"/>
      <c r="CL59" s="256"/>
      <c r="CM59" s="258"/>
      <c r="CN59" s="256"/>
      <c r="CO59" s="259"/>
      <c r="CP59" s="259"/>
      <c r="CQ59" s="259"/>
    </row>
    <row r="60" spans="1:95" s="134" customFormat="1" ht="15" customHeight="1">
      <c r="A60" s="130"/>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30"/>
      <c r="AM60" s="130"/>
      <c r="AN60" s="136"/>
      <c r="AO60" s="137"/>
      <c r="AP60" s="137"/>
      <c r="AQ60" s="138"/>
      <c r="AR60" s="138"/>
      <c r="AS60" s="139"/>
      <c r="AT60" s="139"/>
      <c r="AU60" s="139"/>
      <c r="AV60" s="139"/>
      <c r="AW60" s="139"/>
      <c r="AX60" s="139"/>
      <c r="AY60" s="139"/>
      <c r="AZ60" s="139"/>
      <c r="BG60" s="134" t="s">
        <v>391</v>
      </c>
      <c r="BN60" s="169"/>
      <c r="BO60" s="228"/>
      <c r="BP60" s="228"/>
      <c r="BQ60" s="169"/>
      <c r="BR60" s="169"/>
      <c r="BS60" s="169"/>
      <c r="BT60" s="169"/>
      <c r="BU60" s="169"/>
      <c r="BV60" s="169"/>
      <c r="CE60" s="164"/>
      <c r="CH60" s="256"/>
      <c r="CI60" s="256"/>
      <c r="CJ60" s="256"/>
      <c r="CK60" s="256"/>
      <c r="CL60" s="256"/>
      <c r="CM60" s="258"/>
      <c r="CN60" s="256"/>
      <c r="CO60" s="259"/>
      <c r="CP60" s="259"/>
      <c r="CQ60" s="259"/>
    </row>
    <row r="61" spans="1:95" s="134" customFormat="1" ht="15" customHeight="1">
      <c r="A61" s="130"/>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6"/>
      <c r="AO61" s="137"/>
      <c r="AP61" s="137"/>
      <c r="AQ61" s="138"/>
      <c r="AR61" s="138"/>
      <c r="AS61" s="139"/>
      <c r="AT61" s="139"/>
      <c r="AU61" s="139"/>
      <c r="AV61" s="139"/>
      <c r="AW61" s="139"/>
      <c r="AX61" s="139"/>
      <c r="AY61" s="139"/>
      <c r="AZ61" s="139"/>
      <c r="BG61" s="134" t="s">
        <v>392</v>
      </c>
      <c r="BN61" s="169"/>
      <c r="BO61" s="228"/>
      <c r="BP61" s="260"/>
      <c r="BQ61" s="169"/>
      <c r="BR61" s="264"/>
      <c r="BS61" s="264"/>
      <c r="BT61" s="261"/>
      <c r="BU61" s="261"/>
      <c r="BV61" s="169"/>
      <c r="CE61" s="164"/>
      <c r="CH61" s="256"/>
      <c r="CI61" s="256"/>
      <c r="CJ61" s="256"/>
      <c r="CK61" s="256"/>
      <c r="CL61" s="256"/>
      <c r="CM61" s="258"/>
      <c r="CN61" s="256"/>
      <c r="CO61" s="259"/>
      <c r="CP61" s="259"/>
      <c r="CQ61" s="259"/>
    </row>
    <row r="62" spans="1:95" s="134" customFormat="1" ht="15" customHeight="1">
      <c r="A62" s="130"/>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0"/>
      <c r="AK62" s="130"/>
      <c r="AL62" s="130"/>
      <c r="AM62" s="130"/>
      <c r="AN62" s="136"/>
      <c r="AO62" s="137"/>
      <c r="AP62" s="137"/>
      <c r="AQ62" s="138"/>
      <c r="AR62" s="138"/>
      <c r="AS62" s="139"/>
      <c r="AT62" s="139"/>
      <c r="AU62" s="139"/>
      <c r="AV62" s="139"/>
      <c r="AW62" s="139"/>
      <c r="AX62" s="139"/>
      <c r="AY62" s="139"/>
      <c r="AZ62" s="139"/>
      <c r="BG62" s="134" t="s">
        <v>393</v>
      </c>
      <c r="BN62" s="169"/>
      <c r="BO62" s="228"/>
      <c r="BP62" s="228"/>
      <c r="BQ62" s="169"/>
      <c r="BR62" s="169"/>
      <c r="BS62" s="169"/>
      <c r="BT62" s="169"/>
      <c r="BU62" s="169"/>
      <c r="BV62" s="169"/>
      <c r="CE62" s="164"/>
      <c r="CH62" s="256"/>
      <c r="CI62" s="256"/>
      <c r="CJ62" s="256"/>
      <c r="CK62" s="256"/>
      <c r="CL62" s="256"/>
      <c r="CM62" s="258"/>
      <c r="CN62" s="256"/>
      <c r="CO62" s="259"/>
      <c r="CP62" s="259"/>
      <c r="CQ62" s="259"/>
    </row>
    <row r="63" spans="1:95" s="134" customFormat="1" ht="1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6"/>
      <c r="AO63" s="137"/>
      <c r="AP63" s="137"/>
      <c r="AQ63" s="138"/>
      <c r="AR63" s="138"/>
      <c r="AS63" s="139"/>
      <c r="AT63" s="139"/>
      <c r="AU63" s="139"/>
      <c r="AV63" s="139"/>
      <c r="AW63" s="139"/>
      <c r="AX63" s="139"/>
      <c r="AY63" s="139"/>
      <c r="AZ63" s="139"/>
      <c r="BG63" s="134" t="s">
        <v>394</v>
      </c>
      <c r="BN63" s="169"/>
      <c r="BO63" s="260"/>
      <c r="BP63" s="228"/>
      <c r="BQ63" s="169"/>
      <c r="BR63" s="169"/>
      <c r="BS63" s="169"/>
      <c r="BT63" s="169"/>
      <c r="BU63" s="169"/>
      <c r="BV63" s="169"/>
      <c r="CE63" s="164"/>
      <c r="CH63" s="256"/>
      <c r="CI63" s="256"/>
      <c r="CJ63" s="256"/>
      <c r="CK63" s="256"/>
      <c r="CL63" s="256"/>
      <c r="CM63" s="258"/>
      <c r="CN63" s="256"/>
      <c r="CO63" s="259"/>
      <c r="CP63" s="259"/>
      <c r="CQ63" s="259"/>
    </row>
    <row r="64" spans="1:95" s="134" customFormat="1" ht="15" customHeight="1">
      <c r="A64" s="130"/>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6"/>
      <c r="AO64" s="137"/>
      <c r="AP64" s="137"/>
      <c r="AQ64" s="138"/>
      <c r="AR64" s="138"/>
      <c r="AS64" s="139"/>
      <c r="AT64" s="139"/>
      <c r="AU64" s="139"/>
      <c r="AV64" s="139"/>
      <c r="AW64" s="139"/>
      <c r="AX64" s="139"/>
      <c r="AY64" s="139"/>
      <c r="AZ64" s="139"/>
      <c r="BG64" s="134" t="s">
        <v>395</v>
      </c>
      <c r="BN64" s="169"/>
      <c r="BO64" s="265"/>
      <c r="BP64" s="228"/>
      <c r="BQ64" s="169"/>
      <c r="BR64" s="169"/>
      <c r="BS64" s="169"/>
      <c r="BT64" s="169"/>
      <c r="BU64" s="169"/>
      <c r="BV64" s="169"/>
      <c r="CE64" s="164"/>
      <c r="CH64" s="256"/>
      <c r="CI64" s="256"/>
      <c r="CJ64" s="256"/>
      <c r="CK64" s="256"/>
      <c r="CL64" s="256"/>
      <c r="CM64" s="258"/>
      <c r="CN64" s="256"/>
      <c r="CO64" s="259"/>
      <c r="CP64" s="259"/>
      <c r="CQ64" s="259"/>
    </row>
    <row r="65" spans="1:95" s="134" customFormat="1" ht="15" customHeight="1">
      <c r="A65" s="130"/>
      <c r="B65" s="130"/>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6"/>
      <c r="AO65" s="137"/>
      <c r="AP65" s="137"/>
      <c r="AQ65" s="138"/>
      <c r="AR65" s="138"/>
      <c r="AS65" s="139"/>
      <c r="AT65" s="139"/>
      <c r="AU65" s="139"/>
      <c r="AV65" s="139"/>
      <c r="AW65" s="139"/>
      <c r="AX65" s="139"/>
      <c r="AY65" s="139"/>
      <c r="AZ65" s="139"/>
      <c r="BG65" s="134" t="s">
        <v>396</v>
      </c>
      <c r="BN65" s="169"/>
      <c r="BO65" s="228"/>
      <c r="BP65" s="228"/>
      <c r="BQ65" s="169"/>
      <c r="BR65" s="169"/>
      <c r="BS65" s="169"/>
      <c r="BT65" s="169"/>
      <c r="BU65" s="169"/>
      <c r="BV65" s="169"/>
      <c r="CE65" s="164"/>
      <c r="CH65" s="256"/>
      <c r="CI65" s="256"/>
      <c r="CJ65" s="256"/>
      <c r="CK65" s="256"/>
      <c r="CL65" s="256"/>
      <c r="CM65" s="258"/>
      <c r="CN65" s="256"/>
      <c r="CO65" s="259"/>
      <c r="CP65" s="259"/>
      <c r="CQ65" s="259"/>
    </row>
    <row r="66" spans="1:95" s="134" customFormat="1" ht="15" customHeight="1">
      <c r="A66" s="130"/>
      <c r="B66" s="130"/>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6"/>
      <c r="AO66" s="137"/>
      <c r="AP66" s="137"/>
      <c r="AQ66" s="138"/>
      <c r="AR66" s="138"/>
      <c r="AS66" s="139"/>
      <c r="AT66" s="139"/>
      <c r="AU66" s="139"/>
      <c r="AV66" s="139"/>
      <c r="AW66" s="139"/>
      <c r="AX66" s="139"/>
      <c r="AY66" s="139"/>
      <c r="AZ66" s="139"/>
      <c r="BG66" s="134" t="s">
        <v>397</v>
      </c>
      <c r="BL66" s="195"/>
      <c r="BN66" s="169"/>
      <c r="BO66" s="228"/>
      <c r="BP66" s="260"/>
      <c r="BQ66" s="169"/>
      <c r="BR66" s="264"/>
      <c r="BS66" s="264"/>
      <c r="BT66" s="261"/>
      <c r="BU66" s="261"/>
      <c r="BV66" s="169"/>
      <c r="CE66" s="164"/>
      <c r="CH66" s="256"/>
      <c r="CI66" s="256"/>
      <c r="CJ66" s="256"/>
      <c r="CK66" s="256"/>
      <c r="CL66" s="256"/>
      <c r="CM66" s="258"/>
      <c r="CN66" s="256"/>
      <c r="CO66" s="259"/>
      <c r="CP66" s="259"/>
      <c r="CQ66" s="259"/>
    </row>
    <row r="67" spans="1:95" s="134" customFormat="1" ht="15" customHeight="1">
      <c r="A67" s="130"/>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6"/>
      <c r="AO67" s="137"/>
      <c r="AP67" s="137"/>
      <c r="AQ67" s="138"/>
      <c r="AR67" s="138"/>
      <c r="AS67" s="139"/>
      <c r="AT67" s="139"/>
      <c r="AU67" s="139"/>
      <c r="AV67" s="139"/>
      <c r="AW67" s="139"/>
      <c r="AX67" s="139"/>
      <c r="AY67" s="139"/>
      <c r="AZ67" s="139"/>
      <c r="BG67" s="134" t="s">
        <v>398</v>
      </c>
      <c r="BN67" s="169"/>
      <c r="BO67" s="228"/>
      <c r="BP67" s="265"/>
      <c r="BQ67" s="169"/>
      <c r="BR67" s="195"/>
      <c r="BS67" s="195"/>
      <c r="BT67" s="195"/>
      <c r="BU67" s="195"/>
      <c r="BV67" s="169"/>
      <c r="CE67" s="164"/>
      <c r="CH67" s="256"/>
      <c r="CI67" s="256"/>
      <c r="CJ67" s="256"/>
      <c r="CK67" s="256"/>
      <c r="CL67" s="256"/>
      <c r="CM67" s="258"/>
      <c r="CN67" s="256"/>
      <c r="CO67" s="259"/>
      <c r="CP67" s="259"/>
      <c r="CQ67" s="259"/>
    </row>
    <row r="68" spans="1:95" s="134" customFormat="1" ht="15" customHeight="1">
      <c r="A68" s="130"/>
      <c r="B68" s="130"/>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6"/>
      <c r="AO68" s="137"/>
      <c r="AP68" s="137"/>
      <c r="AQ68" s="138"/>
      <c r="AR68" s="138"/>
      <c r="AS68" s="139"/>
      <c r="AT68" s="139"/>
      <c r="AU68" s="139"/>
      <c r="AV68" s="139"/>
      <c r="AW68" s="139"/>
      <c r="AX68" s="139"/>
      <c r="AY68" s="139"/>
      <c r="AZ68" s="139"/>
      <c r="BG68" s="134" t="s">
        <v>399</v>
      </c>
      <c r="BK68" s="195"/>
      <c r="BP68" s="228"/>
      <c r="BQ68" s="169"/>
      <c r="BR68" s="169"/>
      <c r="BS68" s="169"/>
      <c r="BT68" s="169"/>
      <c r="BU68" s="169"/>
      <c r="BV68" s="169"/>
      <c r="CE68" s="164"/>
      <c r="CH68" s="256"/>
      <c r="CI68" s="256"/>
      <c r="CJ68" s="256"/>
      <c r="CK68" s="256"/>
      <c r="CL68" s="256"/>
      <c r="CM68" s="258"/>
      <c r="CN68" s="256"/>
      <c r="CO68" s="259"/>
      <c r="CP68" s="259"/>
      <c r="CQ68" s="259"/>
    </row>
    <row r="69" spans="1:95" s="134" customFormat="1" ht="15" customHeight="1">
      <c r="A69" s="130"/>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6"/>
      <c r="AO69" s="137"/>
      <c r="AP69" s="137"/>
      <c r="AQ69" s="138"/>
      <c r="AR69" s="138"/>
      <c r="AS69" s="139"/>
      <c r="AT69" s="139"/>
      <c r="AU69" s="139"/>
      <c r="AV69" s="139"/>
      <c r="AW69" s="139"/>
      <c r="AX69" s="139"/>
      <c r="AY69" s="139"/>
      <c r="AZ69" s="139"/>
      <c r="BG69" s="134" t="s">
        <v>400</v>
      </c>
      <c r="BP69" s="228"/>
      <c r="BQ69" s="169"/>
      <c r="BR69" s="169"/>
      <c r="BS69" s="169"/>
      <c r="BT69" s="169"/>
      <c r="BU69" s="169"/>
      <c r="BV69" s="169"/>
      <c r="CE69" s="164"/>
      <c r="CH69" s="256"/>
      <c r="CI69" s="256"/>
      <c r="CJ69" s="256"/>
      <c r="CK69" s="256"/>
      <c r="CL69" s="256"/>
      <c r="CM69" s="258"/>
      <c r="CN69" s="256"/>
      <c r="CO69" s="259"/>
      <c r="CP69" s="259"/>
      <c r="CQ69" s="259"/>
    </row>
    <row r="70" spans="1:95" s="134" customFormat="1" ht="15" customHeight="1">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6"/>
      <c r="AO70" s="137"/>
      <c r="AP70" s="137"/>
      <c r="AQ70" s="138"/>
      <c r="AR70" s="138"/>
      <c r="AS70" s="139"/>
      <c r="AT70" s="139"/>
      <c r="AU70" s="139"/>
      <c r="AV70" s="139"/>
      <c r="AW70" s="139"/>
      <c r="AX70" s="139"/>
      <c r="AY70" s="139"/>
      <c r="AZ70" s="139"/>
      <c r="BG70" s="134" t="s">
        <v>401</v>
      </c>
      <c r="BP70" s="228"/>
      <c r="BQ70" s="169"/>
      <c r="BR70" s="169"/>
      <c r="BS70" s="169"/>
      <c r="BT70" s="169"/>
      <c r="BU70" s="169"/>
      <c r="BV70" s="169"/>
      <c r="CH70" s="256"/>
      <c r="CI70" s="256"/>
      <c r="CJ70" s="256"/>
      <c r="CK70" s="256"/>
      <c r="CL70" s="256"/>
      <c r="CM70" s="258"/>
      <c r="CN70" s="256"/>
      <c r="CO70" s="259"/>
      <c r="CP70" s="259"/>
      <c r="CQ70" s="259"/>
    </row>
    <row r="71" spans="1:95" s="134" customFormat="1" ht="15" customHeight="1">
      <c r="A71" s="130"/>
      <c r="B71" s="130"/>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6"/>
      <c r="AO71" s="137"/>
      <c r="AP71" s="137"/>
      <c r="AQ71" s="138"/>
      <c r="AR71" s="138"/>
      <c r="AS71" s="139"/>
      <c r="AT71" s="139"/>
      <c r="AU71" s="139"/>
      <c r="AV71" s="139"/>
      <c r="AW71" s="139"/>
      <c r="AX71" s="139"/>
      <c r="AY71" s="139"/>
      <c r="AZ71" s="139"/>
      <c r="BG71" s="134" t="s">
        <v>402</v>
      </c>
      <c r="CH71" s="256"/>
      <c r="CI71" s="256"/>
      <c r="CJ71" s="256"/>
      <c r="CK71" s="256"/>
      <c r="CL71" s="256"/>
      <c r="CM71" s="258"/>
      <c r="CN71" s="256"/>
      <c r="CO71" s="259"/>
      <c r="CP71" s="259"/>
      <c r="CQ71" s="259"/>
    </row>
    <row r="72" spans="1:95" s="134" customFormat="1" ht="15" customHeight="1">
      <c r="A72" s="130"/>
      <c r="B72" s="130"/>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30"/>
      <c r="AN72" s="136"/>
      <c r="AO72" s="137"/>
      <c r="AP72" s="137"/>
      <c r="AQ72" s="138"/>
      <c r="AR72" s="138"/>
      <c r="AS72" s="139"/>
      <c r="AT72" s="139"/>
      <c r="AU72" s="139"/>
      <c r="AV72" s="139"/>
      <c r="AW72" s="139"/>
      <c r="AX72" s="139"/>
      <c r="AY72" s="139"/>
      <c r="AZ72" s="139"/>
      <c r="BG72" s="134" t="s">
        <v>403</v>
      </c>
    </row>
    <row r="73" spans="1:95" ht="15" customHeight="1">
      <c r="AN73" s="200"/>
      <c r="AP73" s="137"/>
      <c r="AQ73" s="138"/>
      <c r="AR73" s="138"/>
      <c r="AS73" s="139"/>
      <c r="AT73" s="139"/>
      <c r="AU73" s="139"/>
      <c r="AV73" s="139"/>
      <c r="AW73" s="139"/>
      <c r="AX73" s="139"/>
      <c r="AY73" s="139"/>
      <c r="AZ73" s="139"/>
      <c r="BD73" s="134"/>
      <c r="BE73" s="134"/>
      <c r="BF73" s="134"/>
      <c r="BG73" s="130" t="s">
        <v>404</v>
      </c>
      <c r="BH73" s="134"/>
      <c r="BI73" s="134"/>
    </row>
    <row r="74" spans="1:95">
      <c r="AN74" s="203"/>
      <c r="AP74" s="137"/>
      <c r="AQ74" s="138"/>
      <c r="AR74" s="138"/>
      <c r="AS74" s="139"/>
      <c r="AT74" s="139"/>
      <c r="AU74" s="139"/>
      <c r="AV74" s="139"/>
      <c r="AW74" s="139"/>
      <c r="AX74" s="139"/>
      <c r="AY74" s="139"/>
      <c r="AZ74" s="139"/>
      <c r="BD74" s="134"/>
      <c r="BE74" s="134"/>
    </row>
    <row r="75" spans="1:95" ht="16.5" customHeight="1">
      <c r="AN75" s="203"/>
      <c r="AQ75" s="201"/>
      <c r="AR75" s="201"/>
      <c r="BD75" s="202"/>
    </row>
    <row r="76" spans="1:95" ht="13.5" customHeight="1">
      <c r="AN76" s="203"/>
    </row>
    <row r="77" spans="1:95" ht="13.5" customHeight="1">
      <c r="AN77" s="133"/>
    </row>
    <row r="78" spans="1:95" ht="13.5" customHeight="1">
      <c r="AN78" s="203"/>
    </row>
    <row r="79" spans="1:95" ht="13.5" customHeight="1">
      <c r="AN79" s="204"/>
    </row>
    <row r="80" spans="1:95" ht="13.5" customHeight="1">
      <c r="AN80" s="204"/>
    </row>
    <row r="81" spans="40:40" ht="13.5" customHeight="1"/>
    <row r="82" spans="40:40" ht="13.5" customHeight="1">
      <c r="AN82" s="203"/>
    </row>
    <row r="83" spans="40:40" ht="13.5" customHeight="1">
      <c r="AN83" s="205"/>
    </row>
    <row r="84" spans="40:40" ht="13.5" customHeight="1">
      <c r="AN84" s="205"/>
    </row>
    <row r="85" spans="40:40" ht="13.5" customHeight="1"/>
    <row r="86" spans="40:40" ht="13.5" customHeight="1"/>
    <row r="88" spans="40:40" ht="13.5" customHeight="1"/>
    <row r="89" spans="40:40" ht="14.25" customHeight="1"/>
  </sheetData>
  <sheetProtection formatCells="0"/>
  <mergeCells count="32">
    <mergeCell ref="A21:A23"/>
    <mergeCell ref="E23:E24"/>
    <mergeCell ref="B4:F4"/>
    <mergeCell ref="H4:I4"/>
    <mergeCell ref="J4:L4"/>
    <mergeCell ref="M4:N4"/>
    <mergeCell ref="B6:F6"/>
    <mergeCell ref="H6:I6"/>
    <mergeCell ref="J6:L6"/>
    <mergeCell ref="M6:N6"/>
    <mergeCell ref="B5:F5"/>
    <mergeCell ref="B3:F3"/>
    <mergeCell ref="H3:I3"/>
    <mergeCell ref="J3:L3"/>
    <mergeCell ref="M3:N3"/>
    <mergeCell ref="T3:U3"/>
    <mergeCell ref="V3:AL3"/>
    <mergeCell ref="L23:L24"/>
    <mergeCell ref="H7:I7"/>
    <mergeCell ref="J7:L7"/>
    <mergeCell ref="M7:N7"/>
    <mergeCell ref="H5:I5"/>
    <mergeCell ref="J5:L5"/>
    <mergeCell ref="M5:N5"/>
    <mergeCell ref="W23:W24"/>
    <mergeCell ref="AJ21:AL22"/>
    <mergeCell ref="T5:AL10"/>
    <mergeCell ref="V14:X14"/>
    <mergeCell ref="W15:X15"/>
    <mergeCell ref="W16:X16"/>
    <mergeCell ref="W17:X17"/>
    <mergeCell ref="W18:X18"/>
  </mergeCells>
  <phoneticPr fontId="3"/>
  <conditionalFormatting sqref="H7:H8 J8:K8 R7:S8 O4 O6:O7 J7">
    <cfRule type="expression" dxfId="43" priority="6">
      <formula>#REF!="なし"</formula>
    </cfRule>
  </conditionalFormatting>
  <conditionalFormatting sqref="F25 U27:V36 AJ27:AK36 I27:Q36 G27:G36 B27:E36">
    <cfRule type="expression" dxfId="42" priority="5">
      <formula>$G$1="なし"</formula>
    </cfRule>
  </conditionalFormatting>
  <conditionalFormatting sqref="W27:W36">
    <cfRule type="expression" dxfId="41" priority="3">
      <formula>$G$1="なし"</formula>
    </cfRule>
  </conditionalFormatting>
  <conditionalFormatting sqref="Y27:AE36">
    <cfRule type="expression" dxfId="40" priority="4">
      <formula>$G$1="なし"</formula>
    </cfRule>
  </conditionalFormatting>
  <conditionalFormatting sqref="A20">
    <cfRule type="expression" dxfId="39" priority="7">
      <formula>#REF!&lt;&gt;2</formula>
    </cfRule>
  </conditionalFormatting>
  <conditionalFormatting sqref="A20">
    <cfRule type="expression" dxfId="38" priority="8">
      <formula>#REF!=2</formula>
    </cfRule>
  </conditionalFormatting>
  <conditionalFormatting sqref="F27:F36">
    <cfRule type="expression" dxfId="37" priority="2">
      <formula>$F$1="なし"</formula>
    </cfRule>
  </conditionalFormatting>
  <conditionalFormatting sqref="F27:F36">
    <cfRule type="cellIs" dxfId="36" priority="1" operator="greaterThan">
      <formula>2008</formula>
    </cfRule>
  </conditionalFormatting>
  <dataValidations count="11">
    <dataValidation type="list" allowBlank="1" showInputMessage="1" showErrorMessage="1" sqref="W15" xr:uid="{26BA95F5-1793-40E5-8C9F-A30931768E9C}">
      <formula1>INDIRECT(V14)</formula1>
    </dataValidation>
    <dataValidation type="list" allowBlank="1" showInputMessage="1" showErrorMessage="1" sqref="V16:V18" xr:uid="{10960FF4-3B47-47DE-A8D8-6F1BB4B077B8}">
      <formula1>$BA$8:$BA$10</formula1>
    </dataValidation>
    <dataValidation type="list" allowBlank="1" showInputMessage="1" showErrorMessage="1" sqref="E25 V14 E27:E36 W25 W27:W36" xr:uid="{ADF8CC11-015C-4DCD-8509-83D32D5AC781}">
      <formula1>$AZ$2:$AZ$5</formula1>
    </dataValidation>
    <dataValidation type="list" allowBlank="1" showInputMessage="1" showErrorMessage="1" sqref="E15:G19" xr:uid="{0D002669-F27F-4E29-A8AF-7B9A9111F181}">
      <formula1>$AS$4:$AS$9</formula1>
    </dataValidation>
    <dataValidation type="list" allowBlank="1" showInputMessage="1" showErrorMessage="1" error="プルダウンから選択してください。" sqref="L27:L36 L25 AB25 AB27:AB36" xr:uid="{7D85D07C-2BD7-435C-9FE0-44523FDA8F3D}">
      <formula1>"有,　"</formula1>
    </dataValidation>
    <dataValidation type="list" allowBlank="1" showInputMessage="1" showErrorMessage="1" sqref="H25 H27:H36" xr:uid="{AE1C7F42-5011-44BD-B5BD-1BE573DE3488}">
      <formula1>INDIRECT(E25)</formula1>
    </dataValidation>
    <dataValidation type="list" allowBlank="1" showInputMessage="1" showErrorMessage="1" sqref="F25" xr:uid="{60626767-5E2C-44E1-BC47-D53AC758E3C8}">
      <formula1>$BG$53:$BG$77</formula1>
    </dataValidation>
    <dataValidation type="whole" allowBlank="1" showInputMessage="1" showErrorMessage="1" sqref="V25" xr:uid="{6B7E692C-6D1B-4253-80F0-6753786A6C38}">
      <formula1>0</formula1>
      <formula2>G25</formula2>
    </dataValidation>
    <dataValidation type="list" allowBlank="1" showInputMessage="1" showErrorMessage="1" sqref="X25:X36" xr:uid="{923AB0D4-A634-4D19-808F-E3EDA242E340}">
      <formula1>INDIRECT(W25)</formula1>
    </dataValidation>
    <dataValidation type="whole" allowBlank="1" showInputMessage="1" showErrorMessage="1" sqref="F27:F36" xr:uid="{03EF810D-F7AE-4AFA-90CA-6401475050A9}">
      <formula1>1900</formula1>
      <formula2>2040</formula2>
    </dataValidation>
    <dataValidation type="list" allowBlank="1" showInputMessage="1" showErrorMessage="1" sqref="C27:C36 C25" xr:uid="{1E350D38-2105-484A-8434-07091B5EBA5A}">
      <formula1>$BR$9:$BR$17</formula1>
    </dataValidation>
  </dataValidations>
  <printOptions horizontalCentered="1"/>
  <pageMargins left="0.47" right="0.18" top="0.51181102362204722" bottom="0.35433070866141736" header="0.27559055118110237"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80</vt:i4>
      </vt:variant>
    </vt:vector>
  </HeadingPairs>
  <TitlesOfParts>
    <vt:vector size="97" baseType="lpstr">
      <vt:lpstr>Sheet1</vt:lpstr>
      <vt:lpstr>CO２削減量算定シート</vt:lpstr>
      <vt:lpstr>記入方法</vt:lpstr>
      <vt:lpstr>空調EHP</vt:lpstr>
      <vt:lpstr>空調GHP</vt:lpstr>
      <vt:lpstr>コンプレッサー</vt:lpstr>
      <vt:lpstr>ボイラ</vt:lpstr>
      <vt:lpstr>変圧器</vt:lpstr>
      <vt:lpstr>冷熱源機器</vt:lpstr>
      <vt:lpstr>モーター設備</vt:lpstr>
      <vt:lpstr>太陽光・蓄電</vt:lpstr>
      <vt:lpstr>その他設備</vt:lpstr>
      <vt:lpstr>修正覚え</vt:lpstr>
      <vt:lpstr>CO₂係数 </vt:lpstr>
      <vt:lpstr>モーター効率</vt:lpstr>
      <vt:lpstr>空調kcal換算</vt:lpstr>
      <vt:lpstr>補足資料</vt:lpstr>
      <vt:lpstr>cmp_mode</vt:lpstr>
      <vt:lpstr>その他設備!COP補正</vt:lpstr>
      <vt:lpstr>ボイラ!COP補正</vt:lpstr>
      <vt:lpstr>空調GHP!COP補正</vt:lpstr>
      <vt:lpstr>太陽光・蓄電!COP補正</vt:lpstr>
      <vt:lpstr>冷熱源機器!COP補正</vt:lpstr>
      <vt:lpstr>COP補正</vt:lpstr>
      <vt:lpstr>IE1_</vt:lpstr>
      <vt:lpstr>IE1_出力</vt:lpstr>
      <vt:lpstr>IE2_</vt:lpstr>
      <vt:lpstr>IE2_出力</vt:lpstr>
      <vt:lpstr>IE3_</vt:lpstr>
      <vt:lpstr>IE3_出力</vt:lpstr>
      <vt:lpstr>IE4_</vt:lpstr>
      <vt:lpstr>IE4_出力</vt:lpstr>
      <vt:lpstr>CO２削減量算定シート!Print_Area</vt:lpstr>
      <vt:lpstr>コンプレッサー!Print_Area</vt:lpstr>
      <vt:lpstr>その他設備!Print_Area</vt:lpstr>
      <vt:lpstr>ボイラ!Print_Area</vt:lpstr>
      <vt:lpstr>モーター設備!Print_Area</vt:lpstr>
      <vt:lpstr>記入方法!Print_Area</vt:lpstr>
      <vt:lpstr>空調EHP!Print_Area</vt:lpstr>
      <vt:lpstr>空調GHP!Print_Area</vt:lpstr>
      <vt:lpstr>太陽光・蓄電!Print_Area</vt:lpstr>
      <vt:lpstr>変圧器!Print_Area</vt:lpstr>
      <vt:lpstr>冷熱源機器!Print_Area</vt:lpstr>
      <vt:lpstr>rangeIE1</vt:lpstr>
      <vt:lpstr>rangeIE2</vt:lpstr>
      <vt:lpstr>rangeIE3</vt:lpstr>
      <vt:lpstr>rangeIE4</vt:lpstr>
      <vt:lpstr>その他設備!ガス</vt:lpstr>
      <vt:lpstr>冷熱源機器!ガス</vt:lpstr>
      <vt:lpstr>ガス</vt:lpstr>
      <vt:lpstr>CO２削減量算定シート!サービス業</vt:lpstr>
      <vt:lpstr>CO２削減量算定シート!医療・福祉</vt:lpstr>
      <vt:lpstr>CO２削減量算定シート!運輸業・郵便業</vt:lpstr>
      <vt:lpstr>CO２削減量算定シート!卸売業・小売業</vt:lpstr>
      <vt:lpstr>CO２削減量算定シート!学術研究・専門・技術サービス業</vt:lpstr>
      <vt:lpstr>CO２削減量算定シート!漁業</vt:lpstr>
      <vt:lpstr>CO２削減量算定シート!教育・学習支援業</vt:lpstr>
      <vt:lpstr>CO２削減量算定シート!金融業・保険業</vt:lpstr>
      <vt:lpstr>CO２削減量算定シート!建設業</vt:lpstr>
      <vt:lpstr>CO２削減量算定シート!鉱業・採石業・砂利採取業</vt:lpstr>
      <vt:lpstr>CO２削減量算定シート!宿泊業・飲食サービス業</vt:lpstr>
      <vt:lpstr>CO２削減量算定シート!情報通信業</vt:lpstr>
      <vt:lpstr>CO２削減量算定シート!生活関連サービス業・娯楽業</vt:lpstr>
      <vt:lpstr>CO２削減量算定シート!製造業</vt:lpstr>
      <vt:lpstr>その他設備!石炭等</vt:lpstr>
      <vt:lpstr>冷熱源機器!石炭等</vt:lpstr>
      <vt:lpstr>石炭等</vt:lpstr>
      <vt:lpstr>CO２削減量算定シート!大分類</vt:lpstr>
      <vt:lpstr>その他設備!暖房日数</vt:lpstr>
      <vt:lpstr>ボイラ!暖房日数</vt:lpstr>
      <vt:lpstr>空調GHP!暖房日数</vt:lpstr>
      <vt:lpstr>冷熱源機器!暖房日数</vt:lpstr>
      <vt:lpstr>暖房日数</vt:lpstr>
      <vt:lpstr>その他設備!電気</vt:lpstr>
      <vt:lpstr>冷熱源機器!電気</vt:lpstr>
      <vt:lpstr>電気</vt:lpstr>
      <vt:lpstr>CO２削減量算定シート!電気・ガス・熱供給・水道業</vt:lpstr>
      <vt:lpstr>CO２削減量算定シート!燃料</vt:lpstr>
      <vt:lpstr>CO２削減量算定シート!農業_林業</vt:lpstr>
      <vt:lpstr>CO２削減量算定シート!農業・林業</vt:lpstr>
      <vt:lpstr>CO２削減量算定シート!不動産業・物品賃貸業</vt:lpstr>
      <vt:lpstr>その他設備!負荷率取得</vt:lpstr>
      <vt:lpstr>ボイラ!負荷率取得</vt:lpstr>
      <vt:lpstr>空調GHP!負荷率取得</vt:lpstr>
      <vt:lpstr>太陽光・蓄電!負荷率取得</vt:lpstr>
      <vt:lpstr>冷熱源機器!負荷率取得</vt:lpstr>
      <vt:lpstr>負荷率取得</vt:lpstr>
      <vt:lpstr>CO２削減量算定シート!複合サービス事業</vt:lpstr>
      <vt:lpstr>その他設備!油</vt:lpstr>
      <vt:lpstr>冷熱源機器!油</vt:lpstr>
      <vt:lpstr>油</vt:lpstr>
      <vt:lpstr>その他設備!冷房日数</vt:lpstr>
      <vt:lpstr>ボイラ!冷房日数</vt:lpstr>
      <vt:lpstr>空調GHP!冷房日数</vt:lpstr>
      <vt:lpstr>太陽光・蓄電!冷房日数</vt:lpstr>
      <vt:lpstr>冷熱源機器!冷房日数</vt:lpstr>
      <vt:lpstr>冷房日数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ver1.4</dc:title>
  <dc:creator>Administrator</dc:creator>
  <cp:keywords>R051226</cp:keywords>
  <cp:lastModifiedBy>髙橋直樹</cp:lastModifiedBy>
  <cp:lastPrinted>2024-01-16T04:18:50Z</cp:lastPrinted>
  <dcterms:created xsi:type="dcterms:W3CDTF">2023-05-30T02:27:38Z</dcterms:created>
  <dcterms:modified xsi:type="dcterms:W3CDTF">2024-01-16T04:22:14Z</dcterms:modified>
</cp:coreProperties>
</file>