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updateLinks="never" defaultThemeVersion="166925"/>
  <mc:AlternateContent xmlns:mc="http://schemas.openxmlformats.org/markup-compatibility/2006">
    <mc:Choice Requires="x15">
      <x15ac:absPath xmlns:x15ac="http://schemas.microsoft.com/office/spreadsheetml/2010/11/ac" url="C:\Users\111207\Box\【02_課所共有】05_02_温暖化対策課\R05年度\中小担当\22_事業者支援\22_05_CO2排出削減設備導入補助\22_05_040_設備補助　補助金\当初（設備補助）\様式\"/>
    </mc:Choice>
  </mc:AlternateContent>
  <xr:revisionPtr revIDLastSave="0" documentId="13_ncr:1_{6203D6D7-920D-410E-8C87-B0B5A8337D07}" xr6:coauthVersionLast="36" xr6:coauthVersionMax="36" xr10:uidLastSave="{00000000-0000-0000-0000-000000000000}"/>
  <workbookProtection workbookAlgorithmName="SHA-512" workbookHashValue="Z+J4xpJzRuH2eNSGnE3tQH4Wo27iTh5O6EHqsHhi2P4Ng0BmW251mvIJNPOXupp/psCY9ruP5MlW3B5eVYzoQA==" workbookSaltValue="iVVmeI0zTqHPro10BPQyBA==" workbookSpinCount="100000" lockStructure="1"/>
  <bookViews>
    <workbookView xWindow="0" yWindow="0" windowWidth="24000" windowHeight="9690" xr2:uid="{B326789E-FDD7-475D-B933-2E9A4364F557}"/>
  </bookViews>
  <sheets>
    <sheet name="CO２削減量算定シート" sheetId="34" r:id="rId1"/>
    <sheet name="記入方法" sheetId="32" r:id="rId2"/>
    <sheet name="空調EHP" sheetId="23" r:id="rId3"/>
    <sheet name="空調GHP" sheetId="25" r:id="rId4"/>
    <sheet name="コンプレッサー " sheetId="18" r:id="rId5"/>
    <sheet name="ボイラ" sheetId="27" r:id="rId6"/>
    <sheet name="変圧器" sheetId="2" r:id="rId7"/>
    <sheet name="冷熱源機器" sheetId="28" state="hidden" r:id="rId8"/>
    <sheet name="モーター設備" sheetId="11" r:id="rId9"/>
    <sheet name="太陽光・蓄電" sheetId="33" r:id="rId10"/>
    <sheet name="その他設備" sheetId="31" r:id="rId11"/>
    <sheet name="CO₂係数 " sheetId="8" r:id="rId12"/>
    <sheet name="モーター効率" sheetId="9" state="hidden" r:id="rId13"/>
    <sheet name="空調kcal換算" sheetId="10" state="hidden" r:id="rId14"/>
    <sheet name="補足資料" sheetId="16" state="hidden" r:id="rId15"/>
  </sheets>
  <externalReferences>
    <externalReference r:id="rId16"/>
  </externalReferences>
  <definedNames>
    <definedName name="cmp_mode">'コンプレッサー '!$G$53:$O$59</definedName>
    <definedName name="COP補正" localSheetId="10">その他設備!$BM$46:$BX$70</definedName>
    <definedName name="COP補正" localSheetId="5">ボイラ!$BF$46:$BQ$69</definedName>
    <definedName name="COP補正" localSheetId="3">空調GHP!$BB$49:$BM$73</definedName>
    <definedName name="COP補正" localSheetId="9">太陽光・蓄電!$W$37:$Z$61</definedName>
    <definedName name="COP補正" localSheetId="7">冷熱源機器!$BK$46:$BV$70</definedName>
    <definedName name="COP補正">空調EHP!$AV$41:$BG$65</definedName>
    <definedName name="haishutukeisuu" localSheetId="12" hidden="1">{"'第２表'!$W$27:$AA$68"}</definedName>
    <definedName name="haishutukeisuu" localSheetId="13" hidden="1">{"'第２表'!$W$27:$AA$68"}</definedName>
    <definedName name="haishutukeisuu" hidden="1">{"'第２表'!$W$27:$AA$68"}</definedName>
    <definedName name="HTML_CodePage" hidden="1">932</definedName>
    <definedName name="HTML_Control" localSheetId="12" hidden="1">{"'第２表'!$W$27:$AA$68"}</definedName>
    <definedName name="HTML_Control" localSheetId="13"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IE1_">モーター効率!$A$2:$F$32</definedName>
    <definedName name="IE1_出力">モーター効率!$B$2:$B$32</definedName>
    <definedName name="IE2_">モーター効率!$A$33:$F$63</definedName>
    <definedName name="IE2_出力">モーター効率!$B$33:$B$63</definedName>
    <definedName name="IE3_">モーター効率!$A$64:$F$94</definedName>
    <definedName name="IE3_出力">モーター効率!$B$64:$B$94</definedName>
    <definedName name="IE4_">モーター効率!$A$95:$F$122</definedName>
    <definedName name="IE4_出力">モーター効率!$B$95:$B$122</definedName>
    <definedName name="inv補正COP" localSheetId="0">#REF!</definedName>
    <definedName name="inv補正COP">#REF!</definedName>
    <definedName name="lpu" localSheetId="12" hidden="1">{"'第２表'!$W$27:$AA$68"}</definedName>
    <definedName name="lpu" localSheetId="13" hidden="1">{"'第２表'!$W$27:$AA$68"}</definedName>
    <definedName name="lpu" hidden="1">{"'第２表'!$W$27:$AA$68"}</definedName>
    <definedName name="pps推移" localSheetId="12" hidden="1">{"'第２表'!$W$27:$AA$68"}</definedName>
    <definedName name="pps推移" localSheetId="13" hidden="1">{"'第２表'!$W$27:$AA$68"}</definedName>
    <definedName name="pps推移" hidden="1">{"'第２表'!$W$27:$AA$68"}</definedName>
    <definedName name="_xlnm.Print_Area" localSheetId="0">CO２削減量算定シート!$A$1:$AH$39</definedName>
    <definedName name="_xlnm.Print_Area" localSheetId="4">'コンプレッサー '!$A$1:$V$39</definedName>
    <definedName name="_xlnm.Print_Area" localSheetId="10">その他設備!$A$1:$AL$36</definedName>
    <definedName name="_xlnm.Print_Area" localSheetId="5">ボイラ!$A$1:$AG$36</definedName>
    <definedName name="_xlnm.Print_Area" localSheetId="8">モーター設備!$A$1:$AC$42</definedName>
    <definedName name="_xlnm.Print_Area" localSheetId="1">記入方法!$A$1:$U$192</definedName>
    <definedName name="_xlnm.Print_Area" localSheetId="2">空調EHP!$A$1:$Y$39</definedName>
    <definedName name="_xlnm.Print_Area" localSheetId="3">空調GHP!$A$1:$AE$37</definedName>
    <definedName name="_xlnm.Print_Area" localSheetId="9">太陽光・蓄電!$A$1:$T$36</definedName>
    <definedName name="_xlnm.Print_Area" localSheetId="6">変圧器!$A$1:$Y$38</definedName>
    <definedName name="_xlnm.Print_Area" localSheetId="7">冷熱源機器!$A$1:$AL$37</definedName>
    <definedName name="rangeIE1">モーター効率!$B$2:$B$32</definedName>
    <definedName name="rangeIE2">モーター効率!$B$33:$B$63</definedName>
    <definedName name="rangeIE3">モーター効率!$B$64:$B$94</definedName>
    <definedName name="rangeIE4">モーター効率!$B$95:$B$118</definedName>
    <definedName name="ガス" localSheetId="10">その他設備!$BG$2:$BG$6</definedName>
    <definedName name="ガス" localSheetId="9">太陽光・蓄電!#REF!</definedName>
    <definedName name="ガス" localSheetId="7">冷熱源機器!$BF$2:$BF$6</definedName>
    <definedName name="ガス">ボイラ!$BA$2:$BA$6</definedName>
    <definedName name="サービス業" localSheetId="0">CO２削減量算定シート!$R$56:$R$60</definedName>
    <definedName name="医療・福祉" localSheetId="0">CO２削減量算定シート!$P$56:$P$58</definedName>
    <definedName name="運輸業・郵便業" localSheetId="0">CO２削減量算定シート!$H$56:$H$63</definedName>
    <definedName name="卸売業・小売業" localSheetId="0">CO２削減量算定シート!$I$56:$I$67</definedName>
    <definedName name="学術研究・専門・技術サービス業" localSheetId="0">CO２削減量算定シート!$L$56:$L$59</definedName>
    <definedName name="漁業" localSheetId="0">CO２削減量算定シート!$B$56:$B$57</definedName>
    <definedName name="教育・学習支援業" localSheetId="0">CO２削減量算定シート!$O$56:$O$57</definedName>
    <definedName name="金融業・保険業" localSheetId="0">CO２削減量算定シート!$J$56:$J$61</definedName>
    <definedName name="建設業" localSheetId="0">CO２削減量算定シート!$D$56:$D$58</definedName>
    <definedName name="鉱業・採石業・砂利採取業" localSheetId="0">CO２削減量算定シート!$C$56</definedName>
    <definedName name="宿泊業・飲食サービス業" localSheetId="0">CO２削減量算定シート!$M$56:$M$58</definedName>
    <definedName name="情報通信業" localSheetId="0">CO２削減量算定シート!$G$56:$G$60</definedName>
    <definedName name="生活関連サービス業・娯楽業" localSheetId="0">CO２削減量算定シート!$N$56:$N$57</definedName>
    <definedName name="製造業" localSheetId="0">CO２削減量算定シート!$E$56:$E$79</definedName>
    <definedName name="石炭等" localSheetId="10">その他設備!$BG$15:$BG$17</definedName>
    <definedName name="石炭等" localSheetId="9">太陽光・蓄電!#REF!</definedName>
    <definedName name="石炭等" localSheetId="7">冷熱源機器!$BF$15:$BF$17</definedName>
    <definedName name="石炭等">ボイラ!$BA$15:$BA$17</definedName>
    <definedName name="大分類" localSheetId="0">CO２削減量算定シート!$A$55:$R$55</definedName>
    <definedName name="大分類">[1]事業実施者・事業内容!$A$66:$R$66</definedName>
    <definedName name="暖房日数" localSheetId="10">その他設備!$CA$27:$CA$31</definedName>
    <definedName name="暖房日数" localSheetId="5">ボイラ!$BS$27:$BS$31</definedName>
    <definedName name="暖房日数" localSheetId="3">空調GHP!$BP$28:$BP$33</definedName>
    <definedName name="暖房日数" localSheetId="9">太陽光・蓄電!#REF!</definedName>
    <definedName name="暖房日数" localSheetId="7">冷熱源機器!$BX$27:$BX$31</definedName>
    <definedName name="暖房日数">空調EHP!$BJ$20:$BJ$25</definedName>
    <definedName name="電気" localSheetId="10">その他設備!$BG$13:$BG$14</definedName>
    <definedName name="電気" localSheetId="9">太陽光・蓄電!#REF!</definedName>
    <definedName name="電気" localSheetId="7">冷熱源機器!$BF$13:$BF$14</definedName>
    <definedName name="電気">ボイラ!$BA$13:$BA$14</definedName>
    <definedName name="電気・ガス・熱供給・水道業" localSheetId="0">CO２削減量算定シート!$F$56:$F$59</definedName>
    <definedName name="燃料" localSheetId="0">CO２削減量算定シート!$AA$66:$AA$71</definedName>
    <definedName name="農業_林業" localSheetId="0">CO２削減量算定シート!$A$56:$A$57</definedName>
    <definedName name="農業・林業" localSheetId="0">CO２削減量算定シート!$A$56:$A$57</definedName>
    <definedName name="不動産業・物品賃貸業" localSheetId="0">CO２削減量算定シート!$K$56:$K$58</definedName>
    <definedName name="負荷率取得" localSheetId="10">その他設備!$CB$27:$CB$38</definedName>
    <definedName name="負荷率取得" localSheetId="5">ボイラ!$BU$27:$BU$38</definedName>
    <definedName name="負荷率取得" localSheetId="3">空調GHP!$BR$29:$BR$41</definedName>
    <definedName name="負荷率取得" localSheetId="9">太陽光・蓄電!$AD$23:$AD$29</definedName>
    <definedName name="負荷率取得" localSheetId="7">冷熱源機器!$BZ$27:$BZ$38</definedName>
    <definedName name="負荷率取得">空調EHP!$BL$20:$BL$33</definedName>
    <definedName name="複合サービス事業" localSheetId="0">CO２削減量算定シート!$Q$56:$Q$57</definedName>
    <definedName name="油" localSheetId="10">その他設備!$BG$7:$BG$12</definedName>
    <definedName name="油" localSheetId="9">太陽光・蓄電!#REF!</definedName>
    <definedName name="油" localSheetId="7">冷熱源機器!$BF$7:$BF$12</definedName>
    <definedName name="油">ボイラ!$BA$7:$BA$12</definedName>
    <definedName name="冷房日数" localSheetId="10">その他設備!$BZ$32:$BZ$38</definedName>
    <definedName name="冷房日数" localSheetId="5">ボイラ!$BS$32:$BS$38</definedName>
    <definedName name="冷房日数" localSheetId="3">空調GHP!$BP$34:$BP$41</definedName>
    <definedName name="冷房日数" localSheetId="9">太陽光・蓄電!$AB$28:$AB$29</definedName>
    <definedName name="冷房日数" localSheetId="7">冷熱源機器!$BX$32:$BX$38</definedName>
    <definedName name="冷房日数">空調EHP!$BJ$26:$BJ$33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7" i="11" l="1"/>
  <c r="Z27" i="11"/>
  <c r="V27" i="11"/>
  <c r="S27" i="11"/>
  <c r="Q27" i="11"/>
  <c r="P27" i="11"/>
  <c r="H27" i="11"/>
  <c r="E27" i="11"/>
  <c r="BE28" i="31" l="1"/>
  <c r="BE29" i="31"/>
  <c r="BE30" i="31"/>
  <c r="BE31" i="31"/>
  <c r="BE32" i="31"/>
  <c r="BE33" i="31"/>
  <c r="BE34" i="31"/>
  <c r="BE35" i="31"/>
  <c r="BE36" i="31"/>
  <c r="BE27" i="31"/>
  <c r="P29" i="11"/>
  <c r="P30" i="11"/>
  <c r="P31" i="11"/>
  <c r="P32" i="11"/>
  <c r="P33" i="11"/>
  <c r="P34" i="11"/>
  <c r="P35" i="11"/>
  <c r="P36" i="11"/>
  <c r="P37" i="11"/>
  <c r="P38" i="11"/>
  <c r="P39" i="11"/>
  <c r="P40" i="11"/>
  <c r="P41" i="11"/>
  <c r="P42" i="11"/>
  <c r="P28" i="11"/>
  <c r="AH28" i="27" l="1"/>
  <c r="AH29" i="27"/>
  <c r="AH30" i="27"/>
  <c r="AH31" i="27"/>
  <c r="AH32" i="27"/>
  <c r="AH33" i="27"/>
  <c r="AH34" i="27"/>
  <c r="AH35" i="27"/>
  <c r="AH36" i="27"/>
  <c r="AH27" i="27"/>
  <c r="BD28" i="31" l="1"/>
  <c r="BD29" i="31"/>
  <c r="BD30" i="31"/>
  <c r="BD31" i="31"/>
  <c r="BD32" i="31"/>
  <c r="BD33" i="31"/>
  <c r="BD34" i="31"/>
  <c r="BD35" i="31"/>
  <c r="BD36" i="31"/>
  <c r="BD27" i="31"/>
  <c r="S36" i="31" l="1"/>
  <c r="T36" i="31" s="1"/>
  <c r="S35" i="31"/>
  <c r="T35" i="31" s="1"/>
  <c r="S34" i="31"/>
  <c r="T34" i="31" s="1"/>
  <c r="S33" i="31"/>
  <c r="T33" i="31" s="1"/>
  <c r="S32" i="31"/>
  <c r="T32" i="31" s="1"/>
  <c r="S31" i="31"/>
  <c r="T31" i="31" s="1"/>
  <c r="S30" i="31"/>
  <c r="T30" i="31" s="1"/>
  <c r="S29" i="31"/>
  <c r="T29" i="31" s="1"/>
  <c r="S28" i="31"/>
  <c r="T28" i="31" s="1"/>
  <c r="M27" i="18" l="1"/>
  <c r="N27" i="18" s="1"/>
  <c r="M26" i="18"/>
  <c r="N26" i="18" s="1"/>
  <c r="M25" i="18"/>
  <c r="N25" i="18" s="1"/>
  <c r="M24" i="18"/>
  <c r="N24" i="18" s="1"/>
  <c r="M23" i="18"/>
  <c r="N23" i="18" s="1"/>
  <c r="M22" i="18"/>
  <c r="N22" i="18" s="1"/>
  <c r="M21" i="18"/>
  <c r="N21" i="18" s="1"/>
  <c r="M20" i="18"/>
  <c r="N20" i="18" s="1"/>
  <c r="M27" i="27" l="1"/>
  <c r="M28" i="27"/>
  <c r="M29" i="27"/>
  <c r="AR28" i="31" l="1"/>
  <c r="AR29" i="31"/>
  <c r="AR30" i="31"/>
  <c r="AR31" i="31"/>
  <c r="AR32" i="31"/>
  <c r="AR33" i="31"/>
  <c r="AR34" i="31"/>
  <c r="AR35" i="31"/>
  <c r="AR36" i="31"/>
  <c r="AR27" i="31"/>
  <c r="Y37" i="23"/>
  <c r="Y36" i="23"/>
  <c r="Y35" i="23"/>
  <c r="Y34" i="23"/>
  <c r="Y33" i="23"/>
  <c r="Y32" i="23"/>
  <c r="Y31" i="23"/>
  <c r="Y30" i="23"/>
  <c r="Y29" i="23"/>
  <c r="Y28" i="23"/>
  <c r="Y27" i="23"/>
  <c r="Y26" i="23"/>
  <c r="Y25" i="23"/>
  <c r="Y24" i="23"/>
  <c r="Y23" i="23"/>
  <c r="Y22" i="23"/>
  <c r="X37" i="23"/>
  <c r="X36" i="23"/>
  <c r="X35" i="23"/>
  <c r="X34" i="23"/>
  <c r="X33" i="23"/>
  <c r="X32" i="23"/>
  <c r="X31" i="23"/>
  <c r="X30" i="23"/>
  <c r="X29" i="23"/>
  <c r="X28" i="23"/>
  <c r="X27" i="23"/>
  <c r="X26" i="23"/>
  <c r="X25" i="23"/>
  <c r="X24" i="23"/>
  <c r="X23" i="23"/>
  <c r="X22" i="23"/>
  <c r="AP24" i="27"/>
  <c r="S19" i="27" s="1"/>
  <c r="N1" i="33" l="1"/>
  <c r="AE1" i="31"/>
  <c r="W1" i="11"/>
  <c r="S1" i="2"/>
  <c r="Y1" i="27"/>
  <c r="Q1" i="18"/>
  <c r="X1" i="25"/>
  <c r="R1" i="23"/>
  <c r="R21" i="33" l="1"/>
  <c r="Q21" i="33"/>
  <c r="V26" i="33"/>
  <c r="V25" i="33"/>
  <c r="V24" i="33"/>
  <c r="V23" i="33"/>
  <c r="V20" i="33"/>
  <c r="K21" i="33"/>
  <c r="J21" i="33"/>
  <c r="D26" i="31"/>
  <c r="W26" i="31"/>
  <c r="AO8" i="25" l="1"/>
  <c r="AJ9" i="25"/>
  <c r="AN26" i="25"/>
  <c r="AN27" i="25"/>
  <c r="AN28" i="25"/>
  <c r="BR28" i="25"/>
  <c r="AN29" i="25"/>
  <c r="BR29" i="25"/>
  <c r="AN30" i="25"/>
  <c r="BE30" i="25"/>
  <c r="BJ30" i="25"/>
  <c r="BP30" i="25"/>
  <c r="AK32" i="25" s="1"/>
  <c r="BR30" i="25"/>
  <c r="AL31" i="25"/>
  <c r="AM31" i="25" s="1"/>
  <c r="AN31" i="25"/>
  <c r="BE31" i="25"/>
  <c r="BI31" i="25"/>
  <c r="BI32" i="25" s="1"/>
  <c r="BJ31" i="25"/>
  <c r="BK31" i="25" s="1"/>
  <c r="BR31" i="25"/>
  <c r="AN32" i="25"/>
  <c r="BE32" i="25"/>
  <c r="BJ32" i="25"/>
  <c r="BR32" i="25"/>
  <c r="AN33" i="25"/>
  <c r="BE33" i="25"/>
  <c r="BI33" i="25"/>
  <c r="BI34" i="25" s="1"/>
  <c r="BI35" i="25" s="1"/>
  <c r="BI36" i="25" s="1"/>
  <c r="BI37" i="25" s="1"/>
  <c r="BJ33" i="25"/>
  <c r="BK33" i="25"/>
  <c r="BR33" i="25"/>
  <c r="AN34" i="25"/>
  <c r="BE34" i="25"/>
  <c r="BJ34" i="25"/>
  <c r="BR34" i="25"/>
  <c r="AK35" i="25"/>
  <c r="AN35" i="25"/>
  <c r="BE35" i="25"/>
  <c r="BJ35" i="25"/>
  <c r="BR35" i="25"/>
  <c r="AN36" i="25"/>
  <c r="BE36" i="25"/>
  <c r="BJ36" i="25"/>
  <c r="BP36" i="25"/>
  <c r="BP37" i="25" s="1"/>
  <c r="BR36" i="25"/>
  <c r="AH37" i="25"/>
  <c r="AN37" i="25"/>
  <c r="BE37" i="25"/>
  <c r="BJ37" i="25"/>
  <c r="BR37" i="25"/>
  <c r="BE38" i="25"/>
  <c r="BJ38" i="25"/>
  <c r="BK38" i="25"/>
  <c r="BR38" i="25"/>
  <c r="BE39" i="25"/>
  <c r="BJ39" i="25"/>
  <c r="BR39" i="25"/>
  <c r="BE40" i="25"/>
  <c r="BJ40" i="25"/>
  <c r="BR40" i="25"/>
  <c r="BE41" i="25"/>
  <c r="BJ41" i="25"/>
  <c r="BR41" i="25"/>
  <c r="BB42" i="25"/>
  <c r="BC42" i="25"/>
  <c r="BD42" i="25"/>
  <c r="BL42" i="25"/>
  <c r="BQ42" i="25"/>
  <c r="BS42" i="25"/>
  <c r="BH49" i="25"/>
  <c r="BM49" i="25"/>
  <c r="BH50" i="25"/>
  <c r="BI50" i="25"/>
  <c r="BJ50" i="25"/>
  <c r="BM50" i="25"/>
  <c r="BH51" i="25"/>
  <c r="BI51" i="25"/>
  <c r="BJ51" i="25"/>
  <c r="BM51" i="25"/>
  <c r="BH52" i="25"/>
  <c r="BI52" i="25"/>
  <c r="BJ52" i="25"/>
  <c r="BM52" i="25"/>
  <c r="BH53" i="25"/>
  <c r="BI53" i="25"/>
  <c r="BJ53" i="25"/>
  <c r="BM53" i="25"/>
  <c r="BH54" i="25"/>
  <c r="BI54" i="25"/>
  <c r="BJ54" i="25"/>
  <c r="BM54" i="25"/>
  <c r="BH55" i="25"/>
  <c r="BI55" i="25"/>
  <c r="BJ55" i="25"/>
  <c r="BM55" i="25"/>
  <c r="BH56" i="25"/>
  <c r="BI56" i="25"/>
  <c r="BJ56" i="25"/>
  <c r="BM56" i="25"/>
  <c r="BH57" i="25"/>
  <c r="BI57" i="25"/>
  <c r="BJ57" i="25"/>
  <c r="BM57" i="25"/>
  <c r="BH58" i="25"/>
  <c r="BI58" i="25"/>
  <c r="BJ58" i="25"/>
  <c r="BM58" i="25"/>
  <c r="BH59" i="25"/>
  <c r="BM59" i="25"/>
  <c r="BH60" i="25"/>
  <c r="BI60" i="25"/>
  <c r="BJ60" i="25"/>
  <c r="BM60" i="25"/>
  <c r="BH61" i="25"/>
  <c r="BI61" i="25"/>
  <c r="BJ61" i="25"/>
  <c r="BM61" i="25"/>
  <c r="BH62" i="25"/>
  <c r="BI62" i="25"/>
  <c r="BJ62" i="25"/>
  <c r="BM62" i="25"/>
  <c r="BH63" i="25"/>
  <c r="BI63" i="25"/>
  <c r="BJ63" i="25"/>
  <c r="BM63" i="25"/>
  <c r="BH64" i="25"/>
  <c r="BM64" i="25"/>
  <c r="BH65" i="25"/>
  <c r="BI65" i="25"/>
  <c r="BJ65" i="25"/>
  <c r="BM65" i="25"/>
  <c r="BH66" i="25"/>
  <c r="BI66" i="25"/>
  <c r="BJ66" i="25"/>
  <c r="BM66" i="25"/>
  <c r="BH67" i="25"/>
  <c r="BI67" i="25"/>
  <c r="BJ67" i="25"/>
  <c r="BM67" i="25"/>
  <c r="BH68" i="25"/>
  <c r="BI68" i="25"/>
  <c r="BJ68" i="25"/>
  <c r="BM68" i="25"/>
  <c r="BH69" i="25"/>
  <c r="BM69" i="25"/>
  <c r="BH70" i="25"/>
  <c r="BM70" i="25"/>
  <c r="BH71" i="25"/>
  <c r="BM71" i="25"/>
  <c r="BH72" i="25"/>
  <c r="BM72" i="25"/>
  <c r="BH73" i="25"/>
  <c r="BM73" i="25"/>
  <c r="O27" i="31"/>
  <c r="O28" i="31"/>
  <c r="AH28" i="31" s="1"/>
  <c r="AH30" i="31"/>
  <c r="AH31" i="31"/>
  <c r="AH32" i="31"/>
  <c r="AH33" i="31"/>
  <c r="AH34" i="31"/>
  <c r="AH35" i="31"/>
  <c r="AH36" i="31"/>
  <c r="AF28" i="11"/>
  <c r="AI28" i="11"/>
  <c r="O20" i="25" l="1"/>
  <c r="G20" i="25"/>
  <c r="J20" i="25"/>
  <c r="K20" i="25"/>
  <c r="AH27" i="31"/>
  <c r="S27" i="31"/>
  <c r="BK37" i="25"/>
  <c r="BK40" i="25"/>
  <c r="AL37" i="25"/>
  <c r="AM37" i="25" s="1"/>
  <c r="BI38" i="25"/>
  <c r="BI39" i="25" s="1"/>
  <c r="BI40" i="25" s="1"/>
  <c r="BI41" i="25" s="1"/>
  <c r="AH27" i="25"/>
  <c r="AI28" i="25"/>
  <c r="AJ28" i="25" s="1"/>
  <c r="AI29" i="25"/>
  <c r="AJ29" i="25" s="1"/>
  <c r="AI30" i="25"/>
  <c r="AJ30" i="25" s="1"/>
  <c r="AI31" i="25"/>
  <c r="AJ31" i="25" s="1"/>
  <c r="AH32" i="25"/>
  <c r="AI33" i="25"/>
  <c r="AJ33" i="25" s="1"/>
  <c r="AH34" i="25"/>
  <c r="AH35" i="25"/>
  <c r="AH36" i="25"/>
  <c r="AI37" i="25"/>
  <c r="AJ37" i="25" s="1"/>
  <c r="BP38" i="25"/>
  <c r="BP39" i="25" s="1"/>
  <c r="BP40" i="25" s="1"/>
  <c r="BP41" i="25" s="1"/>
  <c r="AI36" i="25"/>
  <c r="AJ36" i="25" s="1"/>
  <c r="AI34" i="25"/>
  <c r="AJ34" i="25" s="1"/>
  <c r="AH31" i="25"/>
  <c r="AL27" i="25"/>
  <c r="AM27" i="25" s="1"/>
  <c r="AK28" i="25"/>
  <c r="AK29" i="25"/>
  <c r="AK30" i="25"/>
  <c r="AK31" i="25"/>
  <c r="BP31" i="25"/>
  <c r="AL32" i="25"/>
  <c r="AM32" i="25" s="1"/>
  <c r="AK33" i="25"/>
  <c r="AL34" i="25"/>
  <c r="AM34" i="25" s="1"/>
  <c r="AL35" i="25"/>
  <c r="AM35" i="25" s="1"/>
  <c r="AL36" i="25"/>
  <c r="AM36" i="25" s="1"/>
  <c r="AK37" i="25"/>
  <c r="AL30" i="25"/>
  <c r="AM30" i="25" s="1"/>
  <c r="AH30" i="25"/>
  <c r="AL28" i="25"/>
  <c r="AM28" i="25" s="1"/>
  <c r="AH28" i="25"/>
  <c r="AP27" i="25"/>
  <c r="AQ27" i="25" s="1"/>
  <c r="AI27" i="25"/>
  <c r="AJ27" i="25" s="1"/>
  <c r="BK41" i="25"/>
  <c r="BK39" i="25"/>
  <c r="AK36" i="25"/>
  <c r="AI35" i="25"/>
  <c r="AJ35" i="25" s="1"/>
  <c r="AK34" i="25"/>
  <c r="AL33" i="25"/>
  <c r="AM33" i="25" s="1"/>
  <c r="AH33" i="25"/>
  <c r="AI32" i="25"/>
  <c r="AJ32" i="25" s="1"/>
  <c r="BK30" i="25"/>
  <c r="BK32" i="25"/>
  <c r="BK34" i="25"/>
  <c r="BK35" i="25"/>
  <c r="BK36" i="25"/>
  <c r="BJ42" i="25"/>
  <c r="AL29" i="25"/>
  <c r="AM29" i="25" s="1"/>
  <c r="AH29" i="25"/>
  <c r="AS27" i="25"/>
  <c r="AT27" i="25" s="1"/>
  <c r="AK27" i="25"/>
  <c r="AD26" i="11"/>
  <c r="E18" i="18"/>
  <c r="V22" i="23"/>
  <c r="V23" i="23"/>
  <c r="V24" i="23"/>
  <c r="V25" i="23"/>
  <c r="V26" i="23"/>
  <c r="V27" i="23"/>
  <c r="V28" i="23"/>
  <c r="V29" i="23"/>
  <c r="V30" i="23"/>
  <c r="V31" i="23"/>
  <c r="V32" i="23"/>
  <c r="V33" i="23"/>
  <c r="V34" i="23"/>
  <c r="V35" i="23"/>
  <c r="V36" i="23"/>
  <c r="V37" i="23"/>
  <c r="V38" i="23"/>
  <c r="V39" i="23"/>
  <c r="Z30" i="25"/>
  <c r="Z31" i="25"/>
  <c r="Z32" i="25"/>
  <c r="Z33" i="25"/>
  <c r="Z34" i="25"/>
  <c r="Z35" i="25"/>
  <c r="Z36" i="25"/>
  <c r="Z37" i="25"/>
  <c r="M30" i="25"/>
  <c r="AC30" i="25" s="1"/>
  <c r="M31" i="25"/>
  <c r="M32" i="25"/>
  <c r="AC32" i="25" s="1"/>
  <c r="M33" i="25"/>
  <c r="M34" i="25"/>
  <c r="AC34" i="25" s="1"/>
  <c r="M35" i="25"/>
  <c r="M36" i="25"/>
  <c r="AC36" i="25" s="1"/>
  <c r="M37" i="25"/>
  <c r="L21" i="23"/>
  <c r="L22" i="23"/>
  <c r="L23" i="23"/>
  <c r="L24" i="23"/>
  <c r="L25" i="23"/>
  <c r="L26" i="23"/>
  <c r="L27" i="23"/>
  <c r="L28" i="23"/>
  <c r="L29" i="23"/>
  <c r="L30" i="23"/>
  <c r="L31" i="23"/>
  <c r="L32" i="23"/>
  <c r="L33" i="23"/>
  <c r="L34" i="23"/>
  <c r="L35" i="23"/>
  <c r="L36" i="23"/>
  <c r="L37" i="23"/>
  <c r="L38" i="23"/>
  <c r="L39" i="23"/>
  <c r="AI26" i="11"/>
  <c r="AF26" i="11"/>
  <c r="M29" i="25" l="1"/>
  <c r="AC37" i="25"/>
  <c r="AC35" i="25"/>
  <c r="AC33" i="25"/>
  <c r="AC31" i="25"/>
  <c r="M28" i="25"/>
  <c r="AH26" i="25"/>
  <c r="AI26" i="25"/>
  <c r="AJ26" i="25" s="1"/>
  <c r="BP32" i="25"/>
  <c r="BI42" i="25"/>
  <c r="W30" i="11"/>
  <c r="W31" i="11"/>
  <c r="W32" i="11"/>
  <c r="W33" i="11"/>
  <c r="W34" i="11"/>
  <c r="W35" i="11"/>
  <c r="W36" i="11"/>
  <c r="W37" i="11"/>
  <c r="W38" i="11"/>
  <c r="W39" i="11"/>
  <c r="W40" i="11"/>
  <c r="W41" i="11"/>
  <c r="W42" i="11"/>
  <c r="I29" i="11"/>
  <c r="I30" i="11"/>
  <c r="I31" i="11"/>
  <c r="I32" i="11"/>
  <c r="I33" i="11"/>
  <c r="I34" i="11"/>
  <c r="I35" i="11"/>
  <c r="I36" i="11"/>
  <c r="I37" i="11"/>
  <c r="I38" i="11"/>
  <c r="I39" i="11"/>
  <c r="I40" i="11"/>
  <c r="I41" i="11"/>
  <c r="I42" i="11"/>
  <c r="AD42" i="11"/>
  <c r="AD41" i="11"/>
  <c r="AD40" i="11"/>
  <c r="AD39" i="11"/>
  <c r="AD38" i="11"/>
  <c r="AD37" i="11"/>
  <c r="AD36" i="11"/>
  <c r="AD35" i="11"/>
  <c r="AD34" i="11"/>
  <c r="AD33" i="11"/>
  <c r="AD32" i="11"/>
  <c r="AD31" i="11"/>
  <c r="AD30" i="11"/>
  <c r="AD29" i="11"/>
  <c r="AD28" i="11"/>
  <c r="W29" i="11"/>
  <c r="W28" i="11"/>
  <c r="I28" i="11"/>
  <c r="AF40" i="11"/>
  <c r="AI42" i="11"/>
  <c r="AI39" i="11"/>
  <c r="AI38" i="11"/>
  <c r="AF38" i="11"/>
  <c r="AF42" i="11"/>
  <c r="AI32" i="11"/>
  <c r="AF31" i="11"/>
  <c r="AI36" i="11"/>
  <c r="AI41" i="11"/>
  <c r="AF41" i="11"/>
  <c r="AF29" i="11"/>
  <c r="AI37" i="11"/>
  <c r="AF33" i="11"/>
  <c r="AF35" i="11"/>
  <c r="AI33" i="11"/>
  <c r="AI34" i="11"/>
  <c r="AI40" i="11"/>
  <c r="AF32" i="11"/>
  <c r="AI31" i="11"/>
  <c r="AI35" i="11"/>
  <c r="AI29" i="11"/>
  <c r="AI30" i="11"/>
  <c r="AF37" i="11"/>
  <c r="AF36" i="11"/>
  <c r="AF39" i="11"/>
  <c r="AF30" i="11"/>
  <c r="AF34" i="11"/>
  <c r="BP33" i="25" l="1"/>
  <c r="AK26" i="25"/>
  <c r="BP42" i="25"/>
  <c r="AG28" i="11"/>
  <c r="AJ28" i="11"/>
  <c r="AJ42" i="11"/>
  <c r="AJ40" i="11"/>
  <c r="AJ38" i="11"/>
  <c r="AJ36" i="11"/>
  <c r="AJ34" i="11"/>
  <c r="AJ32" i="11"/>
  <c r="AJ30" i="11"/>
  <c r="AJ41" i="11"/>
  <c r="AJ39" i="11"/>
  <c r="AJ37" i="11"/>
  <c r="AJ35" i="11"/>
  <c r="AJ33" i="11"/>
  <c r="AJ31" i="11"/>
  <c r="AJ29" i="11"/>
  <c r="AG42" i="11"/>
  <c r="AG40" i="11"/>
  <c r="AG38" i="11"/>
  <c r="AG36" i="11"/>
  <c r="AG34" i="11"/>
  <c r="AG32" i="11"/>
  <c r="AG30" i="11"/>
  <c r="AG41" i="11"/>
  <c r="AG39" i="11"/>
  <c r="AG37" i="11"/>
  <c r="AG35" i="11"/>
  <c r="AG33" i="11"/>
  <c r="AG31" i="11"/>
  <c r="AG29" i="11"/>
  <c r="V18" i="31"/>
  <c r="E19" i="18"/>
  <c r="E20" i="18"/>
  <c r="AL26" i="25" l="1"/>
  <c r="AM26" i="25" s="1"/>
  <c r="Z29" i="11"/>
  <c r="Z30" i="11"/>
  <c r="Z31" i="11"/>
  <c r="Z32" i="11"/>
  <c r="Z33" i="11"/>
  <c r="Z34" i="11"/>
  <c r="Z35" i="11"/>
  <c r="Z36" i="11"/>
  <c r="Z37" i="11"/>
  <c r="Z38" i="11"/>
  <c r="Z39" i="11"/>
  <c r="Z40" i="11"/>
  <c r="Z41" i="11"/>
  <c r="Z42" i="11"/>
  <c r="U21" i="33" l="1"/>
  <c r="I17" i="18" l="1"/>
  <c r="X18" i="18" l="1"/>
  <c r="Y18" i="18"/>
  <c r="X19" i="18"/>
  <c r="Y19" i="18"/>
  <c r="X20" i="18"/>
  <c r="Y20" i="18"/>
  <c r="X21" i="18"/>
  <c r="Y21" i="18"/>
  <c r="X22" i="18"/>
  <c r="Y22" i="18"/>
  <c r="X23" i="18"/>
  <c r="Y23" i="18"/>
  <c r="X24" i="18"/>
  <c r="Y24" i="18"/>
  <c r="X25" i="18"/>
  <c r="Y25" i="18"/>
  <c r="X26" i="18"/>
  <c r="Y26" i="18"/>
  <c r="X27" i="18"/>
  <c r="Y27" i="18"/>
  <c r="Y16" i="18"/>
  <c r="X16" i="18"/>
  <c r="U29" i="25" l="1"/>
  <c r="U30" i="25"/>
  <c r="AP30" i="25" s="1"/>
  <c r="AQ30" i="25" s="1"/>
  <c r="U31" i="25"/>
  <c r="AP31" i="25" s="1"/>
  <c r="AQ31" i="25" s="1"/>
  <c r="U32" i="25"/>
  <c r="AP32" i="25" s="1"/>
  <c r="AQ32" i="25" s="1"/>
  <c r="U33" i="25"/>
  <c r="AP33" i="25" s="1"/>
  <c r="AQ33" i="25" s="1"/>
  <c r="U34" i="25"/>
  <c r="AP34" i="25" s="1"/>
  <c r="AQ34" i="25" s="1"/>
  <c r="U35" i="25"/>
  <c r="AP35" i="25" s="1"/>
  <c r="AQ35" i="25" s="1"/>
  <c r="U36" i="25"/>
  <c r="AP36" i="25" s="1"/>
  <c r="AQ36" i="25" s="1"/>
  <c r="U37" i="25"/>
  <c r="AP37" i="25" s="1"/>
  <c r="AQ37" i="25" s="1"/>
  <c r="Y30" i="25"/>
  <c r="AS30" i="25" s="1"/>
  <c r="AT30" i="25" s="1"/>
  <c r="Y31" i="25"/>
  <c r="AS31" i="25" s="1"/>
  <c r="AT31" i="25" s="1"/>
  <c r="Y32" i="25"/>
  <c r="AS32" i="25" s="1"/>
  <c r="AT32" i="25" s="1"/>
  <c r="Y33" i="25"/>
  <c r="AS33" i="25" s="1"/>
  <c r="AT33" i="25" s="1"/>
  <c r="Y34" i="25"/>
  <c r="AS34" i="25" s="1"/>
  <c r="AT34" i="25" s="1"/>
  <c r="Y35" i="25"/>
  <c r="AS35" i="25" s="1"/>
  <c r="AT35" i="25" s="1"/>
  <c r="Y36" i="25"/>
  <c r="AS36" i="25" s="1"/>
  <c r="AT36" i="25" s="1"/>
  <c r="Y37" i="25"/>
  <c r="AS37" i="25" s="1"/>
  <c r="AT37" i="25" s="1"/>
  <c r="Y28" i="25"/>
  <c r="AS28" i="25" s="1"/>
  <c r="AT28" i="25" s="1"/>
  <c r="Y29" i="25"/>
  <c r="AS29" i="25" s="1"/>
  <c r="AT29" i="25" s="1"/>
  <c r="U28" i="25"/>
  <c r="U21" i="23"/>
  <c r="U22" i="23"/>
  <c r="U23" i="23"/>
  <c r="U24" i="23"/>
  <c r="U25" i="23"/>
  <c r="U26" i="23"/>
  <c r="U27" i="23"/>
  <c r="U28" i="23"/>
  <c r="U29" i="23"/>
  <c r="U30" i="23"/>
  <c r="U31" i="23"/>
  <c r="U32" i="23"/>
  <c r="U33" i="23"/>
  <c r="U34" i="23"/>
  <c r="U35" i="23"/>
  <c r="U36" i="23"/>
  <c r="U37" i="23"/>
  <c r="U38" i="23"/>
  <c r="U39" i="23"/>
  <c r="U20" i="23"/>
  <c r="R21" i="23"/>
  <c r="R22" i="23"/>
  <c r="R23" i="23"/>
  <c r="R24" i="23"/>
  <c r="R25" i="23"/>
  <c r="R26" i="23"/>
  <c r="R27" i="23"/>
  <c r="R28" i="23"/>
  <c r="R29" i="23"/>
  <c r="R30" i="23"/>
  <c r="R31" i="23"/>
  <c r="R32" i="23"/>
  <c r="R33" i="23"/>
  <c r="R34" i="23"/>
  <c r="R35" i="23"/>
  <c r="R36" i="23"/>
  <c r="R37" i="23"/>
  <c r="R38" i="23"/>
  <c r="R39" i="23"/>
  <c r="R20" i="23"/>
  <c r="BK34" i="23"/>
  <c r="BL26" i="23"/>
  <c r="BL20" i="23"/>
  <c r="E21" i="18"/>
  <c r="E22" i="18"/>
  <c r="E23" i="18"/>
  <c r="E24" i="18"/>
  <c r="E25" i="18"/>
  <c r="E26" i="18"/>
  <c r="E27" i="18"/>
  <c r="AP28" i="25" l="1"/>
  <c r="AQ28" i="25" s="1"/>
  <c r="Z28" i="25"/>
  <c r="AC28" i="25" s="1"/>
  <c r="AP29" i="25"/>
  <c r="AQ29" i="25" s="1"/>
  <c r="Z29" i="25" s="1"/>
  <c r="AC29" i="25" s="1"/>
  <c r="H26" i="2"/>
  <c r="U26" i="2"/>
  <c r="U37" i="2"/>
  <c r="U36" i="2"/>
  <c r="U35" i="2"/>
  <c r="U34" i="2"/>
  <c r="U33" i="2"/>
  <c r="U32" i="2"/>
  <c r="U31" i="2"/>
  <c r="U30" i="2"/>
  <c r="U29" i="2"/>
  <c r="U28" i="2"/>
  <c r="H29" i="2"/>
  <c r="H30" i="2"/>
  <c r="H31" i="2"/>
  <c r="H32" i="2"/>
  <c r="H33" i="2"/>
  <c r="H34" i="2"/>
  <c r="H35" i="2"/>
  <c r="H36" i="2"/>
  <c r="H37" i="2"/>
  <c r="H28" i="2"/>
  <c r="AR25" i="31" l="1"/>
  <c r="AI36" i="27"/>
  <c r="AI35" i="27"/>
  <c r="AI34" i="27"/>
  <c r="AI33" i="27"/>
  <c r="AI32" i="27"/>
  <c r="AI31" i="27"/>
  <c r="AI30" i="27"/>
  <c r="AI29" i="27"/>
  <c r="AI28" i="27"/>
  <c r="AI27" i="27"/>
  <c r="AI25" i="27"/>
  <c r="O36" i="31"/>
  <c r="O35" i="31"/>
  <c r="O34" i="31"/>
  <c r="O33" i="31"/>
  <c r="O32" i="31"/>
  <c r="O31" i="31"/>
  <c r="O30" i="31"/>
  <c r="O29" i="31"/>
  <c r="AH29" i="31" s="1"/>
  <c r="AH26" i="31" s="1"/>
  <c r="O25" i="31"/>
  <c r="S25" i="31" s="1"/>
  <c r="M26" i="11"/>
  <c r="M29" i="11"/>
  <c r="M30" i="11"/>
  <c r="M31" i="11"/>
  <c r="M32" i="11"/>
  <c r="M33" i="11"/>
  <c r="M34" i="11"/>
  <c r="M35" i="11"/>
  <c r="M36" i="11"/>
  <c r="M37" i="11"/>
  <c r="M38" i="11"/>
  <c r="M39" i="11"/>
  <c r="M40" i="11"/>
  <c r="M41" i="11"/>
  <c r="M42" i="11"/>
  <c r="M28" i="11"/>
  <c r="AH28" i="11" s="1"/>
  <c r="AK28" i="11" s="1"/>
  <c r="M36" i="27"/>
  <c r="M35" i="27"/>
  <c r="M34" i="27"/>
  <c r="M33" i="27"/>
  <c r="M32" i="27"/>
  <c r="M31" i="27"/>
  <c r="M30" i="27"/>
  <c r="M25" i="27"/>
  <c r="AR26" i="31" l="1"/>
  <c r="U20" i="33"/>
  <c r="U23" i="33"/>
  <c r="U24" i="33"/>
  <c r="U25" i="33"/>
  <c r="U26" i="33"/>
  <c r="U22" i="33"/>
  <c r="V22" i="33" s="1"/>
  <c r="M23" i="33"/>
  <c r="M24" i="33"/>
  <c r="M25" i="33"/>
  <c r="M26" i="33"/>
  <c r="M22" i="33"/>
  <c r="F21" i="33"/>
  <c r="D21" i="33"/>
  <c r="C21" i="33"/>
  <c r="E5" i="33"/>
  <c r="L21" i="33"/>
  <c r="M21" i="33" s="1"/>
  <c r="N26" i="33"/>
  <c r="O26" i="33" s="1"/>
  <c r="N25" i="33"/>
  <c r="O25" i="33" s="1"/>
  <c r="N24" i="33"/>
  <c r="O24" i="33" s="1"/>
  <c r="N23" i="33"/>
  <c r="O23" i="33" s="1"/>
  <c r="N22" i="33"/>
  <c r="N20" i="33"/>
  <c r="O20" i="33" s="1"/>
  <c r="M20" i="33"/>
  <c r="O22" i="33" l="1"/>
  <c r="N21" i="33"/>
  <c r="I4" i="33"/>
  <c r="I6" i="33" s="1"/>
  <c r="E4" i="33"/>
  <c r="K4" i="33" l="1"/>
  <c r="E6" i="33"/>
  <c r="K6" i="33" s="1"/>
  <c r="Q37" i="11" l="1"/>
  <c r="AA37" i="11"/>
  <c r="AH37" i="11"/>
  <c r="AK37" i="11" s="1"/>
  <c r="Q38" i="11"/>
  <c r="AA38" i="11"/>
  <c r="AB38" i="11"/>
  <c r="AH38" i="11"/>
  <c r="AK38" i="11" s="1"/>
  <c r="Q39" i="11"/>
  <c r="AA39" i="11"/>
  <c r="AH39" i="11"/>
  <c r="AK39" i="11" s="1"/>
  <c r="Q40" i="11"/>
  <c r="AA40" i="11"/>
  <c r="AB40" i="11"/>
  <c r="AH40" i="11"/>
  <c r="AK40" i="11" s="1"/>
  <c r="Q41" i="11"/>
  <c r="AA41" i="11"/>
  <c r="AH41" i="11"/>
  <c r="AK41" i="11" s="1"/>
  <c r="Q42" i="11"/>
  <c r="AA42" i="11"/>
  <c r="AB42" i="11"/>
  <c r="AH42" i="11"/>
  <c r="AK42" i="11" s="1"/>
  <c r="V27" i="25"/>
  <c r="I27" i="25"/>
  <c r="R27" i="25"/>
  <c r="E27" i="25"/>
  <c r="I19" i="23"/>
  <c r="F19" i="23"/>
  <c r="S19" i="23"/>
  <c r="P19" i="23"/>
  <c r="AH36" i="11"/>
  <c r="AK36" i="11" s="1"/>
  <c r="AH35" i="11"/>
  <c r="AK35" i="11" s="1"/>
  <c r="AH34" i="11"/>
  <c r="AK34" i="11" s="1"/>
  <c r="AH33" i="11"/>
  <c r="AK33" i="11" s="1"/>
  <c r="AH32" i="11"/>
  <c r="AK32" i="11" s="1"/>
  <c r="AH31" i="11"/>
  <c r="AK31" i="11" s="1"/>
  <c r="AH30" i="11"/>
  <c r="AK30" i="11" s="1"/>
  <c r="AH29" i="11"/>
  <c r="AK29" i="11" s="1"/>
  <c r="Z28" i="11"/>
  <c r="AH26" i="11"/>
  <c r="AK26" i="11" s="1"/>
  <c r="AK25" i="31"/>
  <c r="AS36" i="27"/>
  <c r="AX36" i="27" s="1"/>
  <c r="AS35" i="27"/>
  <c r="AX35" i="27" s="1"/>
  <c r="AS34" i="27"/>
  <c r="AX34" i="27" s="1"/>
  <c r="AS33" i="27"/>
  <c r="AX33" i="27" s="1"/>
  <c r="AS32" i="27"/>
  <c r="AX32" i="27" s="1"/>
  <c r="AS31" i="27"/>
  <c r="AX31" i="27" s="1"/>
  <c r="AS30" i="27"/>
  <c r="AX30" i="27" s="1"/>
  <c r="AS29" i="27"/>
  <c r="AX29" i="27" s="1"/>
  <c r="AS28" i="27"/>
  <c r="AX28" i="27" s="1"/>
  <c r="AS27" i="27"/>
  <c r="AX27" i="27" s="1"/>
  <c r="AS25" i="27"/>
  <c r="X29" i="2"/>
  <c r="Y29" i="2"/>
  <c r="X31" i="2"/>
  <c r="Y31" i="2"/>
  <c r="X32" i="2"/>
  <c r="Y32" i="2"/>
  <c r="X33" i="2"/>
  <c r="Y33" i="2"/>
  <c r="X34" i="2"/>
  <c r="Y34" i="2"/>
  <c r="X35" i="2"/>
  <c r="Y35" i="2"/>
  <c r="X36" i="2"/>
  <c r="Y36" i="2"/>
  <c r="X37" i="2"/>
  <c r="Y37" i="2"/>
  <c r="AC37" i="11" l="1"/>
  <c r="AX26" i="27"/>
  <c r="G5" i="33"/>
  <c r="G4" i="33"/>
  <c r="G6" i="33" s="1"/>
  <c r="AB41" i="11"/>
  <c r="AB39" i="11"/>
  <c r="AC38" i="11"/>
  <c r="AB37" i="11"/>
  <c r="AC42" i="11"/>
  <c r="AC41" i="11"/>
  <c r="AC40" i="11"/>
  <c r="AC39" i="11"/>
  <c r="I5" i="33" l="1"/>
  <c r="K5" i="33" s="1"/>
  <c r="O21" i="33" l="1"/>
  <c r="C29" i="33" s="1"/>
  <c r="AQ25" i="31"/>
  <c r="AK28" i="31"/>
  <c r="AK29" i="31"/>
  <c r="AK30" i="31"/>
  <c r="AK31" i="31"/>
  <c r="AK32" i="31"/>
  <c r="AK33" i="31"/>
  <c r="AK34" i="31"/>
  <c r="AK35" i="31"/>
  <c r="AK36" i="31"/>
  <c r="Q25" i="31"/>
  <c r="AP26" i="31"/>
  <c r="AQ26" i="31" s="1"/>
  <c r="AP27" i="31"/>
  <c r="AQ27" i="31" s="1"/>
  <c r="AP28" i="31"/>
  <c r="AQ28" i="31" s="1"/>
  <c r="AP29" i="31"/>
  <c r="AQ29" i="31" s="1"/>
  <c r="AP30" i="31"/>
  <c r="AQ30" i="31" s="1"/>
  <c r="AP31" i="31"/>
  <c r="AQ31" i="31" s="1"/>
  <c r="AP32" i="31"/>
  <c r="AQ32" i="31" s="1"/>
  <c r="AP33" i="31"/>
  <c r="AQ33" i="31" s="1"/>
  <c r="AP34" i="31"/>
  <c r="AQ34" i="31" s="1"/>
  <c r="AP35" i="31"/>
  <c r="AQ35" i="31" s="1"/>
  <c r="AP36" i="31"/>
  <c r="AQ36" i="31" s="1"/>
  <c r="AP25" i="31"/>
  <c r="AK27" i="31" l="1"/>
  <c r="AK26" i="31" s="1"/>
  <c r="S26" i="31"/>
  <c r="AN26" i="28"/>
  <c r="AN27" i="28"/>
  <c r="AN28" i="28"/>
  <c r="AN29" i="28"/>
  <c r="AN30" i="28"/>
  <c r="AN31" i="28"/>
  <c r="AN32" i="28"/>
  <c r="AN33" i="28"/>
  <c r="AN34" i="28"/>
  <c r="AN35" i="28"/>
  <c r="AN36" i="28"/>
  <c r="AN25" i="28"/>
  <c r="H5" i="31" l="1"/>
  <c r="E5" i="31"/>
  <c r="AC36" i="31"/>
  <c r="AG36" i="31" s="1"/>
  <c r="K36" i="31"/>
  <c r="R36" i="31" s="1"/>
  <c r="AC35" i="31"/>
  <c r="AG35" i="31" s="1"/>
  <c r="K35" i="31"/>
  <c r="R35" i="31" s="1"/>
  <c r="AC34" i="31"/>
  <c r="AG34" i="31" s="1"/>
  <c r="K34" i="31"/>
  <c r="R34" i="31" s="1"/>
  <c r="AC33" i="31"/>
  <c r="AG33" i="31" s="1"/>
  <c r="K33" i="31"/>
  <c r="R33" i="31" s="1"/>
  <c r="AC32" i="31"/>
  <c r="AG32" i="31" s="1"/>
  <c r="K32" i="31"/>
  <c r="R32" i="31" s="1"/>
  <c r="AC31" i="31"/>
  <c r="AG31" i="31" s="1"/>
  <c r="K31" i="31"/>
  <c r="R31" i="31" s="1"/>
  <c r="AC30" i="31"/>
  <c r="AG30" i="31" s="1"/>
  <c r="K30" i="31"/>
  <c r="R30" i="31" s="1"/>
  <c r="AW29" i="31"/>
  <c r="AU29" i="31"/>
  <c r="AN29" i="31" s="1"/>
  <c r="AT29" i="31"/>
  <c r="AS29" i="31"/>
  <c r="AV29" i="31" s="1"/>
  <c r="AC29" i="31"/>
  <c r="AG29" i="31" s="1"/>
  <c r="K29" i="31"/>
  <c r="R29" i="31" s="1"/>
  <c r="BC28" i="31"/>
  <c r="AI28" i="31" s="1"/>
  <c r="AZ28" i="31"/>
  <c r="AY28" i="31"/>
  <c r="BB28" i="31" s="1"/>
  <c r="AW28" i="31"/>
  <c r="AU28" i="31"/>
  <c r="AN28" i="31" s="1"/>
  <c r="AT28" i="31"/>
  <c r="AS28" i="31"/>
  <c r="AV28" i="31" s="1"/>
  <c r="AC28" i="31"/>
  <c r="AG28" i="31" s="1"/>
  <c r="K28" i="31"/>
  <c r="R28" i="31" s="1"/>
  <c r="BA28" i="31" s="1"/>
  <c r="BC27" i="31"/>
  <c r="AI27" i="31" s="1"/>
  <c r="AZ27" i="31"/>
  <c r="AY27" i="31"/>
  <c r="BB27" i="31" s="1"/>
  <c r="AW27" i="31"/>
  <c r="T27" i="31" s="1"/>
  <c r="AU27" i="31"/>
  <c r="AT27" i="31"/>
  <c r="AS27" i="31"/>
  <c r="AV27" i="31" s="1"/>
  <c r="AC27" i="31"/>
  <c r="AG27" i="31" s="1"/>
  <c r="AJ24" i="31" s="1"/>
  <c r="D4" i="31" s="1"/>
  <c r="K27" i="31"/>
  <c r="R27" i="31" s="1"/>
  <c r="BA27" i="31" s="1"/>
  <c r="BD26" i="31" s="1"/>
  <c r="AG26" i="31"/>
  <c r="Y26" i="31"/>
  <c r="R26" i="31"/>
  <c r="Q26" i="31"/>
  <c r="H26" i="31"/>
  <c r="BC25" i="31"/>
  <c r="AZ25" i="31"/>
  <c r="AY25" i="31"/>
  <c r="AW25" i="31"/>
  <c r="AU25" i="31"/>
  <c r="AN25" i="31" s="1"/>
  <c r="AT25" i="31"/>
  <c r="AS25" i="31"/>
  <c r="AC25" i="31"/>
  <c r="AG25" i="31" s="1"/>
  <c r="AV25" i="31"/>
  <c r="K25" i="31"/>
  <c r="R25" i="31" s="1"/>
  <c r="BM17" i="31"/>
  <c r="BI17" i="31"/>
  <c r="BH17" i="31"/>
  <c r="BM14" i="31"/>
  <c r="BI14" i="31"/>
  <c r="BH14" i="31"/>
  <c r="BM12" i="31"/>
  <c r="BI12" i="31"/>
  <c r="BH12" i="31"/>
  <c r="BM6" i="31"/>
  <c r="BI6" i="31"/>
  <c r="BH6" i="31"/>
  <c r="BI4" i="31"/>
  <c r="BH4" i="31"/>
  <c r="AN27" i="31" l="1"/>
  <c r="AX27" i="31"/>
  <c r="AX26" i="31" s="1"/>
  <c r="AO26" i="31" s="1"/>
  <c r="W3" i="31" s="1"/>
  <c r="E4" i="31"/>
  <c r="AL28" i="31"/>
  <c r="AL27" i="31"/>
  <c r="BA25" i="31"/>
  <c r="AF25" i="31" s="1"/>
  <c r="K5" i="31"/>
  <c r="N5" i="31" s="1"/>
  <c r="T25" i="31"/>
  <c r="BA33" i="31"/>
  <c r="BA29" i="31"/>
  <c r="BA31" i="31"/>
  <c r="BA35" i="31"/>
  <c r="BC36" i="31"/>
  <c r="AI36" i="31" s="1"/>
  <c r="AY36" i="31"/>
  <c r="BB36" i="31" s="1"/>
  <c r="AT36" i="31"/>
  <c r="AZ35" i="31"/>
  <c r="AW35" i="31"/>
  <c r="AU35" i="31"/>
  <c r="AN35" i="31" s="1"/>
  <c r="AS35" i="31"/>
  <c r="AV35" i="31" s="1"/>
  <c r="BC34" i="31"/>
  <c r="AI34" i="31" s="1"/>
  <c r="AY34" i="31"/>
  <c r="BB34" i="31" s="1"/>
  <c r="AT34" i="31"/>
  <c r="AZ33" i="31"/>
  <c r="AW33" i="31"/>
  <c r="AU33" i="31"/>
  <c r="AN33" i="31" s="1"/>
  <c r="AS33" i="31"/>
  <c r="AV33" i="31" s="1"/>
  <c r="BC32" i="31"/>
  <c r="AI32" i="31" s="1"/>
  <c r="AY32" i="31"/>
  <c r="BB32" i="31" s="1"/>
  <c r="AT32" i="31"/>
  <c r="AZ31" i="31"/>
  <c r="AW31" i="31"/>
  <c r="AU31" i="31"/>
  <c r="AN31" i="31" s="1"/>
  <c r="AS31" i="31"/>
  <c r="AV31" i="31" s="1"/>
  <c r="BC30" i="31"/>
  <c r="AI30" i="31" s="1"/>
  <c r="AY30" i="31"/>
  <c r="BB30" i="31" s="1"/>
  <c r="AT30" i="31"/>
  <c r="AZ29" i="31"/>
  <c r="AU30" i="31"/>
  <c r="AN30" i="31" s="1"/>
  <c r="AZ30" i="31"/>
  <c r="AU32" i="31"/>
  <c r="AN32" i="31" s="1"/>
  <c r="AZ32" i="31"/>
  <c r="AU34" i="31"/>
  <c r="AN34" i="31" s="1"/>
  <c r="AZ34" i="31"/>
  <c r="AU36" i="31"/>
  <c r="AN36" i="31" s="1"/>
  <c r="AZ36" i="31"/>
  <c r="AJ28" i="31"/>
  <c r="AY29" i="31"/>
  <c r="BB29" i="31" s="1"/>
  <c r="BC29" i="31"/>
  <c r="AI29" i="31" s="1"/>
  <c r="AL29" i="31" s="1"/>
  <c r="BA30" i="31"/>
  <c r="AS30" i="31"/>
  <c r="AV30" i="31" s="1"/>
  <c r="AW30" i="31"/>
  <c r="AL30" i="31" s="1"/>
  <c r="AT31" i="31"/>
  <c r="AY31" i="31"/>
  <c r="BB31" i="31" s="1"/>
  <c r="BC31" i="31"/>
  <c r="AI31" i="31" s="1"/>
  <c r="BA32" i="31"/>
  <c r="AS32" i="31"/>
  <c r="AV32" i="31" s="1"/>
  <c r="AW32" i="31"/>
  <c r="AL32" i="31" s="1"/>
  <c r="AT33" i="31"/>
  <c r="AY33" i="31"/>
  <c r="BB33" i="31" s="1"/>
  <c r="BC33" i="31"/>
  <c r="AI33" i="31" s="1"/>
  <c r="BA34" i="31"/>
  <c r="AS34" i="31"/>
  <c r="AV34" i="31" s="1"/>
  <c r="AW34" i="31"/>
  <c r="AL34" i="31" s="1"/>
  <c r="AT35" i="31"/>
  <c r="AY35" i="31"/>
  <c r="BB35" i="31" s="1"/>
  <c r="BC35" i="31"/>
  <c r="AI35" i="31" s="1"/>
  <c r="BA36" i="31"/>
  <c r="AS36" i="31"/>
  <c r="AV36" i="31" s="1"/>
  <c r="AW36" i="31"/>
  <c r="AL36" i="31" s="1"/>
  <c r="J36" i="28"/>
  <c r="Q36" i="28"/>
  <c r="R36" i="28"/>
  <c r="Z36" i="28"/>
  <c r="AG36" i="28" s="1"/>
  <c r="R27" i="18"/>
  <c r="R26" i="18"/>
  <c r="R25" i="18"/>
  <c r="R24" i="18"/>
  <c r="R23" i="18"/>
  <c r="R22" i="18"/>
  <c r="R21" i="18"/>
  <c r="R20" i="18"/>
  <c r="Z16" i="18"/>
  <c r="AA16" i="18" s="1"/>
  <c r="Z19" i="18"/>
  <c r="AA19" i="18" s="1"/>
  <c r="R19" i="18" s="1"/>
  <c r="Z20" i="18"/>
  <c r="AA20" i="18" s="1"/>
  <c r="Z21" i="18"/>
  <c r="AA21" i="18" s="1"/>
  <c r="Z22" i="18"/>
  <c r="AA22" i="18" s="1"/>
  <c r="Z23" i="18"/>
  <c r="AA23" i="18" s="1"/>
  <c r="Z24" i="18"/>
  <c r="AA24" i="18" s="1"/>
  <c r="Z25" i="18"/>
  <c r="AA25" i="18" s="1"/>
  <c r="Z18" i="18"/>
  <c r="AA18" i="18" s="1"/>
  <c r="AL31" i="31" l="1"/>
  <c r="AL35" i="31"/>
  <c r="AL33" i="31"/>
  <c r="BB26" i="31"/>
  <c r="AV26" i="31"/>
  <c r="E7" i="31" s="1"/>
  <c r="AI25" i="31"/>
  <c r="AL25" i="31" s="1"/>
  <c r="BB25" i="31"/>
  <c r="AJ29" i="31"/>
  <c r="AJ33" i="31"/>
  <c r="AJ31" i="31"/>
  <c r="AJ35" i="31"/>
  <c r="AJ27" i="31"/>
  <c r="AJ26" i="31" s="1"/>
  <c r="AJ25" i="31"/>
  <c r="T26" i="31"/>
  <c r="Z35" i="28"/>
  <c r="AG35" i="28" s="1"/>
  <c r="Q35" i="28"/>
  <c r="J35" i="28"/>
  <c r="R35" i="28" s="1"/>
  <c r="Z34" i="28"/>
  <c r="AG34" i="28" s="1"/>
  <c r="Q34" i="28"/>
  <c r="J34" i="28"/>
  <c r="R34" i="28" s="1"/>
  <c r="Z33" i="28"/>
  <c r="AG33" i="28" s="1"/>
  <c r="Q33" i="28"/>
  <c r="J33" i="28"/>
  <c r="R33" i="28" s="1"/>
  <c r="Z32" i="28"/>
  <c r="AG32" i="28" s="1"/>
  <c r="Q32" i="28"/>
  <c r="J32" i="28"/>
  <c r="R32" i="28" s="1"/>
  <c r="Z31" i="28"/>
  <c r="AG31" i="28" s="1"/>
  <c r="Q31" i="28"/>
  <c r="J31" i="28"/>
  <c r="R31" i="28" s="1"/>
  <c r="Z30" i="28"/>
  <c r="AG30" i="28" s="1"/>
  <c r="Q30" i="28"/>
  <c r="J30" i="28"/>
  <c r="R30" i="28" s="1"/>
  <c r="AT29" i="28"/>
  <c r="AR29" i="28"/>
  <c r="P29" i="28" s="1"/>
  <c r="AQ29" i="28"/>
  <c r="AP29" i="28"/>
  <c r="Z29" i="28"/>
  <c r="AG29" i="28" s="1"/>
  <c r="Q29" i="28"/>
  <c r="J29" i="28"/>
  <c r="R29" i="28" s="1"/>
  <c r="AZ28" i="28"/>
  <c r="AW28" i="28"/>
  <c r="AV28" i="28"/>
  <c r="AT28" i="28"/>
  <c r="AR28" i="28"/>
  <c r="P28" i="28" s="1"/>
  <c r="AQ28" i="28"/>
  <c r="AP28" i="28"/>
  <c r="Z28" i="28"/>
  <c r="AG28" i="28" s="1"/>
  <c r="Q28" i="28"/>
  <c r="J28" i="28"/>
  <c r="R28" i="28" s="1"/>
  <c r="AX28" i="28" s="1"/>
  <c r="AZ27" i="28"/>
  <c r="AW27" i="28"/>
  <c r="AV27" i="28"/>
  <c r="AT27" i="28"/>
  <c r="AR27" i="28"/>
  <c r="P27" i="28" s="1"/>
  <c r="AQ27" i="28"/>
  <c r="AP27" i="28"/>
  <c r="Z27" i="28"/>
  <c r="AG27" i="28" s="1"/>
  <c r="Q27" i="28"/>
  <c r="J27" i="28"/>
  <c r="R27" i="28" s="1"/>
  <c r="AX27" i="28" s="1"/>
  <c r="AG26" i="28"/>
  <c r="V26" i="28"/>
  <c r="R26" i="28"/>
  <c r="G26" i="28"/>
  <c r="AZ25" i="28"/>
  <c r="AW25" i="28"/>
  <c r="AV25" i="28"/>
  <c r="AT25" i="28"/>
  <c r="AR25" i="28"/>
  <c r="P25" i="28" s="1"/>
  <c r="AQ25" i="28"/>
  <c r="AP25" i="28"/>
  <c r="Z25" i="28"/>
  <c r="AG25" i="28" s="1"/>
  <c r="Q25" i="28"/>
  <c r="AS25" i="28" s="1"/>
  <c r="J25" i="28"/>
  <c r="R25" i="28" s="1"/>
  <c r="AX25" i="28" s="1"/>
  <c r="V18" i="28"/>
  <c r="BL17" i="28"/>
  <c r="BH17" i="28"/>
  <c r="BG17" i="28"/>
  <c r="BF17" i="28"/>
  <c r="AW42" i="28" s="1"/>
  <c r="BL14" i="28"/>
  <c r="BH14" i="28"/>
  <c r="BG14" i="28"/>
  <c r="BL12" i="28"/>
  <c r="BH12" i="28"/>
  <c r="BG12" i="28"/>
  <c r="BL6" i="28"/>
  <c r="BH6" i="28"/>
  <c r="BG6" i="28"/>
  <c r="BH4" i="28"/>
  <c r="BG4" i="28"/>
  <c r="Q27" i="2"/>
  <c r="D27" i="2"/>
  <c r="M26" i="2"/>
  <c r="AA26" i="2" s="1"/>
  <c r="AD29" i="2"/>
  <c r="AE29" i="2"/>
  <c r="AD30" i="2"/>
  <c r="AE30" i="2"/>
  <c r="AD31" i="2"/>
  <c r="AE31" i="2"/>
  <c r="AD32" i="2"/>
  <c r="AE32" i="2"/>
  <c r="AD33" i="2"/>
  <c r="AE33" i="2"/>
  <c r="AD34" i="2"/>
  <c r="AE34" i="2"/>
  <c r="AD35" i="2"/>
  <c r="AE35" i="2"/>
  <c r="AD36" i="2"/>
  <c r="AE36" i="2"/>
  <c r="AD37" i="2"/>
  <c r="AE37" i="2"/>
  <c r="AE28" i="2"/>
  <c r="AD28" i="2"/>
  <c r="M29" i="2"/>
  <c r="AA29" i="2" s="1"/>
  <c r="M30" i="2"/>
  <c r="M31" i="2"/>
  <c r="AA31" i="2" s="1"/>
  <c r="M32" i="2"/>
  <c r="AA32" i="2" s="1"/>
  <c r="M33" i="2"/>
  <c r="AA33" i="2" s="1"/>
  <c r="M34" i="2"/>
  <c r="AA34" i="2" s="1"/>
  <c r="M35" i="2"/>
  <c r="AA35" i="2" s="1"/>
  <c r="M36" i="2"/>
  <c r="AA36" i="2" s="1"/>
  <c r="M37" i="2"/>
  <c r="AA37" i="2" s="1"/>
  <c r="M28" i="2"/>
  <c r="BG17" i="27"/>
  <c r="BG14" i="27"/>
  <c r="BG12" i="27"/>
  <c r="BG6" i="27"/>
  <c r="BC17" i="27"/>
  <c r="BC14" i="27"/>
  <c r="BB17" i="27"/>
  <c r="BB14" i="27"/>
  <c r="BC12" i="27"/>
  <c r="BB12" i="27"/>
  <c r="BC6" i="27"/>
  <c r="BB6" i="27"/>
  <c r="V18" i="27"/>
  <c r="P28" i="27"/>
  <c r="P29" i="27"/>
  <c r="P30" i="27"/>
  <c r="P31" i="27"/>
  <c r="P32" i="27"/>
  <c r="P33" i="27"/>
  <c r="P34" i="27"/>
  <c r="P35" i="27"/>
  <c r="P36" i="27"/>
  <c r="P27" i="27"/>
  <c r="P25" i="27"/>
  <c r="Z36" i="27"/>
  <c r="AD36" i="27" s="1"/>
  <c r="Z35" i="27"/>
  <c r="AD35" i="27" s="1"/>
  <c r="Z34" i="27"/>
  <c r="AD34" i="27" s="1"/>
  <c r="Z33" i="27"/>
  <c r="AD33" i="27" s="1"/>
  <c r="Z32" i="27"/>
  <c r="AD32" i="27" s="1"/>
  <c r="Z31" i="27"/>
  <c r="AD31" i="27" s="1"/>
  <c r="Z30" i="27"/>
  <c r="AD30" i="27" s="1"/>
  <c r="Z29" i="27"/>
  <c r="AD26" i="27"/>
  <c r="H36" i="27"/>
  <c r="Q36" i="27" s="1"/>
  <c r="H35" i="27"/>
  <c r="Q35" i="27" s="1"/>
  <c r="H34" i="27"/>
  <c r="Q34" i="27" s="1"/>
  <c r="H33" i="27"/>
  <c r="Q33" i="27" s="1"/>
  <c r="H32" i="27"/>
  <c r="Q32" i="27" s="1"/>
  <c r="H31" i="27"/>
  <c r="Q31" i="27" s="1"/>
  <c r="H30" i="27"/>
  <c r="Q30" i="27" s="1"/>
  <c r="H29" i="27"/>
  <c r="Q29" i="27" s="1"/>
  <c r="Q26" i="27"/>
  <c r="AL26" i="31" l="1"/>
  <c r="E6" i="31"/>
  <c r="AD29" i="27"/>
  <c r="AI26" i="27"/>
  <c r="AA28" i="2"/>
  <c r="N26" i="2"/>
  <c r="AA30" i="2"/>
  <c r="AA27" i="2" s="1"/>
  <c r="F7" i="2" s="1"/>
  <c r="V28" i="2"/>
  <c r="X28" i="2" s="1"/>
  <c r="AN26" i="31"/>
  <c r="AJ32" i="31"/>
  <c r="AJ30" i="31"/>
  <c r="AF26" i="31"/>
  <c r="AJ36" i="31"/>
  <c r="AJ34" i="31"/>
  <c r="Q26" i="28"/>
  <c r="H4" i="28" s="1"/>
  <c r="AX37" i="28"/>
  <c r="AX39" i="28"/>
  <c r="AX29" i="28"/>
  <c r="AF25" i="28"/>
  <c r="AI25" i="28" s="1"/>
  <c r="AF29" i="28"/>
  <c r="AX30" i="28"/>
  <c r="AW31" i="28"/>
  <c r="AR33" i="28"/>
  <c r="P33" i="28" s="1"/>
  <c r="AX34" i="28"/>
  <c r="AW35" i="28"/>
  <c r="AW38" i="28"/>
  <c r="AX41" i="28"/>
  <c r="AW29" i="28"/>
  <c r="AR31" i="28"/>
  <c r="P31" i="28" s="1"/>
  <c r="AX32" i="28"/>
  <c r="AW33" i="28"/>
  <c r="AR35" i="28"/>
  <c r="P35" i="28" s="1"/>
  <c r="AX36" i="28"/>
  <c r="AR40" i="28"/>
  <c r="AJ25" i="28"/>
  <c r="AF28" i="28"/>
  <c r="AY28" i="28" s="1"/>
  <c r="AF27" i="28"/>
  <c r="AZ46" i="28"/>
  <c r="AV46" i="28"/>
  <c r="AQ46" i="28"/>
  <c r="AW45" i="28"/>
  <c r="AT45" i="28"/>
  <c r="AR45" i="28"/>
  <c r="AP45" i="28"/>
  <c r="AS45" i="28" s="1"/>
  <c r="AZ44" i="28"/>
  <c r="AV44" i="28"/>
  <c r="AQ44" i="28"/>
  <c r="AW43" i="28"/>
  <c r="AT43" i="28"/>
  <c r="AR43" i="28"/>
  <c r="AP43" i="28"/>
  <c r="AS43" i="28" s="1"/>
  <c r="AZ42" i="28"/>
  <c r="AV42" i="28"/>
  <c r="AQ42" i="28"/>
  <c r="AW41" i="28"/>
  <c r="AT41" i="28"/>
  <c r="AR41" i="28"/>
  <c r="AP41" i="28"/>
  <c r="AS41" i="28" s="1"/>
  <c r="AZ40" i="28"/>
  <c r="AV40" i="28"/>
  <c r="AQ40" i="28"/>
  <c r="AW39" i="28"/>
  <c r="AT39" i="28"/>
  <c r="AR39" i="28"/>
  <c r="AP39" i="28"/>
  <c r="AS39" i="28" s="1"/>
  <c r="AZ38" i="28"/>
  <c r="AV38" i="28"/>
  <c r="AQ38" i="28"/>
  <c r="AW37" i="28"/>
  <c r="AT37" i="28"/>
  <c r="AR37" i="28"/>
  <c r="AT46" i="28"/>
  <c r="AP46" i="28"/>
  <c r="AS46" i="28" s="1"/>
  <c r="AZ45" i="28"/>
  <c r="AV45" i="28"/>
  <c r="AQ45" i="28"/>
  <c r="AT44" i="28"/>
  <c r="AP44" i="28"/>
  <c r="AS44" i="28" s="1"/>
  <c r="AZ43" i="28"/>
  <c r="AV43" i="28"/>
  <c r="AQ43" i="28"/>
  <c r="AT42" i="28"/>
  <c r="AP42" i="28"/>
  <c r="AS42" i="28" s="1"/>
  <c r="AZ41" i="28"/>
  <c r="AV41" i="28"/>
  <c r="AQ41" i="28"/>
  <c r="AT40" i="28"/>
  <c r="AP40" i="28"/>
  <c r="AS40" i="28" s="1"/>
  <c r="AZ39" i="28"/>
  <c r="AV39" i="28"/>
  <c r="AQ39" i="28"/>
  <c r="AT38" i="28"/>
  <c r="AP38" i="28"/>
  <c r="AZ37" i="28"/>
  <c r="AV37" i="28"/>
  <c r="AQ37" i="28"/>
  <c r="AW36" i="28"/>
  <c r="AT36" i="28"/>
  <c r="T36" i="28" s="1"/>
  <c r="AR36" i="28"/>
  <c r="P36" i="28" s="1"/>
  <c r="AF36" i="28" s="1"/>
  <c r="AP36" i="28"/>
  <c r="AS36" i="28" s="1"/>
  <c r="AZ35" i="28"/>
  <c r="AV35" i="28"/>
  <c r="AQ35" i="28"/>
  <c r="AW34" i="28"/>
  <c r="AT34" i="28"/>
  <c r="T34" i="28" s="1"/>
  <c r="AR34" i="28"/>
  <c r="P34" i="28" s="1"/>
  <c r="AF34" i="28" s="1"/>
  <c r="AJ34" i="28" s="1"/>
  <c r="AP34" i="28"/>
  <c r="AS34" i="28" s="1"/>
  <c r="AZ33" i="28"/>
  <c r="AV33" i="28"/>
  <c r="AQ33" i="28"/>
  <c r="AW32" i="28"/>
  <c r="AT32" i="28"/>
  <c r="T32" i="28" s="1"/>
  <c r="AR32" i="28"/>
  <c r="P32" i="28" s="1"/>
  <c r="AP32" i="28"/>
  <c r="AS32" i="28" s="1"/>
  <c r="AZ31" i="28"/>
  <c r="AV31" i="28"/>
  <c r="AQ31" i="28"/>
  <c r="AW30" i="28"/>
  <c r="AT30" i="28"/>
  <c r="T30" i="28" s="1"/>
  <c r="AR30" i="28"/>
  <c r="P30" i="28" s="1"/>
  <c r="AF30" i="28" s="1"/>
  <c r="AJ30" i="28" s="1"/>
  <c r="AP30" i="28"/>
  <c r="AS30" i="28" s="1"/>
  <c r="AZ29" i="28"/>
  <c r="AI29" i="28" s="1"/>
  <c r="AV29" i="28"/>
  <c r="AW46" i="28"/>
  <c r="AR46" i="28"/>
  <c r="AW44" i="28"/>
  <c r="AR44" i="28"/>
  <c r="AS27" i="28"/>
  <c r="T28" i="28"/>
  <c r="AS28" i="28"/>
  <c r="AS29" i="28"/>
  <c r="AJ29" i="28"/>
  <c r="AQ30" i="28"/>
  <c r="AV30" i="28"/>
  <c r="AZ30" i="28"/>
  <c r="AX31" i="28"/>
  <c r="AP31" i="28"/>
  <c r="AS31" i="28" s="1"/>
  <c r="AT31" i="28"/>
  <c r="T31" i="28" s="1"/>
  <c r="AQ32" i="28"/>
  <c r="AV32" i="28"/>
  <c r="AZ32" i="28"/>
  <c r="AX33" i="28"/>
  <c r="AP33" i="28"/>
  <c r="AS33" i="28" s="1"/>
  <c r="AT33" i="28"/>
  <c r="AQ34" i="28"/>
  <c r="AV34" i="28"/>
  <c r="AZ34" i="28"/>
  <c r="AX35" i="28"/>
  <c r="AP35" i="28"/>
  <c r="AS35" i="28" s="1"/>
  <c r="AT35" i="28"/>
  <c r="T35" i="28" s="1"/>
  <c r="AQ36" i="28"/>
  <c r="AV36" i="28"/>
  <c r="AZ36" i="28"/>
  <c r="AP37" i="28"/>
  <c r="AS37" i="28" s="1"/>
  <c r="AS38" i="28"/>
  <c r="AR38" i="28"/>
  <c r="AW40" i="28"/>
  <c r="AR42" i="28"/>
  <c r="AX43" i="28"/>
  <c r="AX45" i="28"/>
  <c r="T25" i="28"/>
  <c r="AL25" i="28" s="1"/>
  <c r="T27" i="28"/>
  <c r="T29" i="28"/>
  <c r="T33" i="28"/>
  <c r="AX38" i="28"/>
  <c r="AX40" i="28"/>
  <c r="AX42" i="28"/>
  <c r="AX44" i="28"/>
  <c r="AX46" i="28"/>
  <c r="M27" i="2"/>
  <c r="N28" i="2"/>
  <c r="N36" i="2"/>
  <c r="N34" i="2"/>
  <c r="N32" i="2"/>
  <c r="N30" i="2"/>
  <c r="AB28" i="2"/>
  <c r="N37" i="2"/>
  <c r="N35" i="2"/>
  <c r="N33" i="2"/>
  <c r="N31" i="2"/>
  <c r="N29" i="2"/>
  <c r="V37" i="2"/>
  <c r="V36" i="2"/>
  <c r="V35" i="2"/>
  <c r="V34" i="2"/>
  <c r="V33" i="2"/>
  <c r="V32" i="2"/>
  <c r="V31" i="2"/>
  <c r="V30" i="2"/>
  <c r="X30" i="2" s="1"/>
  <c r="V29" i="2"/>
  <c r="P26" i="27"/>
  <c r="W28" i="2" l="1"/>
  <c r="Y28" i="2" s="1"/>
  <c r="H4" i="31"/>
  <c r="K4" i="31" s="1"/>
  <c r="N4" i="31" s="1"/>
  <c r="H7" i="31"/>
  <c r="K7" i="31" s="1"/>
  <c r="N7" i="31" s="1"/>
  <c r="AI26" i="31"/>
  <c r="AI36" i="28"/>
  <c r="AL36" i="28" s="1"/>
  <c r="AJ36" i="28"/>
  <c r="AY29" i="28"/>
  <c r="AF32" i="28"/>
  <c r="AI32" i="28" s="1"/>
  <c r="AL32" i="28" s="1"/>
  <c r="AF33" i="28"/>
  <c r="AF31" i="28"/>
  <c r="AI31" i="28" s="1"/>
  <c r="AL31" i="28" s="1"/>
  <c r="AY25" i="28"/>
  <c r="AY36" i="28"/>
  <c r="AF35" i="28"/>
  <c r="AI35" i="28" s="1"/>
  <c r="AL35" i="28" s="1"/>
  <c r="AJ28" i="28"/>
  <c r="AI28" i="28"/>
  <c r="AL28" i="28" s="1"/>
  <c r="AI33" i="28"/>
  <c r="AL33" i="28" s="1"/>
  <c r="AY33" i="28"/>
  <c r="AJ33" i="28"/>
  <c r="T26" i="28"/>
  <c r="H6" i="28" s="1"/>
  <c r="AY42" i="28"/>
  <c r="AS26" i="28"/>
  <c r="H7" i="28" s="1"/>
  <c r="AY44" i="28"/>
  <c r="AY37" i="28"/>
  <c r="AY41" i="28"/>
  <c r="AY40" i="28"/>
  <c r="P26" i="28"/>
  <c r="AL29" i="28"/>
  <c r="AJ32" i="28"/>
  <c r="AY30" i="28"/>
  <c r="AI30" i="28"/>
  <c r="AL30" i="28" s="1"/>
  <c r="AY34" i="28"/>
  <c r="AI34" i="28"/>
  <c r="AL34" i="28" s="1"/>
  <c r="AY39" i="28"/>
  <c r="AI27" i="28"/>
  <c r="AJ27" i="28"/>
  <c r="AY27" i="28"/>
  <c r="V27" i="2"/>
  <c r="X27" i="2" s="1"/>
  <c r="Y27" i="2" s="1"/>
  <c r="N27" i="2"/>
  <c r="W30" i="2"/>
  <c r="Y30" i="2" s="1"/>
  <c r="AB30" i="2"/>
  <c r="W32" i="2"/>
  <c r="AB32" i="2"/>
  <c r="W34" i="2"/>
  <c r="AB34" i="2"/>
  <c r="W36" i="2"/>
  <c r="AB36" i="2"/>
  <c r="AB29" i="2"/>
  <c r="W29" i="2"/>
  <c r="AB31" i="2"/>
  <c r="W31" i="2"/>
  <c r="AB33" i="2"/>
  <c r="W33" i="2"/>
  <c r="AB35" i="2"/>
  <c r="W35" i="2"/>
  <c r="AB37" i="2"/>
  <c r="W37" i="2"/>
  <c r="E4" i="27"/>
  <c r="H6" i="31" l="1"/>
  <c r="K6" i="31" s="1"/>
  <c r="N6" i="31" s="1"/>
  <c r="AY32" i="28"/>
  <c r="AY31" i="28"/>
  <c r="AY46" i="28"/>
  <c r="AJ31" i="28"/>
  <c r="AF26" i="28"/>
  <c r="J4" i="28" s="1"/>
  <c r="M4" i="28" s="1"/>
  <c r="O4" i="28" s="1"/>
  <c r="AY35" i="28"/>
  <c r="AJ35" i="28"/>
  <c r="AY38" i="28"/>
  <c r="AY45" i="28"/>
  <c r="AY43" i="28"/>
  <c r="AL27" i="28"/>
  <c r="AB27" i="2"/>
  <c r="G7" i="2" s="1"/>
  <c r="W27" i="2"/>
  <c r="AL26" i="28" l="1"/>
  <c r="AI26" i="28"/>
  <c r="J6" i="28" s="1"/>
  <c r="M6" i="28" s="1"/>
  <c r="O6" i="28" s="1"/>
  <c r="AY26" i="28"/>
  <c r="J7" i="28" s="1"/>
  <c r="M7" i="28" s="1"/>
  <c r="O7" i="28" s="1"/>
  <c r="AJ26" i="28"/>
  <c r="V3" i="28" s="1"/>
  <c r="BC4" i="27" l="1"/>
  <c r="BB4" i="27"/>
  <c r="V26" i="27"/>
  <c r="E26" i="27"/>
  <c r="Z27" i="27" l="1"/>
  <c r="AD27" i="27" s="1"/>
  <c r="AF24" i="27" s="1"/>
  <c r="D4" i="27" s="1"/>
  <c r="AQ27" i="27"/>
  <c r="AU27" i="27"/>
  <c r="AR28" i="27"/>
  <c r="AU25" i="27"/>
  <c r="AO27" i="27"/>
  <c r="R27" i="27" s="1"/>
  <c r="H28" i="27"/>
  <c r="H25" i="27"/>
  <c r="Z28" i="27"/>
  <c r="AD28" i="27" s="1"/>
  <c r="Z25" i="27"/>
  <c r="AD25" i="27" s="1"/>
  <c r="AR27" i="27"/>
  <c r="AQ28" i="27"/>
  <c r="AU28" i="27"/>
  <c r="AO28" i="27"/>
  <c r="R28" i="27" s="1"/>
  <c r="H27" i="27"/>
  <c r="AO25" i="27"/>
  <c r="AK27" i="27"/>
  <c r="AN27" i="27" s="1"/>
  <c r="AM27" i="27"/>
  <c r="O27" i="27" s="1"/>
  <c r="AL28" i="27"/>
  <c r="AL27" i="27"/>
  <c r="AK28" i="27"/>
  <c r="AN28" i="27" s="1"/>
  <c r="AM28" i="27"/>
  <c r="O28" i="27" s="1"/>
  <c r="AL25" i="27"/>
  <c r="AR25" i="27"/>
  <c r="AR29" i="27"/>
  <c r="AU29" i="27"/>
  <c r="AR30" i="27"/>
  <c r="AU30" i="27"/>
  <c r="AR31" i="27"/>
  <c r="AU31" i="27"/>
  <c r="AR32" i="27"/>
  <c r="AU32" i="27"/>
  <c r="AR33" i="27"/>
  <c r="AU33" i="27"/>
  <c r="AR34" i="27"/>
  <c r="AU34" i="27"/>
  <c r="AR35" i="27"/>
  <c r="AU35" i="27"/>
  <c r="AR36" i="27"/>
  <c r="AU36" i="27"/>
  <c r="AR37" i="27"/>
  <c r="AU37" i="27"/>
  <c r="AR38" i="27"/>
  <c r="AU38" i="27"/>
  <c r="AR39" i="27"/>
  <c r="AU39" i="27"/>
  <c r="AR40" i="27"/>
  <c r="AU40" i="27"/>
  <c r="AR41" i="27"/>
  <c r="AU41" i="27"/>
  <c r="AR42" i="27"/>
  <c r="AU42" i="27"/>
  <c r="AR43" i="27"/>
  <c r="AU43" i="27"/>
  <c r="AR44" i="27"/>
  <c r="AU44" i="27"/>
  <c r="AR45" i="27"/>
  <c r="AU45" i="27"/>
  <c r="AR46" i="27"/>
  <c r="AU46" i="27"/>
  <c r="AO30" i="27"/>
  <c r="R30" i="27" s="1"/>
  <c r="AO32" i="27"/>
  <c r="R32" i="27" s="1"/>
  <c r="AO34" i="27"/>
  <c r="R34" i="27" s="1"/>
  <c r="AO36" i="27"/>
  <c r="R36" i="27" s="1"/>
  <c r="AO38" i="27"/>
  <c r="AO40" i="27"/>
  <c r="AO42" i="27"/>
  <c r="AO44" i="27"/>
  <c r="AO46" i="27"/>
  <c r="AQ29" i="27"/>
  <c r="AQ30" i="27"/>
  <c r="AQ31" i="27"/>
  <c r="AQ32" i="27"/>
  <c r="AQ33" i="27"/>
  <c r="AQ34" i="27"/>
  <c r="AQ35" i="27"/>
  <c r="AQ36" i="27"/>
  <c r="AQ37" i="27"/>
  <c r="AQ38" i="27"/>
  <c r="AQ39" i="27"/>
  <c r="AQ40" i="27"/>
  <c r="AQ41" i="27"/>
  <c r="AQ42" i="27"/>
  <c r="AQ43" i="27"/>
  <c r="AQ44" i="27"/>
  <c r="AQ45" i="27"/>
  <c r="AQ46" i="27"/>
  <c r="AO31" i="27"/>
  <c r="R31" i="27" s="1"/>
  <c r="AO35" i="27"/>
  <c r="R35" i="27" s="1"/>
  <c r="AO39" i="27"/>
  <c r="AO43" i="27"/>
  <c r="AS38" i="27"/>
  <c r="AS40" i="27"/>
  <c r="AS42" i="27"/>
  <c r="AS44" i="27"/>
  <c r="AS46" i="27"/>
  <c r="AO29" i="27"/>
  <c r="R29" i="27" s="1"/>
  <c r="AO33" i="27"/>
  <c r="R33" i="27" s="1"/>
  <c r="AO37" i="27"/>
  <c r="AO41" i="27"/>
  <c r="AO45" i="27"/>
  <c r="AS37" i="27"/>
  <c r="AS41" i="27"/>
  <c r="AS45" i="27"/>
  <c r="AS39" i="27"/>
  <c r="AS43" i="27"/>
  <c r="AK29" i="27"/>
  <c r="AN29" i="27" s="1"/>
  <c r="AM29" i="27"/>
  <c r="O29" i="27" s="1"/>
  <c r="AL30" i="27"/>
  <c r="AK31" i="27"/>
  <c r="AN31" i="27" s="1"/>
  <c r="AM31" i="27"/>
  <c r="O31" i="27" s="1"/>
  <c r="AL32" i="27"/>
  <c r="AK33" i="27"/>
  <c r="AN33" i="27" s="1"/>
  <c r="AM33" i="27"/>
  <c r="O33" i="27" s="1"/>
  <c r="AL34" i="27"/>
  <c r="AK35" i="27"/>
  <c r="AN35" i="27" s="1"/>
  <c r="AM35" i="27"/>
  <c r="O35" i="27" s="1"/>
  <c r="AL36" i="27"/>
  <c r="AK37" i="27"/>
  <c r="AN37" i="27" s="1"/>
  <c r="AM37" i="27"/>
  <c r="AL38" i="27"/>
  <c r="AK39" i="27"/>
  <c r="AN39" i="27" s="1"/>
  <c r="AM39" i="27"/>
  <c r="AL40" i="27"/>
  <c r="AK41" i="27"/>
  <c r="AN41" i="27" s="1"/>
  <c r="AM41" i="27"/>
  <c r="AL42" i="27"/>
  <c r="AK43" i="27"/>
  <c r="AN43" i="27" s="1"/>
  <c r="AM43" i="27"/>
  <c r="AL44" i="27"/>
  <c r="AK45" i="27"/>
  <c r="AN45" i="27" s="1"/>
  <c r="AM45" i="27"/>
  <c r="AL46" i="27"/>
  <c r="AL29" i="27"/>
  <c r="AK30" i="27"/>
  <c r="AN30" i="27" s="1"/>
  <c r="AM30" i="27"/>
  <c r="O30" i="27" s="1"/>
  <c r="AL31" i="27"/>
  <c r="AK32" i="27"/>
  <c r="AN32" i="27" s="1"/>
  <c r="AM32" i="27"/>
  <c r="O32" i="27" s="1"/>
  <c r="AL33" i="27"/>
  <c r="AK34" i="27"/>
  <c r="AN34" i="27" s="1"/>
  <c r="AM34" i="27"/>
  <c r="O34" i="27" s="1"/>
  <c r="AL35" i="27"/>
  <c r="AK36" i="27"/>
  <c r="AN36" i="27" s="1"/>
  <c r="AM36" i="27"/>
  <c r="O36" i="27" s="1"/>
  <c r="AL37" i="27"/>
  <c r="AK38" i="27"/>
  <c r="AN38" i="27" s="1"/>
  <c r="AM38" i="27"/>
  <c r="AL39" i="27"/>
  <c r="AK40" i="27"/>
  <c r="AN40" i="27" s="1"/>
  <c r="AM40" i="27"/>
  <c r="AL41" i="27"/>
  <c r="AK42" i="27"/>
  <c r="AN42" i="27" s="1"/>
  <c r="AM42" i="27"/>
  <c r="AL43" i="27"/>
  <c r="AK44" i="27"/>
  <c r="AN44" i="27" s="1"/>
  <c r="AM44" i="27"/>
  <c r="AL45" i="27"/>
  <c r="AK46" i="27"/>
  <c r="AN46" i="27" s="1"/>
  <c r="AM46" i="27"/>
  <c r="AQ25" i="27"/>
  <c r="AK25" i="27"/>
  <c r="AN25" i="27" s="1"/>
  <c r="AM25" i="27"/>
  <c r="O25" i="27" s="1"/>
  <c r="AC25" i="27" s="1"/>
  <c r="AV33" i="27" l="1"/>
  <c r="AP33" i="27"/>
  <c r="AW33" i="27"/>
  <c r="AP34" i="27"/>
  <c r="AV34" i="27"/>
  <c r="AW34" i="27"/>
  <c r="AP32" i="27"/>
  <c r="AV32" i="27"/>
  <c r="AW32" i="27"/>
  <c r="AV35" i="27"/>
  <c r="AP35" i="27"/>
  <c r="AW35" i="27"/>
  <c r="AV31" i="27"/>
  <c r="AW31" i="27"/>
  <c r="AP36" i="27"/>
  <c r="AW36" i="27"/>
  <c r="AV36" i="27"/>
  <c r="AW29" i="27"/>
  <c r="AV29" i="27"/>
  <c r="AW28" i="27"/>
  <c r="AV28" i="27"/>
  <c r="AV27" i="27"/>
  <c r="AW27" i="27"/>
  <c r="AW30" i="27"/>
  <c r="AV30" i="27"/>
  <c r="AT41" i="27"/>
  <c r="Q25" i="27"/>
  <c r="Q28" i="27"/>
  <c r="Q27" i="27"/>
  <c r="AT44" i="27"/>
  <c r="AT40" i="27"/>
  <c r="AT46" i="27"/>
  <c r="AT42" i="27"/>
  <c r="AT38" i="27"/>
  <c r="AT45" i="27"/>
  <c r="AT37" i="27"/>
  <c r="AT39" i="27"/>
  <c r="AN26" i="27"/>
  <c r="E6" i="27" s="1"/>
  <c r="R26" i="27"/>
  <c r="E5" i="27" s="1"/>
  <c r="AT43" i="27"/>
  <c r="R25" i="27"/>
  <c r="AT25" i="27"/>
  <c r="AC35" i="27" l="1"/>
  <c r="AY35" i="27"/>
  <c r="AC32" i="27"/>
  <c r="AY32" i="27"/>
  <c r="AC34" i="27"/>
  <c r="AY34" i="27"/>
  <c r="AC33" i="27"/>
  <c r="AY33" i="27"/>
  <c r="AC36" i="27"/>
  <c r="AY36" i="27"/>
  <c r="AV26" i="27"/>
  <c r="AP27" i="27" s="1"/>
  <c r="AW26" i="27"/>
  <c r="AP28" i="27"/>
  <c r="AP31" i="27"/>
  <c r="AY31" i="27" s="1"/>
  <c r="AP29" i="27"/>
  <c r="AP30" i="27"/>
  <c r="AT33" i="27"/>
  <c r="O26" i="27"/>
  <c r="AF25" i="27"/>
  <c r="AE33" i="27" l="1"/>
  <c r="AG33" i="27" s="1"/>
  <c r="AF33" i="27"/>
  <c r="AE34" i="27"/>
  <c r="AG34" i="27" s="1"/>
  <c r="AF34" i="27"/>
  <c r="AT34" i="27"/>
  <c r="AE32" i="27"/>
  <c r="AG32" i="27" s="1"/>
  <c r="AF32" i="27"/>
  <c r="AT32" i="27"/>
  <c r="AE35" i="27"/>
  <c r="AF35" i="27"/>
  <c r="AT35" i="27"/>
  <c r="AE36" i="27"/>
  <c r="AG36" i="27" s="1"/>
  <c r="AF36" i="27"/>
  <c r="AT36" i="27"/>
  <c r="AC30" i="27"/>
  <c r="AE30" i="27" s="1"/>
  <c r="AY30" i="27"/>
  <c r="AC29" i="27"/>
  <c r="AE29" i="27" s="1"/>
  <c r="AG29" i="27" s="1"/>
  <c r="AY29" i="27"/>
  <c r="AC28" i="27"/>
  <c r="AE28" i="27" s="1"/>
  <c r="AG28" i="27" s="1"/>
  <c r="AY28" i="27"/>
  <c r="AC27" i="27"/>
  <c r="AE27" i="27" s="1"/>
  <c r="AG27" i="27" s="1"/>
  <c r="AY27" i="27"/>
  <c r="AY26" i="27" s="1"/>
  <c r="AH26" i="27" s="1"/>
  <c r="AC31" i="27"/>
  <c r="AE31" i="27" s="1"/>
  <c r="AG31" i="27" s="1"/>
  <c r="AP26" i="27"/>
  <c r="AT29" i="27"/>
  <c r="AF29" i="27"/>
  <c r="AT27" i="27"/>
  <c r="AT30" i="27"/>
  <c r="AF30" i="27"/>
  <c r="AG30" i="27"/>
  <c r="AG35" i="27"/>
  <c r="AE25" i="27"/>
  <c r="AG25" i="27" s="1"/>
  <c r="AF28" i="27" l="1"/>
  <c r="AF27" i="27"/>
  <c r="AT28" i="27"/>
  <c r="AC26" i="27"/>
  <c r="G4" i="27" s="1"/>
  <c r="AT31" i="27"/>
  <c r="AF31" i="27"/>
  <c r="AT26" i="27"/>
  <c r="G6" i="27" s="1"/>
  <c r="AE26" i="27"/>
  <c r="G5" i="27" s="1"/>
  <c r="AF26" i="27" l="1"/>
  <c r="V3" i="27" s="1"/>
  <c r="I5" i="27"/>
  <c r="K5" i="27" s="1"/>
  <c r="AG26" i="27"/>
  <c r="I6" i="27" l="1"/>
  <c r="K6" i="27" s="1"/>
  <c r="I4" i="27"/>
  <c r="K4" i="27" s="1"/>
  <c r="Q27" i="25" l="1"/>
  <c r="D27" i="25"/>
  <c r="Y26" i="25"/>
  <c r="AS26" i="25" s="1"/>
  <c r="AT26" i="25" s="1"/>
  <c r="U26" i="25"/>
  <c r="AP26" i="25" s="1"/>
  <c r="AQ26" i="25" s="1"/>
  <c r="O19" i="23"/>
  <c r="D19" i="23"/>
  <c r="BD23" i="23"/>
  <c r="BD24" i="23"/>
  <c r="BD25" i="23"/>
  <c r="BD26" i="23"/>
  <c r="BD27" i="23"/>
  <c r="BD28" i="23"/>
  <c r="BD29" i="23"/>
  <c r="BD30" i="23"/>
  <c r="BD31" i="23"/>
  <c r="BD32" i="23"/>
  <c r="BD33" i="23"/>
  <c r="BD22" i="23"/>
  <c r="BQ39" i="23"/>
  <c r="BR39" i="23" s="1"/>
  <c r="BP40" i="23"/>
  <c r="BP41" i="23"/>
  <c r="BP42" i="23"/>
  <c r="BP43" i="23"/>
  <c r="BP44" i="23"/>
  <c r="BP45" i="23"/>
  <c r="BP46" i="23"/>
  <c r="BP47" i="23"/>
  <c r="BP48" i="23"/>
  <c r="BP49" i="23"/>
  <c r="BP50" i="23"/>
  <c r="BP51" i="23"/>
  <c r="BP52" i="23"/>
  <c r="BP53" i="23"/>
  <c r="BP54" i="23"/>
  <c r="BP55" i="23"/>
  <c r="BP56" i="23"/>
  <c r="BP57" i="23"/>
  <c r="BP58" i="23"/>
  <c r="BP59" i="23"/>
  <c r="BP60" i="23"/>
  <c r="BP61" i="23"/>
  <c r="BP62" i="23"/>
  <c r="BP63" i="23"/>
  <c r="BP64" i="23"/>
  <c r="AH19" i="23" s="1"/>
  <c r="M19" i="25" l="1"/>
  <c r="AO9" i="25" s="1"/>
  <c r="H19" i="25"/>
  <c r="AM9" i="25" s="1"/>
  <c r="AH22" i="23"/>
  <c r="AH18" i="23"/>
  <c r="AH36" i="23"/>
  <c r="AH32" i="23"/>
  <c r="AH28" i="23"/>
  <c r="AH24" i="23"/>
  <c r="AH20" i="23"/>
  <c r="AH21" i="23"/>
  <c r="AH38" i="23"/>
  <c r="AH34" i="23"/>
  <c r="AH30" i="23"/>
  <c r="AH26" i="23"/>
  <c r="AH39" i="23"/>
  <c r="AH37" i="23"/>
  <c r="AH35" i="23"/>
  <c r="AH33" i="23"/>
  <c r="AH31" i="23"/>
  <c r="AH29" i="23"/>
  <c r="AH27" i="23"/>
  <c r="AH25" i="23"/>
  <c r="AH23" i="23"/>
  <c r="AM8" i="25" l="1"/>
  <c r="AA36" i="25"/>
  <c r="N29" i="25" l="1"/>
  <c r="O29" i="25" s="1"/>
  <c r="N34" i="25"/>
  <c r="O34" i="25" s="1"/>
  <c r="AA34" i="25"/>
  <c r="AB34" i="25" s="1"/>
  <c r="AA35" i="25"/>
  <c r="AB35" i="25" s="1"/>
  <c r="AA30" i="25"/>
  <c r="N30" i="25"/>
  <c r="O30" i="25" s="1"/>
  <c r="AA32" i="25"/>
  <c r="AB32" i="25" s="1"/>
  <c r="AA31" i="25"/>
  <c r="AB31" i="25" s="1"/>
  <c r="AA37" i="25"/>
  <c r="AB37" i="25" s="1"/>
  <c r="N36" i="25"/>
  <c r="AD36" i="25" s="1"/>
  <c r="AE36" i="25" s="1"/>
  <c r="N37" i="25"/>
  <c r="O37" i="25" s="1"/>
  <c r="AB36" i="25"/>
  <c r="M26" i="25"/>
  <c r="N35" i="25"/>
  <c r="N33" i="25"/>
  <c r="N31" i="25"/>
  <c r="AA33" i="25"/>
  <c r="AB33" i="25" s="1"/>
  <c r="N32" i="25"/>
  <c r="AA29" i="25"/>
  <c r="N28" i="25"/>
  <c r="AA28" i="25"/>
  <c r="Z26" i="25"/>
  <c r="O36" i="25" l="1"/>
  <c r="AD30" i="25"/>
  <c r="AE30" i="25" s="1"/>
  <c r="AD37" i="25"/>
  <c r="AE37" i="25" s="1"/>
  <c r="AD34" i="25"/>
  <c r="AE34" i="25" s="1"/>
  <c r="AB30" i="25"/>
  <c r="O35" i="25"/>
  <c r="AD35" i="25"/>
  <c r="AE35" i="25" s="1"/>
  <c r="O32" i="25"/>
  <c r="AD32" i="25"/>
  <c r="AE32" i="25" s="1"/>
  <c r="O31" i="25"/>
  <c r="AD31" i="25"/>
  <c r="AE31" i="25" s="1"/>
  <c r="O33" i="25"/>
  <c r="AD33" i="25"/>
  <c r="AE33" i="25" s="1"/>
  <c r="AB29" i="25"/>
  <c r="AD29" i="25"/>
  <c r="AE29" i="25" s="1"/>
  <c r="AD28" i="25"/>
  <c r="AE28" i="25" s="1"/>
  <c r="N26" i="25"/>
  <c r="O26" i="25" s="1"/>
  <c r="Z27" i="25"/>
  <c r="AA27" i="25"/>
  <c r="H5" i="25" s="1"/>
  <c r="M27" i="25"/>
  <c r="N27" i="25"/>
  <c r="F5" i="25" s="1"/>
  <c r="AA26" i="25"/>
  <c r="AB26" i="25" s="1"/>
  <c r="AC26" i="25" l="1"/>
  <c r="J5" i="25"/>
  <c r="L5" i="25" s="1"/>
  <c r="O28" i="25"/>
  <c r="O27" i="25" s="1"/>
  <c r="F6" i="25" s="1"/>
  <c r="AD27" i="25"/>
  <c r="AB28" i="25"/>
  <c r="AB27" i="25" s="1"/>
  <c r="F4" i="25"/>
  <c r="F7" i="25" s="1"/>
  <c r="AD26" i="25"/>
  <c r="AE26" i="25" s="1"/>
  <c r="H4" i="25" l="1"/>
  <c r="H7" i="25" s="1"/>
  <c r="J7" i="25" s="1"/>
  <c r="L7" i="25" s="1"/>
  <c r="H6" i="25"/>
  <c r="J6" i="25" s="1"/>
  <c r="L6" i="25" s="1"/>
  <c r="J4" i="25"/>
  <c r="L4" i="25" s="1"/>
  <c r="AE27" i="25"/>
  <c r="AC27" i="25"/>
  <c r="R3" i="25" s="1"/>
  <c r="AA21" i="23" l="1"/>
  <c r="AA22" i="23"/>
  <c r="AA23" i="23"/>
  <c r="AA24" i="23"/>
  <c r="AA25" i="23"/>
  <c r="AA26" i="23"/>
  <c r="AA27" i="23"/>
  <c r="AA28" i="23"/>
  <c r="AA29" i="23"/>
  <c r="AA30" i="23"/>
  <c r="AA31" i="23"/>
  <c r="AA32" i="23"/>
  <c r="AA33" i="23"/>
  <c r="AA34" i="23"/>
  <c r="AA35" i="23"/>
  <c r="AA36" i="23"/>
  <c r="AA37" i="23"/>
  <c r="AA38" i="23"/>
  <c r="AA39" i="23"/>
  <c r="AA19" i="23" l="1"/>
  <c r="AA20" i="23"/>
  <c r="AA18" i="23"/>
  <c r="U18" i="23"/>
  <c r="BM34" i="23"/>
  <c r="BL28" i="23"/>
  <c r="BL29" i="23"/>
  <c r="BL30" i="23"/>
  <c r="BL31" i="23"/>
  <c r="BL32" i="23"/>
  <c r="BL33" i="23"/>
  <c r="BL27" i="23"/>
  <c r="BL25" i="23"/>
  <c r="BL24" i="23"/>
  <c r="BL23" i="23"/>
  <c r="BL22" i="23"/>
  <c r="BL21" i="23"/>
  <c r="BJ22" i="23"/>
  <c r="BJ23" i="23" s="1"/>
  <c r="BJ28" i="23"/>
  <c r="BG65" i="23"/>
  <c r="BB65" i="23"/>
  <c r="BG64" i="23"/>
  <c r="BB64" i="23"/>
  <c r="BG63" i="23"/>
  <c r="BB63" i="23"/>
  <c r="BG62" i="23"/>
  <c r="BB62" i="23"/>
  <c r="BG61" i="23"/>
  <c r="BB61" i="23"/>
  <c r="BG60" i="23"/>
  <c r="BB60" i="23"/>
  <c r="BG59" i="23"/>
  <c r="BB59" i="23"/>
  <c r="BG58" i="23"/>
  <c r="BB58" i="23"/>
  <c r="BG57" i="23"/>
  <c r="BB57" i="23"/>
  <c r="BG56" i="23"/>
  <c r="BB56" i="23"/>
  <c r="BG55" i="23"/>
  <c r="BB55" i="23"/>
  <c r="BG54" i="23"/>
  <c r="BB54" i="23"/>
  <c r="BG53" i="23"/>
  <c r="BB53" i="23"/>
  <c r="BG52" i="23"/>
  <c r="BB52" i="23"/>
  <c r="BG51" i="23"/>
  <c r="BB51" i="23"/>
  <c r="BG50" i="23"/>
  <c r="BB50" i="23"/>
  <c r="BG49" i="23"/>
  <c r="BB49" i="23"/>
  <c r="BG48" i="23"/>
  <c r="BB48" i="23"/>
  <c r="BG47" i="23"/>
  <c r="BB47" i="23"/>
  <c r="BG46" i="23"/>
  <c r="BB46" i="23"/>
  <c r="BG45" i="23"/>
  <c r="BB45" i="23"/>
  <c r="BG44" i="23"/>
  <c r="BB44" i="23"/>
  <c r="BG43" i="23"/>
  <c r="BB43" i="23"/>
  <c r="BG42" i="23"/>
  <c r="BB42" i="23"/>
  <c r="BG41" i="23"/>
  <c r="BB41" i="23"/>
  <c r="BF34" i="23"/>
  <c r="BD34" i="23"/>
  <c r="AX34" i="23"/>
  <c r="AW34" i="23"/>
  <c r="AV34" i="23"/>
  <c r="BE33" i="23"/>
  <c r="AY33" i="23"/>
  <c r="BE32" i="23"/>
  <c r="AY32" i="23"/>
  <c r="BE31" i="23"/>
  <c r="AY31" i="23"/>
  <c r="BE30" i="23"/>
  <c r="AY30" i="23"/>
  <c r="BE29" i="23"/>
  <c r="AY29" i="23"/>
  <c r="BE28" i="23"/>
  <c r="AY28" i="23"/>
  <c r="BE27" i="23"/>
  <c r="AY27" i="23"/>
  <c r="BE26" i="23"/>
  <c r="AY26" i="23"/>
  <c r="BE25" i="23"/>
  <c r="AY25" i="23"/>
  <c r="BE24" i="23"/>
  <c r="AY24" i="23"/>
  <c r="BE23" i="23"/>
  <c r="BC23" i="23"/>
  <c r="AY23" i="23"/>
  <c r="BE22" i="23"/>
  <c r="AY22" i="23"/>
  <c r="AM21" i="23" l="1"/>
  <c r="AN21" i="23" s="1"/>
  <c r="AM22" i="23"/>
  <c r="AN22" i="23" s="1"/>
  <c r="AM23" i="23"/>
  <c r="AN23" i="23" s="1"/>
  <c r="AM24" i="23"/>
  <c r="AN24" i="23" s="1"/>
  <c r="AM25" i="23"/>
  <c r="AM26" i="23"/>
  <c r="AN26" i="23" s="1"/>
  <c r="AM27" i="23"/>
  <c r="AM28" i="23"/>
  <c r="AN28" i="23" s="1"/>
  <c r="AM29" i="23"/>
  <c r="AM30" i="23"/>
  <c r="AN30" i="23" s="1"/>
  <c r="AM31" i="23"/>
  <c r="AN31" i="23" s="1"/>
  <c r="AM32" i="23"/>
  <c r="AN32" i="23" s="1"/>
  <c r="AM33" i="23"/>
  <c r="AM34" i="23"/>
  <c r="AN34" i="23" s="1"/>
  <c r="AM35" i="23"/>
  <c r="AM36" i="23"/>
  <c r="AN36" i="23" s="1"/>
  <c r="AM37" i="23"/>
  <c r="AM38" i="23"/>
  <c r="AN38" i="23" s="1"/>
  <c r="AM39" i="23"/>
  <c r="AN39" i="23" s="1"/>
  <c r="AM20" i="23"/>
  <c r="AN20" i="23" s="1"/>
  <c r="AE21" i="23"/>
  <c r="AE22" i="23"/>
  <c r="AE23" i="23"/>
  <c r="AE24" i="23"/>
  <c r="AE25" i="23"/>
  <c r="AE26" i="23"/>
  <c r="AE27" i="23"/>
  <c r="AE28" i="23"/>
  <c r="AE29" i="23"/>
  <c r="AE30" i="23"/>
  <c r="AE31" i="23"/>
  <c r="AE32" i="23"/>
  <c r="AE33" i="23"/>
  <c r="AE34" i="23"/>
  <c r="AE35" i="23"/>
  <c r="AE36" i="23"/>
  <c r="AE37" i="23"/>
  <c r="AE38" i="23"/>
  <c r="AE39" i="23"/>
  <c r="AF20" i="23"/>
  <c r="AE20" i="23"/>
  <c r="AF21" i="23"/>
  <c r="AG21" i="23" s="1"/>
  <c r="AF22" i="23"/>
  <c r="AF23" i="23"/>
  <c r="AG23" i="23" s="1"/>
  <c r="AF24" i="23"/>
  <c r="AF25" i="23"/>
  <c r="AG25" i="23" s="1"/>
  <c r="AF26" i="23"/>
  <c r="AF27" i="23"/>
  <c r="AG27" i="23" s="1"/>
  <c r="AF28" i="23"/>
  <c r="AF29" i="23"/>
  <c r="AG29" i="23" s="1"/>
  <c r="AF30" i="23"/>
  <c r="AF31" i="23"/>
  <c r="AG31" i="23" s="1"/>
  <c r="AF32" i="23"/>
  <c r="AF33" i="23"/>
  <c r="AG33" i="23" s="1"/>
  <c r="AF34" i="23"/>
  <c r="AF35" i="23"/>
  <c r="AG35" i="23" s="1"/>
  <c r="AF36" i="23"/>
  <c r="AF37" i="23"/>
  <c r="AG37" i="23" s="1"/>
  <c r="AF38" i="23"/>
  <c r="AF39" i="23"/>
  <c r="AG39" i="23" s="1"/>
  <c r="AN25" i="23"/>
  <c r="AN29" i="23"/>
  <c r="AN33" i="23"/>
  <c r="AN37" i="23"/>
  <c r="BJ24" i="23"/>
  <c r="BJ25" i="23" s="1"/>
  <c r="AM19" i="23"/>
  <c r="AN19" i="23" s="1"/>
  <c r="AF19" i="23"/>
  <c r="AG19" i="23" s="1"/>
  <c r="AG22" i="23"/>
  <c r="AG24" i="23"/>
  <c r="AG26" i="23"/>
  <c r="AG28" i="23"/>
  <c r="AG30" i="23"/>
  <c r="AG32" i="23"/>
  <c r="AG34" i="23"/>
  <c r="AG36" i="23"/>
  <c r="AG38" i="23"/>
  <c r="AE19" i="23"/>
  <c r="AN27" i="23"/>
  <c r="AN35" i="23"/>
  <c r="R18" i="23"/>
  <c r="BJ29" i="23"/>
  <c r="BC24" i="23"/>
  <c r="BC25" i="23" s="1"/>
  <c r="BC26" i="23" s="1"/>
  <c r="BC27" i="23" s="1"/>
  <c r="BJ30" i="23" l="1"/>
  <c r="BJ31" i="23" s="1"/>
  <c r="BJ32" i="23" s="1"/>
  <c r="BJ33" i="23" s="1"/>
  <c r="AB39" i="23"/>
  <c r="AB37" i="23"/>
  <c r="AB35" i="23"/>
  <c r="AB33" i="23"/>
  <c r="AB31" i="23"/>
  <c r="AB29" i="23"/>
  <c r="AB27" i="23"/>
  <c r="AB25" i="23"/>
  <c r="AB23" i="23"/>
  <c r="AB21" i="23"/>
  <c r="AC22" i="23"/>
  <c r="AC24" i="23"/>
  <c r="AC26" i="23"/>
  <c r="AC28" i="23"/>
  <c r="AC30" i="23"/>
  <c r="AC32" i="23"/>
  <c r="AC34" i="23"/>
  <c r="AC36" i="23"/>
  <c r="AC38" i="23"/>
  <c r="AB38" i="23"/>
  <c r="AB36" i="23"/>
  <c r="AB34" i="23"/>
  <c r="AB32" i="23"/>
  <c r="AB30" i="23"/>
  <c r="AB28" i="23"/>
  <c r="AB26" i="23"/>
  <c r="AB24" i="23"/>
  <c r="AB22" i="23"/>
  <c r="AC21" i="23"/>
  <c r="AC23" i="23"/>
  <c r="AC25" i="23"/>
  <c r="AC27" i="23"/>
  <c r="AC29" i="23"/>
  <c r="AC31" i="23"/>
  <c r="AC33" i="23"/>
  <c r="AC35" i="23"/>
  <c r="AC37" i="23"/>
  <c r="AC39" i="23"/>
  <c r="AJ38" i="23"/>
  <c r="AJ36" i="23"/>
  <c r="AJ34" i="23"/>
  <c r="AJ32" i="23"/>
  <c r="AJ30" i="23"/>
  <c r="AJ28" i="23"/>
  <c r="AJ26" i="23"/>
  <c r="AJ24" i="23"/>
  <c r="AJ22" i="23"/>
  <c r="AF18" i="23"/>
  <c r="AG18" i="23" s="1"/>
  <c r="AE18" i="23"/>
  <c r="AJ19" i="23"/>
  <c r="AK19" i="23" s="1"/>
  <c r="AC19" i="23"/>
  <c r="AD19" i="23" s="1"/>
  <c r="AB19" i="23"/>
  <c r="AM18" i="23"/>
  <c r="AN18" i="23" s="1"/>
  <c r="BC28" i="23"/>
  <c r="BC29" i="23" s="1"/>
  <c r="BC30" i="23" s="1"/>
  <c r="BC31" i="23" s="1"/>
  <c r="BC32" i="23" s="1"/>
  <c r="BC33" i="23" s="1"/>
  <c r="AJ23" i="23" l="1"/>
  <c r="AK23" i="23" s="1"/>
  <c r="AJ27" i="23"/>
  <c r="AK27" i="23" s="1"/>
  <c r="AJ31" i="23"/>
  <c r="AK31" i="23" s="1"/>
  <c r="AJ35" i="23"/>
  <c r="AK35" i="23" s="1"/>
  <c r="AJ39" i="23"/>
  <c r="AK39" i="23" s="1"/>
  <c r="AJ25" i="23"/>
  <c r="AK25" i="23" s="1"/>
  <c r="AJ29" i="23"/>
  <c r="AK29" i="23" s="1"/>
  <c r="AJ33" i="23"/>
  <c r="AK33" i="23" s="1"/>
  <c r="AJ37" i="23"/>
  <c r="AK37" i="23" s="1"/>
  <c r="AJ21" i="23"/>
  <c r="AJ20" i="23"/>
  <c r="AB20" i="23"/>
  <c r="AC20" i="23"/>
  <c r="AC18" i="23"/>
  <c r="AB18" i="23"/>
  <c r="AJ18" i="23"/>
  <c r="AG20" i="23"/>
  <c r="AK24" i="23"/>
  <c r="AK28" i="23"/>
  <c r="AK32" i="23"/>
  <c r="AK36" i="23"/>
  <c r="AK22" i="23"/>
  <c r="AK26" i="23"/>
  <c r="AK30" i="23"/>
  <c r="AK34" i="23"/>
  <c r="AK38" i="23"/>
  <c r="AD37" i="23"/>
  <c r="AD33" i="23"/>
  <c r="AD29" i="23"/>
  <c r="AD25" i="23"/>
  <c r="AD21" i="23"/>
  <c r="AD38" i="23"/>
  <c r="AD34" i="23"/>
  <c r="AD30" i="23"/>
  <c r="AD26" i="23"/>
  <c r="AD22" i="23"/>
  <c r="BJ34" i="23"/>
  <c r="AD39" i="23"/>
  <c r="AD35" i="23"/>
  <c r="AD31" i="23"/>
  <c r="AD27" i="23"/>
  <c r="AD23" i="23"/>
  <c r="AD36" i="23"/>
  <c r="AD32" i="23"/>
  <c r="AD28" i="23"/>
  <c r="AD24" i="23"/>
  <c r="BC34" i="23"/>
  <c r="AK21" i="23" l="1"/>
  <c r="V21" i="23"/>
  <c r="AD18" i="23"/>
  <c r="L18" i="23" s="1"/>
  <c r="M18" i="23" s="1"/>
  <c r="W23" i="23"/>
  <c r="W36" i="23"/>
  <c r="W28" i="23"/>
  <c r="W26" i="23"/>
  <c r="W39" i="23"/>
  <c r="W31" i="23"/>
  <c r="AD20" i="23"/>
  <c r="L20" i="23" s="1"/>
  <c r="W33" i="23"/>
  <c r="W25" i="23"/>
  <c r="W32" i="23"/>
  <c r="W24" i="23"/>
  <c r="W38" i="23"/>
  <c r="W30" i="23"/>
  <c r="W22" i="23"/>
  <c r="W27" i="23"/>
  <c r="W37" i="23"/>
  <c r="W29" i="23"/>
  <c r="M32" i="23"/>
  <c r="M35" i="23"/>
  <c r="M34" i="23"/>
  <c r="M33" i="23"/>
  <c r="M28" i="23"/>
  <c r="M36" i="23"/>
  <c r="M24" i="23"/>
  <c r="M27" i="23"/>
  <c r="M26" i="23"/>
  <c r="M25" i="23"/>
  <c r="M22" i="23"/>
  <c r="M38" i="23"/>
  <c r="M31" i="23"/>
  <c r="M29" i="23"/>
  <c r="M37" i="23"/>
  <c r="M30" i="23"/>
  <c r="M23" i="23"/>
  <c r="M39" i="23"/>
  <c r="M21" i="23"/>
  <c r="AK20" i="23"/>
  <c r="V20" i="23" s="1"/>
  <c r="AK18" i="23"/>
  <c r="V18" i="23" s="1"/>
  <c r="BU37" i="23"/>
  <c r="BR41" i="23" s="1"/>
  <c r="BR43" i="23" s="1"/>
  <c r="BU36" i="23"/>
  <c r="BR40" i="23" s="1"/>
  <c r="BR42" i="23" s="1"/>
  <c r="P17" i="18"/>
  <c r="W21" i="23" l="1"/>
  <c r="X21" i="23"/>
  <c r="X20" i="23"/>
  <c r="Y21" i="23"/>
  <c r="Z27" i="18"/>
  <c r="AA27" i="18" s="1"/>
  <c r="X39" i="23"/>
  <c r="X38" i="23"/>
  <c r="Z26" i="18"/>
  <c r="AA26" i="18" s="1"/>
  <c r="L19" i="23"/>
  <c r="F4" i="23" s="1"/>
  <c r="F6" i="23" s="1"/>
  <c r="M20" i="23"/>
  <c r="W35" i="23"/>
  <c r="W34" i="23"/>
  <c r="W18" i="23"/>
  <c r="Y18" i="23" s="1"/>
  <c r="Y39" i="23"/>
  <c r="Y38" i="23"/>
  <c r="W20" i="23"/>
  <c r="V19" i="23"/>
  <c r="H4" i="23" s="1"/>
  <c r="H6" i="23" s="1"/>
  <c r="X18" i="23"/>
  <c r="S27" i="18"/>
  <c r="T27" i="18" s="1"/>
  <c r="S26" i="18"/>
  <c r="T26" i="18" s="1"/>
  <c r="S25" i="18"/>
  <c r="T25" i="18" s="1"/>
  <c r="S24" i="18"/>
  <c r="T24" i="18" s="1"/>
  <c r="S23" i="18"/>
  <c r="T23" i="18" s="1"/>
  <c r="S22" i="18"/>
  <c r="T22" i="18" s="1"/>
  <c r="S21" i="18"/>
  <c r="T21" i="18" s="1"/>
  <c r="S20" i="18"/>
  <c r="T20" i="18" s="1"/>
  <c r="S19" i="18"/>
  <c r="T19" i="18" s="1"/>
  <c r="L27" i="18"/>
  <c r="L26" i="18"/>
  <c r="L25" i="18"/>
  <c r="L24" i="18"/>
  <c r="L23" i="18"/>
  <c r="L22" i="18"/>
  <c r="L21" i="18"/>
  <c r="L20" i="18"/>
  <c r="L54" i="18"/>
  <c r="L55" i="18" s="1"/>
  <c r="L56" i="18" s="1"/>
  <c r="M54" i="18"/>
  <c r="M55" i="18" s="1"/>
  <c r="M56" i="18" s="1"/>
  <c r="K54" i="18"/>
  <c r="K55" i="18" s="1"/>
  <c r="J54" i="18"/>
  <c r="F53" i="18"/>
  <c r="L16" i="18"/>
  <c r="M16" i="18" s="1"/>
  <c r="L18" i="18"/>
  <c r="M18" i="18" s="1"/>
  <c r="N18" i="18" s="1"/>
  <c r="L90" i="18"/>
  <c r="L89" i="18"/>
  <c r="L88" i="18"/>
  <c r="L87" i="18"/>
  <c r="L86" i="18"/>
  <c r="L85" i="18"/>
  <c r="L84" i="18"/>
  <c r="L83" i="18"/>
  <c r="M80" i="18"/>
  <c r="K80" i="18"/>
  <c r="M81" i="18" s="1"/>
  <c r="K78" i="18"/>
  <c r="M79" i="18" s="1"/>
  <c r="J58" i="18"/>
  <c r="Q52" i="18"/>
  <c r="Q51" i="18" s="1"/>
  <c r="M19" i="23" l="1"/>
  <c r="F5" i="23" s="1"/>
  <c r="Y20" i="23"/>
  <c r="Y19" i="23" s="1"/>
  <c r="X19" i="23"/>
  <c r="P3" i="23" s="1"/>
  <c r="W19" i="23"/>
  <c r="H5" i="23" s="1"/>
  <c r="J5" i="23" s="1"/>
  <c r="L5" i="23" s="1"/>
  <c r="R18" i="18"/>
  <c r="S18" i="18" s="1"/>
  <c r="R16" i="18"/>
  <c r="S16" i="18" s="1"/>
  <c r="L19" i="18"/>
  <c r="M19" i="18" s="1"/>
  <c r="N19" i="18" s="1"/>
  <c r="J4" i="23"/>
  <c r="L4" i="23" s="1"/>
  <c r="J6" i="23"/>
  <c r="L6" i="23" s="1"/>
  <c r="V23" i="18"/>
  <c r="V27" i="18"/>
  <c r="V20" i="18"/>
  <c r="V22" i="18"/>
  <c r="V24" i="18"/>
  <c r="V26" i="18"/>
  <c r="N16" i="18"/>
  <c r="Q58" i="18"/>
  <c r="R58" i="18" s="1"/>
  <c r="Q59" i="18"/>
  <c r="S59" i="18" s="1"/>
  <c r="Q54" i="18"/>
  <c r="V21" i="18"/>
  <c r="V25" i="18"/>
  <c r="U27" i="18"/>
  <c r="U26" i="18"/>
  <c r="U25" i="18"/>
  <c r="U24" i="18"/>
  <c r="U23" i="18"/>
  <c r="U22" i="18"/>
  <c r="U21" i="18"/>
  <c r="U20" i="18"/>
  <c r="Q53" i="18"/>
  <c r="S53" i="18" s="1"/>
  <c r="Q55" i="18"/>
  <c r="R55" i="18" s="1"/>
  <c r="Q57" i="18"/>
  <c r="S52" i="18"/>
  <c r="K56" i="18"/>
  <c r="J55" i="18"/>
  <c r="K79" i="18"/>
  <c r="L79" i="18" s="1"/>
  <c r="N78" i="18" s="1"/>
  <c r="K81" i="18"/>
  <c r="L81" i="18" s="1"/>
  <c r="M17" i="18" l="1"/>
  <c r="H4" i="18" s="1"/>
  <c r="N17" i="18"/>
  <c r="H5" i="18" s="1"/>
  <c r="U19" i="18"/>
  <c r="V19" i="18"/>
  <c r="T16" i="18"/>
  <c r="V16" i="18" s="1"/>
  <c r="U16" i="18"/>
  <c r="S17" i="18"/>
  <c r="I4" i="18" s="1"/>
  <c r="I6" i="18" s="1"/>
  <c r="T18" i="18"/>
  <c r="T17" i="18" s="1"/>
  <c r="I5" i="18" s="1"/>
  <c r="U18" i="18"/>
  <c r="R53" i="18"/>
  <c r="S58" i="18"/>
  <c r="R59" i="18"/>
  <c r="S55" i="18"/>
  <c r="J56" i="18"/>
  <c r="Q56" i="18"/>
  <c r="N79" i="18"/>
  <c r="N81" i="18"/>
  <c r="N80" i="18"/>
  <c r="N82" i="18" s="1"/>
  <c r="R57" i="18"/>
  <c r="S57" i="18"/>
  <c r="V18" i="18" l="1"/>
  <c r="U17" i="18"/>
  <c r="P3" i="18" s="1"/>
  <c r="S56" i="18"/>
  <c r="R56" i="18"/>
  <c r="H6" i="18" l="1"/>
  <c r="J6" i="18" s="1"/>
  <c r="V17" i="18" l="1"/>
  <c r="K6" i="18" l="1"/>
  <c r="J4" i="18"/>
  <c r="K4" i="18" s="1"/>
  <c r="J5" i="18"/>
  <c r="K5" i="18" s="1"/>
  <c r="I26" i="11"/>
  <c r="W26" i="11"/>
  <c r="AJ26" i="11" l="1"/>
  <c r="Z26" i="11" s="1"/>
  <c r="AG26" i="11"/>
  <c r="P26" i="11" s="1"/>
  <c r="J33" i="8"/>
  <c r="I33" i="8"/>
  <c r="E33" i="8"/>
  <c r="J32" i="8"/>
  <c r="I32" i="8"/>
  <c r="E32" i="8"/>
  <c r="J31" i="8"/>
  <c r="I31" i="8"/>
  <c r="E31" i="8"/>
  <c r="J30" i="8"/>
  <c r="I30" i="8"/>
  <c r="E30" i="8"/>
  <c r="J29" i="8"/>
  <c r="I29" i="8"/>
  <c r="E29" i="8"/>
  <c r="J28" i="8"/>
  <c r="I28" i="8"/>
  <c r="E28" i="8"/>
  <c r="J27" i="8"/>
  <c r="I27" i="8"/>
  <c r="E27" i="8"/>
  <c r="J26" i="8"/>
  <c r="I26" i="8"/>
  <c r="E26" i="8"/>
  <c r="J25" i="8"/>
  <c r="I25" i="8"/>
  <c r="E25" i="8"/>
  <c r="J24" i="8"/>
  <c r="I24" i="8"/>
  <c r="E24" i="8"/>
  <c r="J23" i="8"/>
  <c r="I23" i="8"/>
  <c r="E23" i="8"/>
  <c r="J22" i="8"/>
  <c r="I22" i="8"/>
  <c r="E22" i="8"/>
  <c r="J21" i="8"/>
  <c r="I21" i="8"/>
  <c r="E21" i="8"/>
  <c r="J20" i="8"/>
  <c r="I20" i="8"/>
  <c r="E20" i="8"/>
  <c r="J19" i="8"/>
  <c r="I19" i="8"/>
  <c r="E19" i="8"/>
  <c r="J18" i="8"/>
  <c r="I18" i="8"/>
  <c r="E18" i="8"/>
  <c r="J17" i="8"/>
  <c r="I17" i="8"/>
  <c r="E17" i="8"/>
  <c r="J16" i="8"/>
  <c r="I16" i="8"/>
  <c r="E16" i="8"/>
  <c r="J15" i="8"/>
  <c r="I15" i="8"/>
  <c r="E15" i="8"/>
  <c r="J14" i="8"/>
  <c r="I14" i="8"/>
  <c r="E14" i="8"/>
  <c r="J13" i="8"/>
  <c r="I13" i="8"/>
  <c r="E13" i="8"/>
  <c r="J12" i="8"/>
  <c r="I12" i="8"/>
  <c r="E12" i="8"/>
  <c r="J11" i="8"/>
  <c r="I11" i="8"/>
  <c r="E11" i="8"/>
  <c r="J10" i="8"/>
  <c r="I10" i="8"/>
  <c r="E10" i="8"/>
  <c r="J9" i="8"/>
  <c r="I9" i="8"/>
  <c r="E9" i="8"/>
  <c r="J8" i="8"/>
  <c r="I8" i="8"/>
  <c r="E8" i="8"/>
  <c r="J7" i="8"/>
  <c r="I7" i="8"/>
  <c r="E7" i="8"/>
  <c r="J6" i="8"/>
  <c r="I6" i="8"/>
  <c r="E6" i="8"/>
  <c r="T3" i="11" l="1"/>
  <c r="AA30" i="11"/>
  <c r="AA36" i="11"/>
  <c r="AA32" i="11"/>
  <c r="AA34" i="11"/>
  <c r="Q26" i="11"/>
  <c r="AA28" i="11"/>
  <c r="AA29" i="11"/>
  <c r="AA31" i="11"/>
  <c r="AA33" i="11"/>
  <c r="AA35" i="11"/>
  <c r="Q36" i="11"/>
  <c r="Q34" i="11"/>
  <c r="Q32" i="11"/>
  <c r="Q30" i="11"/>
  <c r="Q35" i="11"/>
  <c r="Q33" i="11"/>
  <c r="Q31" i="11"/>
  <c r="Q29" i="11"/>
  <c r="AB27" i="11" l="1"/>
  <c r="AC27" i="11" s="1"/>
  <c r="AD26" i="2"/>
  <c r="AE26" i="2"/>
  <c r="AC32" i="11"/>
  <c r="AC36" i="11"/>
  <c r="AB30" i="11"/>
  <c r="AC30" i="11"/>
  <c r="AB34" i="11"/>
  <c r="AC34" i="11"/>
  <c r="AB29" i="11"/>
  <c r="AB33" i="11"/>
  <c r="AC29" i="11"/>
  <c r="AB36" i="11"/>
  <c r="AC33" i="11"/>
  <c r="AB32" i="11"/>
  <c r="AC31" i="11"/>
  <c r="AC35" i="11"/>
  <c r="AB31" i="11"/>
  <c r="AB35" i="11"/>
  <c r="AB28" i="11"/>
  <c r="Q28" i="11" l="1"/>
  <c r="V26" i="2"/>
  <c r="X26" i="2" s="1"/>
  <c r="F5" i="2"/>
  <c r="G4" i="11"/>
  <c r="G6" i="11" s="1"/>
  <c r="G5" i="11"/>
  <c r="E4" i="11"/>
  <c r="E6" i="11" s="1"/>
  <c r="F6" i="2"/>
  <c r="G6" i="2"/>
  <c r="G5" i="2"/>
  <c r="E5" i="11" l="1"/>
  <c r="I5" i="11" s="1"/>
  <c r="K5" i="11" s="1"/>
  <c r="AC28" i="11"/>
  <c r="O4" i="2"/>
  <c r="W26" i="2"/>
  <c r="Y26" i="2" s="1"/>
  <c r="AB26" i="2"/>
  <c r="H7" i="2" s="1"/>
  <c r="I7" i="2" s="1"/>
  <c r="I6" i="11"/>
  <c r="K6" i="11" s="1"/>
  <c r="I4" i="11"/>
  <c r="K4" i="11" s="1"/>
  <c r="H5" i="2"/>
  <c r="I5" i="2" s="1"/>
  <c r="H6" i="2"/>
  <c r="I6" i="2" s="1"/>
  <c r="S54" i="18"/>
  <c r="R54" i="18"/>
  <c r="AB26" i="11"/>
  <c r="AA26" i="11"/>
  <c r="AC26"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T25" authorId="0" shapeId="0" xr:uid="{0837C4E7-A0B7-4E94-AEAE-79AD6AD0A951}">
      <text>
        <r>
          <rPr>
            <sz val="9"/>
            <color indexed="81"/>
            <rFont val="MS P ゴシック"/>
            <family val="3"/>
            <charset val="128"/>
          </rPr>
          <t xml:space="preserve">按分する場合、
１：０の場合は０も記入する
</t>
        </r>
      </text>
    </comment>
  </commentList>
</comments>
</file>

<file path=xl/sharedStrings.xml><?xml version="1.0" encoding="utf-8"?>
<sst xmlns="http://schemas.openxmlformats.org/spreadsheetml/2006/main" count="2494" uniqueCount="958">
  <si>
    <t>項目</t>
    <rPh sb="0" eb="2">
      <t>コウモク</t>
    </rPh>
    <phoneticPr fontId="4"/>
  </si>
  <si>
    <t>単位</t>
    <rPh sb="0" eb="2">
      <t>タンイ</t>
    </rPh>
    <phoneticPr fontId="4"/>
  </si>
  <si>
    <t>更新前</t>
    <rPh sb="0" eb="3">
      <t>コウシンマエ</t>
    </rPh>
    <phoneticPr fontId="4"/>
  </si>
  <si>
    <t>更新後</t>
    <rPh sb="0" eb="2">
      <t>コウシン</t>
    </rPh>
    <rPh sb="2" eb="3">
      <t>ゴ</t>
    </rPh>
    <phoneticPr fontId="4"/>
  </si>
  <si>
    <t>削減量</t>
  </si>
  <si>
    <t>削減率</t>
    <rPh sb="0" eb="3">
      <t>サクゲンリツ</t>
    </rPh>
    <phoneticPr fontId="4"/>
  </si>
  <si>
    <t>特記事項</t>
    <rPh sb="0" eb="2">
      <t>トッキ</t>
    </rPh>
    <rPh sb="2" eb="4">
      <t>ジコウ</t>
    </rPh>
    <phoneticPr fontId="4"/>
  </si>
  <si>
    <t>電力消費量</t>
    <rPh sb="0" eb="2">
      <t>デンリョク</t>
    </rPh>
    <rPh sb="2" eb="5">
      <t>ショウヒリョウ</t>
    </rPh>
    <phoneticPr fontId="4"/>
  </si>
  <si>
    <t>kWh/年</t>
    <rPh sb="4" eb="5">
      <t>ネン</t>
    </rPh>
    <phoneticPr fontId="4"/>
  </si>
  <si>
    <t>CO2排出量</t>
    <rPh sb="3" eb="5">
      <t>ハイシュツ</t>
    </rPh>
    <rPh sb="5" eb="6">
      <t>リョウ</t>
    </rPh>
    <phoneticPr fontId="4"/>
  </si>
  <si>
    <t>tCO2/年</t>
    <rPh sb="5" eb="6">
      <t>ネン</t>
    </rPh>
    <phoneticPr fontId="4"/>
  </si>
  <si>
    <t>定格出力の増減</t>
    <rPh sb="0" eb="2">
      <t>テイカク</t>
    </rPh>
    <rPh sb="2" eb="4">
      <t>シュツリョク</t>
    </rPh>
    <rPh sb="5" eb="7">
      <t>ゾウゲン</t>
    </rPh>
    <phoneticPr fontId="4"/>
  </si>
  <si>
    <t>原油換算エネルギー使用量</t>
    <rPh sb="0" eb="4">
      <t>ゲンユカンザン</t>
    </rPh>
    <rPh sb="9" eb="12">
      <t>シヨウリョウ</t>
    </rPh>
    <phoneticPr fontId="4"/>
  </si>
  <si>
    <t>kl/年</t>
    <rPh sb="3" eb="4">
      <t>ネン</t>
    </rPh>
    <phoneticPr fontId="4"/>
  </si>
  <si>
    <t>削減効果</t>
    <rPh sb="0" eb="2">
      <t>サクゲン</t>
    </rPh>
    <rPh sb="2" eb="4">
      <t>コウカ</t>
    </rPh>
    <phoneticPr fontId="4"/>
  </si>
  <si>
    <t>メーカー・型番</t>
    <rPh sb="5" eb="7">
      <t>カタバン</t>
    </rPh>
    <phoneticPr fontId="4"/>
  </si>
  <si>
    <t>極数</t>
    <rPh sb="0" eb="1">
      <t>キョク</t>
    </rPh>
    <rPh sb="1" eb="2">
      <t>スウ</t>
    </rPh>
    <phoneticPr fontId="4"/>
  </si>
  <si>
    <t>消費電力(b=a/p)</t>
    <rPh sb="0" eb="4">
      <t>ショウヒデンリョク</t>
    </rPh>
    <phoneticPr fontId="4"/>
  </si>
  <si>
    <t>年間消費電力量(E)</t>
    <rPh sb="0" eb="2">
      <t>ネンカン</t>
    </rPh>
    <rPh sb="2" eb="7">
      <t>ショウヒデンリョクリョウ</t>
    </rPh>
    <phoneticPr fontId="4"/>
  </si>
  <si>
    <t>kW</t>
    <phoneticPr fontId="4"/>
  </si>
  <si>
    <t>%</t>
    <phoneticPr fontId="4"/>
  </si>
  <si>
    <t>kW/台</t>
    <rPh sb="3" eb="4">
      <t>ダイ</t>
    </rPh>
    <phoneticPr fontId="4"/>
  </si>
  <si>
    <t>h/年</t>
    <rPh sb="2" eb="3">
      <t>ネン</t>
    </rPh>
    <phoneticPr fontId="4"/>
  </si>
  <si>
    <t>入力例</t>
    <rPh sb="0" eb="2">
      <t>ニュウリョク</t>
    </rPh>
    <rPh sb="2" eb="3">
      <t>レイ</t>
    </rPh>
    <phoneticPr fontId="4"/>
  </si>
  <si>
    <t>OLF-754FE</t>
  </si>
  <si>
    <t>IE2</t>
  </si>
  <si>
    <t>4極</t>
  </si>
  <si>
    <t>　</t>
  </si>
  <si>
    <t>PLM-75DBC</t>
  </si>
  <si>
    <t>IE3</t>
  </si>
  <si>
    <t>合計</t>
    <rPh sb="0" eb="2">
      <t>ゴウケイ</t>
    </rPh>
    <phoneticPr fontId="4"/>
  </si>
  <si>
    <t>変圧器の更新</t>
    <rPh sb="0" eb="3">
      <t>ヘンアツキ</t>
    </rPh>
    <rPh sb="4" eb="6">
      <t>コウシン</t>
    </rPh>
    <phoneticPr fontId="4"/>
  </si>
  <si>
    <t>年間消費電力量</t>
    <rPh sb="0" eb="2">
      <t>ネンカン</t>
    </rPh>
    <rPh sb="2" eb="7">
      <t>ショウヒデンリョクリョウ</t>
    </rPh>
    <phoneticPr fontId="4"/>
  </si>
  <si>
    <t>CO2排出量</t>
    <rPh sb="3" eb="6">
      <t>ハイシュツリョウ</t>
    </rPh>
    <phoneticPr fontId="4"/>
  </si>
  <si>
    <t>容量</t>
    <rPh sb="0" eb="2">
      <t>ヨウリョウ</t>
    </rPh>
    <phoneticPr fontId="4"/>
  </si>
  <si>
    <t>無負荷損（a）</t>
    <rPh sb="0" eb="4">
      <t>ムフカゾン</t>
    </rPh>
    <phoneticPr fontId="4"/>
  </si>
  <si>
    <t>負荷損(b)</t>
    <rPh sb="0" eb="3">
      <t>フカゾン</t>
    </rPh>
    <phoneticPr fontId="4"/>
  </si>
  <si>
    <t>CO2排出量
(C)</t>
    <rPh sb="3" eb="6">
      <t>ハイシュツリョウ</t>
    </rPh>
    <phoneticPr fontId="4"/>
  </si>
  <si>
    <t>CO2排出量(C')</t>
    <rPh sb="3" eb="6">
      <t>ハイシュツリョウ</t>
    </rPh>
    <phoneticPr fontId="4"/>
  </si>
  <si>
    <t>電力削減量（E-E’）</t>
    <rPh sb="0" eb="2">
      <t>デンリョク</t>
    </rPh>
    <rPh sb="2" eb="5">
      <t>サクゲンリョウ</t>
    </rPh>
    <phoneticPr fontId="4"/>
  </si>
  <si>
    <t>CO2削減量（C-C’）</t>
    <rPh sb="3" eb="6">
      <t>サクゲンリョウ</t>
    </rPh>
    <phoneticPr fontId="4"/>
  </si>
  <si>
    <t>kVA</t>
    <phoneticPr fontId="4"/>
  </si>
  <si>
    <t>W</t>
    <phoneticPr fontId="4"/>
  </si>
  <si>
    <t>KK-1L</t>
  </si>
  <si>
    <t>ME-1R</t>
  </si>
  <si>
    <t>台</t>
    <rPh sb="0" eb="1">
      <t>ダイ</t>
    </rPh>
    <phoneticPr fontId="4"/>
  </si>
  <si>
    <t>負荷率</t>
    <rPh sb="0" eb="3">
      <t>フカリツ</t>
    </rPh>
    <phoneticPr fontId="4"/>
  </si>
  <si>
    <t>更新後</t>
    <rPh sb="0" eb="3">
      <t>コウシンゴ</t>
    </rPh>
    <phoneticPr fontId="4"/>
  </si>
  <si>
    <t>冷房</t>
    <rPh sb="0" eb="2">
      <t>レイボウ</t>
    </rPh>
    <phoneticPr fontId="4"/>
  </si>
  <si>
    <t>暖房</t>
    <rPh sb="0" eb="2">
      <t>ダンボウ</t>
    </rPh>
    <phoneticPr fontId="4"/>
  </si>
  <si>
    <t>年間</t>
    <rPh sb="0" eb="2">
      <t>ネンカン</t>
    </rPh>
    <phoneticPr fontId="4"/>
  </si>
  <si>
    <t>冷房定格能力</t>
    <rPh sb="0" eb="2">
      <t>レイボウ</t>
    </rPh>
    <rPh sb="2" eb="4">
      <t>テイカク</t>
    </rPh>
    <rPh sb="4" eb="6">
      <t>ノウリョク</t>
    </rPh>
    <phoneticPr fontId="4"/>
  </si>
  <si>
    <t>暖房定格能力</t>
    <rPh sb="0" eb="2">
      <t>ダンボウ</t>
    </rPh>
    <rPh sb="2" eb="4">
      <t>テイカク</t>
    </rPh>
    <rPh sb="4" eb="6">
      <t>ノウリョク</t>
    </rPh>
    <phoneticPr fontId="4"/>
  </si>
  <si>
    <t>CCC280DD</t>
    <phoneticPr fontId="4"/>
  </si>
  <si>
    <t>㎥/年</t>
    <rPh sb="2" eb="3">
      <t>ネン</t>
    </rPh>
    <phoneticPr fontId="4"/>
  </si>
  <si>
    <t>燃料消費量</t>
    <rPh sb="0" eb="2">
      <t>ネンリョウ</t>
    </rPh>
    <rPh sb="2" eb="5">
      <t>ショウヒリョウ</t>
    </rPh>
    <phoneticPr fontId="4"/>
  </si>
  <si>
    <t>％</t>
    <phoneticPr fontId="4"/>
  </si>
  <si>
    <t>電気</t>
    <rPh sb="0" eb="2">
      <t>デンキ</t>
    </rPh>
    <phoneticPr fontId="4"/>
  </si>
  <si>
    <t>kWh</t>
  </si>
  <si>
    <t>kW</t>
  </si>
  <si>
    <t>kVA</t>
  </si>
  <si>
    <t>エネルギーの種類</t>
    <rPh sb="6" eb="8">
      <t>シュルイ</t>
    </rPh>
    <phoneticPr fontId="15"/>
  </si>
  <si>
    <t>発熱量単位</t>
    <rPh sb="3" eb="5">
      <t>タンイ</t>
    </rPh>
    <phoneticPr fontId="15"/>
  </si>
  <si>
    <t>エネルギー単位</t>
    <rPh sb="5" eb="7">
      <t>タンイ</t>
    </rPh>
    <phoneticPr fontId="15"/>
  </si>
  <si>
    <t>炭素換算</t>
    <rPh sb="0" eb="4">
      <t>タンソカンサン</t>
    </rPh>
    <phoneticPr fontId="15"/>
  </si>
  <si>
    <t>単位</t>
    <rPh sb="0" eb="2">
      <t>タンイ</t>
    </rPh>
    <phoneticPr fontId="15"/>
  </si>
  <si>
    <t>CO2排出係数</t>
    <rPh sb="3" eb="5">
      <t>ハイシュツ</t>
    </rPh>
    <rPh sb="5" eb="7">
      <t>ケイスウ</t>
    </rPh>
    <phoneticPr fontId="15"/>
  </si>
  <si>
    <t>原油（コンデンセートを除く。）</t>
    <rPh sb="0" eb="2">
      <t>ゲンユ</t>
    </rPh>
    <rPh sb="11" eb="12">
      <t>ノゾ</t>
    </rPh>
    <phoneticPr fontId="15"/>
  </si>
  <si>
    <t>L</t>
    <phoneticPr fontId="4"/>
  </si>
  <si>
    <t>tC/GJ</t>
    <phoneticPr fontId="15"/>
  </si>
  <si>
    <t>原油のうちコンデンセート（NGL）</t>
    <rPh sb="0" eb="2">
      <t>ゲンユ</t>
    </rPh>
    <phoneticPr fontId="15"/>
  </si>
  <si>
    <t>揮発油（ガソリン）</t>
    <rPh sb="0" eb="3">
      <t>キハツユ</t>
    </rPh>
    <phoneticPr fontId="15"/>
  </si>
  <si>
    <t>ナフサ</t>
    <phoneticPr fontId="15"/>
  </si>
  <si>
    <t>灯油</t>
    <rPh sb="0" eb="2">
      <t>トウユ</t>
    </rPh>
    <phoneticPr fontId="15"/>
  </si>
  <si>
    <t>軽油</t>
    <rPh sb="0" eb="2">
      <t>ケイユ</t>
    </rPh>
    <phoneticPr fontId="15"/>
  </si>
  <si>
    <t>A重油</t>
    <rPh sb="1" eb="3">
      <t>ジュウユ</t>
    </rPh>
    <phoneticPr fontId="15"/>
  </si>
  <si>
    <t>B・C重油</t>
    <rPh sb="3" eb="5">
      <t>ジュウユ</t>
    </rPh>
    <phoneticPr fontId="15"/>
  </si>
  <si>
    <t>石油アスファルト</t>
    <rPh sb="0" eb="2">
      <t>セキユ</t>
    </rPh>
    <phoneticPr fontId="15"/>
  </si>
  <si>
    <t>kg</t>
    <phoneticPr fontId="4"/>
  </si>
  <si>
    <t>石油コークス</t>
    <rPh sb="0" eb="2">
      <t>セキユ</t>
    </rPh>
    <phoneticPr fontId="15"/>
  </si>
  <si>
    <t>液化石油ガス（LPG）</t>
    <rPh sb="0" eb="2">
      <t>エキカ</t>
    </rPh>
    <rPh sb="2" eb="4">
      <t>セキユ</t>
    </rPh>
    <phoneticPr fontId="15"/>
  </si>
  <si>
    <t>石油系炭化水素ガス</t>
    <rPh sb="0" eb="3">
      <t>セキユケイ</t>
    </rPh>
    <rPh sb="3" eb="5">
      <t>タンカ</t>
    </rPh>
    <rPh sb="5" eb="7">
      <t>スイソ</t>
    </rPh>
    <phoneticPr fontId="15"/>
  </si>
  <si>
    <t>液化天然ガス（LＮG）</t>
    <rPh sb="0" eb="2">
      <t>エキカ</t>
    </rPh>
    <rPh sb="2" eb="4">
      <t>テンネン</t>
    </rPh>
    <phoneticPr fontId="15"/>
  </si>
  <si>
    <t>その他可燃性天然ガス</t>
    <rPh sb="2" eb="3">
      <t>タ</t>
    </rPh>
    <rPh sb="3" eb="6">
      <t>カネンセイ</t>
    </rPh>
    <rPh sb="6" eb="8">
      <t>テンネン</t>
    </rPh>
    <phoneticPr fontId="15"/>
  </si>
  <si>
    <t>原料炭</t>
    <rPh sb="0" eb="2">
      <t>ゲンリョウ</t>
    </rPh>
    <rPh sb="2" eb="3">
      <t>タン</t>
    </rPh>
    <phoneticPr fontId="15"/>
  </si>
  <si>
    <t>一般炭</t>
    <rPh sb="0" eb="2">
      <t>イッパン</t>
    </rPh>
    <rPh sb="2" eb="3">
      <t>タン</t>
    </rPh>
    <phoneticPr fontId="15"/>
  </si>
  <si>
    <t>無煙炭</t>
    <rPh sb="0" eb="2">
      <t>ムエン</t>
    </rPh>
    <rPh sb="2" eb="3">
      <t>タン</t>
    </rPh>
    <phoneticPr fontId="15"/>
  </si>
  <si>
    <t>石炭コークス</t>
    <rPh sb="0" eb="2">
      <t>セキタン</t>
    </rPh>
    <phoneticPr fontId="15"/>
  </si>
  <si>
    <t>コールタール</t>
    <phoneticPr fontId="15"/>
  </si>
  <si>
    <t>コークス炉ガス</t>
    <rPh sb="4" eb="5">
      <t>ロ</t>
    </rPh>
    <phoneticPr fontId="15"/>
  </si>
  <si>
    <t>高炉ガス</t>
    <rPh sb="0" eb="2">
      <t>コウロ</t>
    </rPh>
    <phoneticPr fontId="15"/>
  </si>
  <si>
    <t>転炉ガス</t>
    <rPh sb="0" eb="2">
      <t>テンロ</t>
    </rPh>
    <phoneticPr fontId="15"/>
  </si>
  <si>
    <t>産業用蒸気</t>
    <rPh sb="0" eb="3">
      <t>サンギョウヨウ</t>
    </rPh>
    <rPh sb="3" eb="5">
      <t>ジョウキ</t>
    </rPh>
    <phoneticPr fontId="15"/>
  </si>
  <si>
    <t>MJ</t>
  </si>
  <si>
    <t>tCO2/GJ</t>
    <phoneticPr fontId="15"/>
  </si>
  <si>
    <t>産業用以外の蒸気</t>
    <rPh sb="0" eb="3">
      <t>サンギョウヨウ</t>
    </rPh>
    <rPh sb="3" eb="5">
      <t>イガイ</t>
    </rPh>
    <rPh sb="6" eb="8">
      <t>ジョウキ</t>
    </rPh>
    <phoneticPr fontId="15"/>
  </si>
  <si>
    <t>温水</t>
    <rPh sb="0" eb="2">
      <t>オンスイ</t>
    </rPh>
    <phoneticPr fontId="15"/>
  </si>
  <si>
    <t>冷水</t>
    <rPh sb="0" eb="2">
      <t>レイスイ</t>
    </rPh>
    <phoneticPr fontId="15"/>
  </si>
  <si>
    <t>kWh</t>
    <phoneticPr fontId="4"/>
  </si>
  <si>
    <t>tCO2/kWh</t>
    <phoneticPr fontId="15"/>
  </si>
  <si>
    <t>IE1</t>
  </si>
  <si>
    <t>出力（kW）</t>
    <rPh sb="0" eb="2">
      <t>シュツリョク</t>
    </rPh>
    <phoneticPr fontId="4"/>
  </si>
  <si>
    <t>2極</t>
    <phoneticPr fontId="4"/>
  </si>
  <si>
    <t>4極</t>
    <phoneticPr fontId="4"/>
  </si>
  <si>
    <t>6極</t>
    <phoneticPr fontId="4"/>
  </si>
  <si>
    <t>8極</t>
    <rPh sb="1" eb="2">
      <t>キョク</t>
    </rPh>
    <phoneticPr fontId="4"/>
  </si>
  <si>
    <t>IE1</t>
    <phoneticPr fontId="4"/>
  </si>
  <si>
    <t>IE2</t>
    <phoneticPr fontId="4"/>
  </si>
  <si>
    <t>IE3</t>
    <phoneticPr fontId="4"/>
  </si>
  <si>
    <t>IE4</t>
    <phoneticPr fontId="4"/>
  </si>
  <si>
    <t>空冷式冷房能力</t>
    <rPh sb="0" eb="3">
      <t>クウレイシキ</t>
    </rPh>
    <rPh sb="3" eb="5">
      <t>レイボウ</t>
    </rPh>
    <rPh sb="5" eb="7">
      <t>ノウリョク</t>
    </rPh>
    <phoneticPr fontId="4"/>
  </si>
  <si>
    <t>水冷式冷暖房能力</t>
    <rPh sb="0" eb="3">
      <t>スイレイシキ</t>
    </rPh>
    <rPh sb="3" eb="6">
      <t>レイダンボウ</t>
    </rPh>
    <rPh sb="6" eb="8">
      <t>ノウリョク</t>
    </rPh>
    <phoneticPr fontId="4"/>
  </si>
  <si>
    <t>パッケージエアコン</t>
    <phoneticPr fontId="4"/>
  </si>
  <si>
    <t>kW表示</t>
    <rPh sb="2" eb="4">
      <t>ヒョウジ</t>
    </rPh>
    <phoneticPr fontId="4"/>
  </si>
  <si>
    <t>kcal/h表示</t>
    <phoneticPr fontId="4"/>
  </si>
  <si>
    <t>馬力表示</t>
    <rPh sb="0" eb="2">
      <t>バリキ</t>
    </rPh>
    <phoneticPr fontId="4"/>
  </si>
  <si>
    <t>kW表示</t>
    <phoneticPr fontId="4"/>
  </si>
  <si>
    <t>kcal/h</t>
    <phoneticPr fontId="4"/>
  </si>
  <si>
    <t> 1.6/1.8</t>
  </si>
  <si>
    <t> 1,400/1,600</t>
  </si>
  <si>
    <t> 0.7</t>
  </si>
  <si>
    <t>1.8/2.0</t>
  </si>
  <si>
    <t> 1,600/1,800</t>
  </si>
  <si>
    <t> 0.6</t>
  </si>
  <si>
    <t> 2.0/2.2</t>
  </si>
  <si>
    <t> 1,800/2,000</t>
  </si>
  <si>
    <t> 0.8</t>
  </si>
  <si>
    <t> 2.5/2.8</t>
  </si>
  <si>
    <t> 2,240/2,500</t>
  </si>
  <si>
    <t> 0.9</t>
  </si>
  <si>
    <t> 1</t>
  </si>
  <si>
    <t> 4.0/4.5</t>
  </si>
  <si>
    <t> 3,550/4,000</t>
  </si>
  <si>
    <t> 1.3</t>
  </si>
  <si>
    <t> 3.2/3.6</t>
  </si>
  <si>
    <t> 2,800/3,150</t>
  </si>
  <si>
    <t> 5.0/5.6</t>
  </si>
  <si>
    <t> 4,500/5,000</t>
  </si>
  <si>
    <t> 1.8</t>
  </si>
  <si>
    <t> 5.6/6.3</t>
  </si>
  <si>
    <t> 5,000/5,600</t>
  </si>
  <si>
    <t> 2</t>
  </si>
  <si>
    <t> 4.5/5.0</t>
  </si>
  <si>
    <t> 4,000/4,500</t>
  </si>
  <si>
    <t> 7.1/8.0</t>
  </si>
  <si>
    <t> 6,300/7,100</t>
  </si>
  <si>
    <t> 2.5</t>
  </si>
  <si>
    <t> 2.3</t>
  </si>
  <si>
    <t> 9.0/10.0</t>
  </si>
  <si>
    <t> 8,000/9,000</t>
  </si>
  <si>
    <t> 3</t>
  </si>
  <si>
    <t> 11.2/12.5</t>
  </si>
  <si>
    <t> 10,000/11,200</t>
  </si>
  <si>
    <t> 4</t>
  </si>
  <si>
    <t> 6.3/7.1</t>
  </si>
  <si>
    <t> 5,600/6,300</t>
  </si>
  <si>
    <t> 2.8</t>
  </si>
  <si>
    <t> 14.0/16.0</t>
  </si>
  <si>
    <t> 12,500/14,000</t>
  </si>
  <si>
    <t> 5</t>
  </si>
  <si>
    <t> 22.4/25.0</t>
  </si>
  <si>
    <t> 20,000/22,400</t>
  </si>
  <si>
    <t> 8</t>
  </si>
  <si>
    <t> 8.0/9.0</t>
  </si>
  <si>
    <t> 7,100/8,000</t>
  </si>
  <si>
    <t> 3.3</t>
  </si>
  <si>
    <t> 28.0/31.5</t>
  </si>
  <si>
    <t> 25,000/28,000</t>
  </si>
  <si>
    <t> 10</t>
  </si>
  <si>
    <t> 10/11.2</t>
  </si>
  <si>
    <t> 9,000/10,000</t>
  </si>
  <si>
    <t> 45.0/50.0</t>
  </si>
  <si>
    <t> 40,000/45,000</t>
  </si>
  <si>
    <t> 15</t>
  </si>
  <si>
    <t> 12.5/14.0</t>
  </si>
  <si>
    <t> 11,200/12,500</t>
  </si>
  <si>
    <t> 56.0/63.0</t>
  </si>
  <si>
    <t> 50,000/56,000</t>
  </si>
  <si>
    <t> 20</t>
  </si>
  <si>
    <t> 6</t>
  </si>
  <si>
    <t> 71.0/80.0</t>
  </si>
  <si>
    <t> 63,000/71,000</t>
  </si>
  <si>
    <t> 25</t>
  </si>
  <si>
    <t> 18.0/20.0</t>
  </si>
  <si>
    <t> 16,000/18,000</t>
  </si>
  <si>
    <t> 7.5</t>
  </si>
  <si>
    <t> 90.0/100</t>
  </si>
  <si>
    <t> 80,000/90,000</t>
  </si>
  <si>
    <t> 30</t>
  </si>
  <si>
    <t> 20.0/22.4</t>
  </si>
  <si>
    <t> 18,000/20,000</t>
  </si>
  <si>
    <t> 112/125</t>
  </si>
  <si>
    <t> 100,000/112,000</t>
  </si>
  <si>
    <t> 40</t>
  </si>
  <si>
    <t> 25.0/28.0</t>
  </si>
  <si>
    <t> 22,400/25,000</t>
  </si>
  <si>
    <t> 140/160</t>
  </si>
  <si>
    <t> 125,000/140,000</t>
  </si>
  <si>
    <t> 50</t>
  </si>
  <si>
    <t> 31.5/35.5</t>
  </si>
  <si>
    <t> 28,000/31,500</t>
  </si>
  <si>
    <t> 13</t>
  </si>
  <si>
    <t> 180/200</t>
  </si>
  <si>
    <t> 160,000/180,000</t>
  </si>
  <si>
    <t> 60</t>
  </si>
  <si>
    <t> 35.5/40.0</t>
  </si>
  <si>
    <t> 31,500/35,500</t>
  </si>
  <si>
    <t> 224/250</t>
  </si>
  <si>
    <t> 200,000/224,000</t>
  </si>
  <si>
    <t> 80</t>
  </si>
  <si>
    <t> 40.0/45.0</t>
  </si>
  <si>
    <t> 35,500/40,000</t>
  </si>
  <si>
    <t> 16</t>
  </si>
  <si>
    <t> 280/315</t>
  </si>
  <si>
    <t> 250,000/280,000</t>
  </si>
  <si>
    <t> 100</t>
  </si>
  <si>
    <t> 50.0/56.0</t>
  </si>
  <si>
    <t> 45,000/50,000</t>
  </si>
  <si>
    <t> 355/400</t>
  </si>
  <si>
    <t> 315,000/355,000</t>
  </si>
  <si>
    <t> 120</t>
  </si>
  <si>
    <t> 100/112</t>
  </si>
  <si>
    <t> 90,000/100,000</t>
  </si>
  <si>
    <t> 125/140</t>
  </si>
  <si>
    <t> 112,000/125,000</t>
  </si>
  <si>
    <t> 200/224</t>
  </si>
  <si>
    <t> 180,000/200,000</t>
  </si>
  <si>
    <t> 250/280</t>
  </si>
  <si>
    <t> 224,000/250,000</t>
  </si>
  <si>
    <t>コンプレッサーの更新</t>
    <phoneticPr fontId="4"/>
  </si>
  <si>
    <t>ガス消費量</t>
    <rPh sb="2" eb="5">
      <t>ショウヒリョウ</t>
    </rPh>
    <phoneticPr fontId="4"/>
  </si>
  <si>
    <t>ガス種類</t>
    <rPh sb="2" eb="4">
      <t>シュルイ</t>
    </rPh>
    <phoneticPr fontId="12"/>
  </si>
  <si>
    <t>AAA280BB</t>
    <phoneticPr fontId="4"/>
  </si>
  <si>
    <t>・削減電力量(kWh/年)＝コンプレッサー入力(ｋW)×負荷率×年間稼働時間(h/年)×軸動力低減率</t>
    <rPh sb="1" eb="3">
      <t>サクゲン</t>
    </rPh>
    <rPh sb="3" eb="5">
      <t>デンリョク</t>
    </rPh>
    <rPh sb="5" eb="6">
      <t>リョウ</t>
    </rPh>
    <rPh sb="11" eb="12">
      <t>ネン</t>
    </rPh>
    <rPh sb="21" eb="23">
      <t>ニュウリョク</t>
    </rPh>
    <rPh sb="28" eb="30">
      <t>フカ</t>
    </rPh>
    <rPh sb="30" eb="31">
      <t>リツ</t>
    </rPh>
    <rPh sb="32" eb="34">
      <t>ネンカン</t>
    </rPh>
    <rPh sb="34" eb="36">
      <t>カドウ</t>
    </rPh>
    <rPh sb="36" eb="38">
      <t>ジカン</t>
    </rPh>
    <rPh sb="41" eb="42">
      <t>ネン</t>
    </rPh>
    <rPh sb="44" eb="45">
      <t>ジク</t>
    </rPh>
    <rPh sb="45" eb="47">
      <t>ドウリョク</t>
    </rPh>
    <rPh sb="47" eb="49">
      <t>テイゲン</t>
    </rPh>
    <rPh sb="49" eb="50">
      <t>リツ</t>
    </rPh>
    <phoneticPr fontId="3"/>
  </si>
  <si>
    <t>電流値の測定からコンプレッサーの負荷率を推測する。</t>
    <rPh sb="0" eb="3">
      <t>デンリュウチ</t>
    </rPh>
    <rPh sb="4" eb="6">
      <t>ソクテイ</t>
    </rPh>
    <rPh sb="16" eb="18">
      <t>フカ</t>
    </rPh>
    <rPh sb="18" eb="19">
      <t>リツ</t>
    </rPh>
    <rPh sb="20" eb="22">
      <t>スイソク</t>
    </rPh>
    <phoneticPr fontId="3"/>
  </si>
  <si>
    <t>圧縮機の電流・圧力を測定し、使用空気量や消費電力、負荷率を把握する。</t>
    <rPh sb="0" eb="3">
      <t>アッシュクキ</t>
    </rPh>
    <rPh sb="4" eb="6">
      <t>デンリュウ</t>
    </rPh>
    <rPh sb="7" eb="9">
      <t>アツリョク</t>
    </rPh>
    <rPh sb="10" eb="12">
      <t>ソクテイ</t>
    </rPh>
    <rPh sb="14" eb="16">
      <t>シヨウ</t>
    </rPh>
    <rPh sb="16" eb="18">
      <t>クウキ</t>
    </rPh>
    <rPh sb="18" eb="19">
      <t>リョウ</t>
    </rPh>
    <rPh sb="20" eb="22">
      <t>ショウヒ</t>
    </rPh>
    <rPh sb="22" eb="24">
      <t>デンリョク</t>
    </rPh>
    <rPh sb="25" eb="27">
      <t>フカ</t>
    </rPh>
    <rPh sb="27" eb="28">
      <t>リツ</t>
    </rPh>
    <rPh sb="29" eb="31">
      <t>ハアク</t>
    </rPh>
    <phoneticPr fontId="3"/>
  </si>
  <si>
    <t>・負荷率/日</t>
    <rPh sb="1" eb="3">
      <t>フカ</t>
    </rPh>
    <rPh sb="3" eb="4">
      <t>リツ</t>
    </rPh>
    <rPh sb="5" eb="6">
      <t>ヒ</t>
    </rPh>
    <phoneticPr fontId="3"/>
  </si>
  <si>
    <t>時間</t>
    <rPh sb="0" eb="2">
      <t>ジカン</t>
    </rPh>
    <phoneticPr fontId="3"/>
  </si>
  <si>
    <t>運転時間（h）</t>
    <rPh sb="0" eb="2">
      <t>ウンテン</t>
    </rPh>
    <rPh sb="2" eb="4">
      <t>ジカン</t>
    </rPh>
    <phoneticPr fontId="3"/>
  </si>
  <si>
    <t>負荷率（％）</t>
    <rPh sb="0" eb="2">
      <t>フカ</t>
    </rPh>
    <rPh sb="2" eb="3">
      <t>リツ</t>
    </rPh>
    <phoneticPr fontId="3"/>
  </si>
  <si>
    <t>8：00～10：00</t>
    <phoneticPr fontId="3"/>
  </si>
  <si>
    <t>10：00～12：00</t>
    <phoneticPr fontId="3"/>
  </si>
  <si>
    <t>12：00～13：00</t>
    <phoneticPr fontId="3"/>
  </si>
  <si>
    <t>13：00～15：00</t>
    <phoneticPr fontId="3"/>
  </si>
  <si>
    <t>15：00～19：00</t>
    <phoneticPr fontId="3"/>
  </si>
  <si>
    <t>合計</t>
    <rPh sb="0" eb="2">
      <t>ゴウケイ</t>
    </rPh>
    <phoneticPr fontId="3"/>
  </si>
  <si>
    <t>ー</t>
    <phoneticPr fontId="3"/>
  </si>
  <si>
    <t>★コンプレッサー</t>
    <phoneticPr fontId="3"/>
  </si>
  <si>
    <t>・改善前の負荷率・消費電力</t>
    <rPh sb="1" eb="3">
      <t>カイゼン</t>
    </rPh>
    <rPh sb="3" eb="4">
      <t>マエ</t>
    </rPh>
    <rPh sb="5" eb="7">
      <t>フカ</t>
    </rPh>
    <rPh sb="7" eb="8">
      <t>リツ</t>
    </rPh>
    <rPh sb="9" eb="11">
      <t>ショウヒ</t>
    </rPh>
    <rPh sb="11" eb="13">
      <t>デンリョク</t>
    </rPh>
    <phoneticPr fontId="3"/>
  </si>
  <si>
    <t>負荷率</t>
    <rPh sb="0" eb="2">
      <t>フカ</t>
    </rPh>
    <rPh sb="2" eb="3">
      <t>リツ</t>
    </rPh>
    <phoneticPr fontId="3"/>
  </si>
  <si>
    <t>空気量</t>
    <rPh sb="0" eb="2">
      <t>クウキ</t>
    </rPh>
    <rPh sb="2" eb="3">
      <t>リョウ</t>
    </rPh>
    <phoneticPr fontId="3"/>
  </si>
  <si>
    <t>1日当たりの消費電力（kWh）</t>
    <rPh sb="1" eb="2">
      <t>ニチ</t>
    </rPh>
    <rPh sb="2" eb="3">
      <t>ア</t>
    </rPh>
    <rPh sb="6" eb="8">
      <t>ショウヒ</t>
    </rPh>
    <rPh sb="8" eb="10">
      <t>デンリョク</t>
    </rPh>
    <phoneticPr fontId="3"/>
  </si>
  <si>
    <t>(%)</t>
    <phoneticPr fontId="3"/>
  </si>
  <si>
    <t>(㎥/min）</t>
    <phoneticPr fontId="3"/>
  </si>
  <si>
    <t>40.4×4×0.94</t>
    <phoneticPr fontId="3"/>
  </si>
  <si>
    <t>U1(37kW)</t>
    <phoneticPr fontId="3"/>
  </si>
  <si>
    <t>U2(37kW)</t>
    <phoneticPr fontId="3"/>
  </si>
  <si>
    <t>合計(kWh)</t>
    <rPh sb="0" eb="2">
      <t>ゴウケイ</t>
    </rPh>
    <phoneticPr fontId="3"/>
  </si>
  <si>
    <t>40.4×4×0.61</t>
    <phoneticPr fontId="3"/>
  </si>
  <si>
    <t>40.4×4×1.0</t>
    <phoneticPr fontId="3"/>
  </si>
  <si>
    <t>・改善後の負荷率・消費電力</t>
    <rPh sb="1" eb="3">
      <t>カイゼン</t>
    </rPh>
    <rPh sb="3" eb="4">
      <t>ゴ</t>
    </rPh>
    <rPh sb="5" eb="7">
      <t>フカ</t>
    </rPh>
    <rPh sb="7" eb="8">
      <t>リツ</t>
    </rPh>
    <rPh sb="9" eb="11">
      <t>ショウヒ</t>
    </rPh>
    <rPh sb="11" eb="13">
      <t>デンリョク</t>
    </rPh>
    <phoneticPr fontId="3"/>
  </si>
  <si>
    <t>　　　理想的な動力特性となる。</t>
    <rPh sb="3" eb="6">
      <t>リソウテキ</t>
    </rPh>
    <rPh sb="7" eb="9">
      <t>ドウリョク</t>
    </rPh>
    <rPh sb="9" eb="11">
      <t>トクセイ</t>
    </rPh>
    <phoneticPr fontId="3"/>
  </si>
  <si>
    <t>（例１）現状コンプレッサー2台で台数制御運転を行っているが、1台をインバータ機に帰ることで</t>
    <rPh sb="1" eb="2">
      <t>レイ</t>
    </rPh>
    <rPh sb="4" eb="6">
      <t>ゲンジョウ</t>
    </rPh>
    <rPh sb="14" eb="15">
      <t>ダイ</t>
    </rPh>
    <rPh sb="16" eb="18">
      <t>ダイスウ</t>
    </rPh>
    <rPh sb="18" eb="20">
      <t>セイギョ</t>
    </rPh>
    <rPh sb="20" eb="22">
      <t>ウンテン</t>
    </rPh>
    <rPh sb="23" eb="24">
      <t>オコナ</t>
    </rPh>
    <rPh sb="31" eb="32">
      <t>ダイ</t>
    </rPh>
    <rPh sb="38" eb="39">
      <t>キ</t>
    </rPh>
    <rPh sb="40" eb="41">
      <t>カエ</t>
    </rPh>
    <phoneticPr fontId="3"/>
  </si>
  <si>
    <t>AA1（例）</t>
    <rPh sb="4" eb="5">
      <t>レイ</t>
    </rPh>
    <phoneticPr fontId="3"/>
  </si>
  <si>
    <t>制御方式</t>
    <rPh sb="0" eb="2">
      <t>セイギョ</t>
    </rPh>
    <rPh sb="2" eb="4">
      <t>ホウシキ</t>
    </rPh>
    <phoneticPr fontId="3"/>
  </si>
  <si>
    <t>ANEW1（例）</t>
    <rPh sb="6" eb="7">
      <t>レイ</t>
    </rPh>
    <phoneticPr fontId="3"/>
  </si>
  <si>
    <t>使用条件</t>
    <rPh sb="0" eb="2">
      <t>シヨウ</t>
    </rPh>
    <rPh sb="2" eb="4">
      <t>ジョウケン</t>
    </rPh>
    <phoneticPr fontId="3"/>
  </si>
  <si>
    <t>t-CO₂/年</t>
    <rPh sb="6" eb="7">
      <t>ネン</t>
    </rPh>
    <phoneticPr fontId="3"/>
  </si>
  <si>
    <t>％</t>
    <phoneticPr fontId="3"/>
  </si>
  <si>
    <t>＊負荷率</t>
    <rPh sb="1" eb="3">
      <t>フカ</t>
    </rPh>
    <rPh sb="3" eb="4">
      <t>リツ</t>
    </rPh>
    <phoneticPr fontId="3"/>
  </si>
  <si>
    <t>機種№</t>
    <rPh sb="0" eb="2">
      <t>キシュ</t>
    </rPh>
    <phoneticPr fontId="4"/>
  </si>
  <si>
    <t>動力比</t>
    <rPh sb="0" eb="2">
      <t>ドウリョク</t>
    </rPh>
    <rPh sb="2" eb="3">
      <t>ヒ</t>
    </rPh>
    <phoneticPr fontId="4"/>
  </si>
  <si>
    <t>使用空気量</t>
    <rPh sb="0" eb="2">
      <t>シヨウ</t>
    </rPh>
    <rPh sb="2" eb="4">
      <t>クウキ</t>
    </rPh>
    <rPh sb="4" eb="5">
      <t>リョウ</t>
    </rPh>
    <phoneticPr fontId="4"/>
  </si>
  <si>
    <t>現状</t>
    <rPh sb="0" eb="2">
      <t>ゲンジョウ</t>
    </rPh>
    <phoneticPr fontId="12"/>
  </si>
  <si>
    <t>吸込み絞り</t>
    <rPh sb="0" eb="1">
      <t>ス</t>
    </rPh>
    <rPh sb="1" eb="2">
      <t>コ</t>
    </rPh>
    <rPh sb="3" eb="4">
      <t>シボ</t>
    </rPh>
    <phoneticPr fontId="7"/>
  </si>
  <si>
    <t>吸込み絞り</t>
    <rPh sb="0" eb="1">
      <t>ス</t>
    </rPh>
    <rPh sb="1" eb="2">
      <t>コ</t>
    </rPh>
    <rPh sb="3" eb="4">
      <t>シボ</t>
    </rPh>
    <phoneticPr fontId="12"/>
  </si>
  <si>
    <t>吸込み絞り＋パージ</t>
    <rPh sb="0" eb="2">
      <t>スイコ</t>
    </rPh>
    <rPh sb="3" eb="4">
      <t>シボ</t>
    </rPh>
    <phoneticPr fontId="7"/>
  </si>
  <si>
    <t>吸込み絞り＋パージ</t>
    <rPh sb="0" eb="2">
      <t>スイコ</t>
    </rPh>
    <rPh sb="3" eb="4">
      <t>シボ</t>
    </rPh>
    <phoneticPr fontId="12"/>
  </si>
  <si>
    <t>吸込み絞り＋パージ+自動発停</t>
    <rPh sb="0" eb="2">
      <t>スイコ</t>
    </rPh>
    <rPh sb="3" eb="4">
      <t>シボ</t>
    </rPh>
    <rPh sb="10" eb="12">
      <t>ジドウ</t>
    </rPh>
    <rPh sb="12" eb="14">
      <t>ハッテイ</t>
    </rPh>
    <phoneticPr fontId="7"/>
  </si>
  <si>
    <t>吸込み絞り＋パージ+自動発停</t>
    <rPh sb="0" eb="2">
      <t>スイコ</t>
    </rPh>
    <rPh sb="3" eb="4">
      <t>シボ</t>
    </rPh>
    <rPh sb="10" eb="12">
      <t>ジドウ</t>
    </rPh>
    <rPh sb="12" eb="14">
      <t>ハッテイ</t>
    </rPh>
    <phoneticPr fontId="12"/>
  </si>
  <si>
    <t>ロード/アンロード</t>
  </si>
  <si>
    <t>スライド弁</t>
    <rPh sb="4" eb="5">
      <t>ベン</t>
    </rPh>
    <phoneticPr fontId="7"/>
  </si>
  <si>
    <t>スライド弁</t>
    <rPh sb="4" eb="5">
      <t>ベン</t>
    </rPh>
    <phoneticPr fontId="12"/>
  </si>
  <si>
    <t>インバータ</t>
  </si>
  <si>
    <t>ロード/アンロード近似式</t>
    <rPh sb="9" eb="12">
      <t>キンジシキ</t>
    </rPh>
    <phoneticPr fontId="12"/>
  </si>
  <si>
    <t>Y = 0.73 X  +  0.3267</t>
    <phoneticPr fontId="12"/>
  </si>
  <si>
    <t>Y =  -0.5 X＾2 + 1.23 X + 0.26</t>
    <phoneticPr fontId="12"/>
  </si>
  <si>
    <t>温度</t>
    <rPh sb="0" eb="2">
      <t>オンド</t>
    </rPh>
    <phoneticPr fontId="4"/>
  </si>
  <si>
    <t>差</t>
    <rPh sb="0" eb="1">
      <t>サ</t>
    </rPh>
    <phoneticPr fontId="4"/>
  </si>
  <si>
    <t>１００％負荷と停止状態を繰り返す(小型のレシプロ機など）</t>
    <rPh sb="4" eb="6">
      <t>フカ</t>
    </rPh>
    <rPh sb="7" eb="9">
      <t>テイシ</t>
    </rPh>
    <rPh sb="9" eb="11">
      <t>ジョウタイ</t>
    </rPh>
    <rPh sb="12" eb="13">
      <t>ク</t>
    </rPh>
    <rPh sb="14" eb="15">
      <t>カエ</t>
    </rPh>
    <rPh sb="17" eb="19">
      <t>コガタ</t>
    </rPh>
    <rPh sb="24" eb="25">
      <t>キ</t>
    </rPh>
    <phoneticPr fontId="3"/>
  </si>
  <si>
    <t>①</t>
    <phoneticPr fontId="3"/>
  </si>
  <si>
    <t>②</t>
    <phoneticPr fontId="3"/>
  </si>
  <si>
    <t>③</t>
    <phoneticPr fontId="3"/>
  </si>
  <si>
    <t>④</t>
    <phoneticPr fontId="3"/>
  </si>
  <si>
    <t>⑤</t>
    <phoneticPr fontId="3"/>
  </si>
  <si>
    <t>⑥</t>
    <phoneticPr fontId="3"/>
  </si>
  <si>
    <t>⑦</t>
    <phoneticPr fontId="3"/>
  </si>
  <si>
    <t>②＋パージ運転（油冷スクリュー機）</t>
    <rPh sb="5" eb="7">
      <t>ウンテン</t>
    </rPh>
    <phoneticPr fontId="3"/>
  </si>
  <si>
    <t>②＋パージ運転＋自動発停（油冷スクリュー機）</t>
    <rPh sb="5" eb="7">
      <t>ウンテン</t>
    </rPh>
    <rPh sb="8" eb="10">
      <t>ジドウ</t>
    </rPh>
    <rPh sb="10" eb="12">
      <t>ハッテイ</t>
    </rPh>
    <phoneticPr fontId="3"/>
  </si>
  <si>
    <t>ケーシングの一部をスライドさせロータ室の容量を調整(大型油冷スクリュー機）</t>
    <rPh sb="6" eb="8">
      <t>イチブ</t>
    </rPh>
    <rPh sb="18" eb="19">
      <t>シツ</t>
    </rPh>
    <rPh sb="20" eb="22">
      <t>ヨウリョウ</t>
    </rPh>
    <rPh sb="23" eb="25">
      <t>チョウセイ</t>
    </rPh>
    <rPh sb="26" eb="28">
      <t>オオガタ</t>
    </rPh>
    <rPh sb="28" eb="30">
      <t>ユレイ</t>
    </rPh>
    <rPh sb="35" eb="36">
      <t>キ</t>
    </rPh>
    <phoneticPr fontId="3"/>
  </si>
  <si>
    <t>モータの回転速度を制御し容量制御、自動発停(スクリュー機全般）</t>
    <rPh sb="4" eb="6">
      <t>カイテン</t>
    </rPh>
    <rPh sb="6" eb="8">
      <t>ソクド</t>
    </rPh>
    <rPh sb="9" eb="11">
      <t>セイギョ</t>
    </rPh>
    <rPh sb="12" eb="14">
      <t>ヨウリョウ</t>
    </rPh>
    <rPh sb="14" eb="16">
      <t>セイギョ</t>
    </rPh>
    <rPh sb="17" eb="19">
      <t>ジドウ</t>
    </rPh>
    <rPh sb="19" eb="21">
      <t>ハッテイ</t>
    </rPh>
    <rPh sb="27" eb="28">
      <t>キ</t>
    </rPh>
    <rPh sb="28" eb="30">
      <t>ゼンパン</t>
    </rPh>
    <phoneticPr fontId="3"/>
  </si>
  <si>
    <t>吸込み絞り弁を無段階に開閉し、吸込み空気量を調査（油冷スクリュー機）</t>
    <rPh sb="0" eb="2">
      <t>スイコ</t>
    </rPh>
    <rPh sb="3" eb="4">
      <t>シボ</t>
    </rPh>
    <rPh sb="5" eb="6">
      <t>ベン</t>
    </rPh>
    <rPh sb="7" eb="8">
      <t>ム</t>
    </rPh>
    <rPh sb="8" eb="10">
      <t>ダンカイ</t>
    </rPh>
    <rPh sb="11" eb="13">
      <t>カイヘイ</t>
    </rPh>
    <rPh sb="15" eb="17">
      <t>スイコ</t>
    </rPh>
    <rPh sb="18" eb="20">
      <t>クウキ</t>
    </rPh>
    <rPh sb="20" eb="21">
      <t>リョウ</t>
    </rPh>
    <rPh sb="22" eb="24">
      <t>チョウサ</t>
    </rPh>
    <rPh sb="25" eb="27">
      <t>ユレイ</t>
    </rPh>
    <rPh sb="32" eb="33">
      <t>キ</t>
    </rPh>
    <phoneticPr fontId="3"/>
  </si>
  <si>
    <t>吸込み絞り弁を全開/全閉にて吸込み空気量を調整(オイルフリースクリュー、大型レシプロ）</t>
    <rPh sb="7" eb="9">
      <t>ゼンカイ</t>
    </rPh>
    <rPh sb="10" eb="12">
      <t>ゼンペイ</t>
    </rPh>
    <rPh sb="14" eb="15">
      <t>ス</t>
    </rPh>
    <rPh sb="15" eb="16">
      <t>コ</t>
    </rPh>
    <rPh sb="17" eb="19">
      <t>クウキ</t>
    </rPh>
    <rPh sb="19" eb="20">
      <t>リョウ</t>
    </rPh>
    <rPh sb="21" eb="23">
      <t>チョウセイ</t>
    </rPh>
    <rPh sb="36" eb="38">
      <t>オオガタ</t>
    </rPh>
    <phoneticPr fontId="3"/>
  </si>
  <si>
    <t>＊負荷率：機種の最大吐出量に対する使用空気量の割合</t>
    <rPh sb="1" eb="3">
      <t>フカ</t>
    </rPh>
    <rPh sb="3" eb="4">
      <t>リツ</t>
    </rPh>
    <rPh sb="5" eb="7">
      <t>キシュ</t>
    </rPh>
    <rPh sb="8" eb="10">
      <t>サイダイ</t>
    </rPh>
    <rPh sb="10" eb="12">
      <t>トシュツ</t>
    </rPh>
    <rPh sb="12" eb="13">
      <t>リョウ</t>
    </rPh>
    <rPh sb="14" eb="15">
      <t>タイ</t>
    </rPh>
    <rPh sb="17" eb="19">
      <t>シヨウ</t>
    </rPh>
    <rPh sb="19" eb="21">
      <t>クウキ</t>
    </rPh>
    <rPh sb="21" eb="22">
      <t>リョウ</t>
    </rPh>
    <rPh sb="23" eb="25">
      <t>ワリアイ</t>
    </rPh>
    <phoneticPr fontId="3"/>
  </si>
  <si>
    <t>圧力開閉（レシプロ機)</t>
    <rPh sb="0" eb="2">
      <t>アツリョク</t>
    </rPh>
    <rPh sb="2" eb="4">
      <t>カイヘイ</t>
    </rPh>
    <rPh sb="9" eb="10">
      <t>キ</t>
    </rPh>
    <phoneticPr fontId="3"/>
  </si>
  <si>
    <t>%</t>
    <phoneticPr fontId="3"/>
  </si>
  <si>
    <t>プルダウンで選択</t>
    <rPh sb="6" eb="8">
      <t>センタク</t>
    </rPh>
    <phoneticPr fontId="3"/>
  </si>
  <si>
    <t>定格出力(ｋW）⑥</t>
    <rPh sb="0" eb="2">
      <t>テイカク</t>
    </rPh>
    <rPh sb="2" eb="4">
      <t>シュツリョク</t>
    </rPh>
    <phoneticPr fontId="4"/>
  </si>
  <si>
    <t>年間消費電力量⑧</t>
    <rPh sb="0" eb="2">
      <t>ネンカン</t>
    </rPh>
    <rPh sb="2" eb="4">
      <t>ショウヒ</t>
    </rPh>
    <rPh sb="4" eb="6">
      <t>デンリョク</t>
    </rPh>
    <rPh sb="6" eb="7">
      <t>リョウ</t>
    </rPh>
    <phoneticPr fontId="4"/>
  </si>
  <si>
    <t>年間CO₂排出量⑨</t>
    <rPh sb="0" eb="2">
      <t>ネンカン</t>
    </rPh>
    <rPh sb="5" eb="7">
      <t>ハイシュツ</t>
    </rPh>
    <rPh sb="7" eb="8">
      <t>リョウ</t>
    </rPh>
    <phoneticPr fontId="3"/>
  </si>
  <si>
    <t>方式の説明</t>
    <rPh sb="0" eb="2">
      <t>ホウシキ</t>
    </rPh>
    <rPh sb="3" eb="5">
      <t>セツメイ</t>
    </rPh>
    <phoneticPr fontId="3"/>
  </si>
  <si>
    <t>対象制御方式</t>
    <rPh sb="0" eb="2">
      <t>タイショウ</t>
    </rPh>
    <rPh sb="2" eb="4">
      <t>セイギョ</t>
    </rPh>
    <rPh sb="4" eb="6">
      <t>ホウシキ</t>
    </rPh>
    <phoneticPr fontId="3"/>
  </si>
  <si>
    <t>１．削減結果</t>
    <rPh sb="2" eb="4">
      <t>サクゲン</t>
    </rPh>
    <rPh sb="4" eb="6">
      <t>ケッカ</t>
    </rPh>
    <phoneticPr fontId="3"/>
  </si>
  <si>
    <t>２．機種別内訳及び計算表</t>
    <rPh sb="2" eb="5">
      <t>キシュベツ</t>
    </rPh>
    <rPh sb="5" eb="7">
      <t>ウチワケ</t>
    </rPh>
    <rPh sb="7" eb="8">
      <t>オヨ</t>
    </rPh>
    <rPh sb="9" eb="11">
      <t>ケイサン</t>
    </rPh>
    <rPh sb="11" eb="12">
      <t>ヒョウ</t>
    </rPh>
    <phoneticPr fontId="4"/>
  </si>
  <si>
    <t>３．出力判定</t>
    <rPh sb="2" eb="3">
      <t>デ</t>
    </rPh>
    <rPh sb="3" eb="4">
      <t>リョク</t>
    </rPh>
    <rPh sb="4" eb="6">
      <t>ハンテイ</t>
    </rPh>
    <phoneticPr fontId="3"/>
  </si>
  <si>
    <r>
      <t>※</t>
    </r>
    <r>
      <rPr>
        <sz val="11"/>
        <color rgb="FF000000"/>
        <rFont val="游ゴシック"/>
        <family val="3"/>
        <charset val="128"/>
      </rPr>
      <t>定格出力の増加は原則認められません</t>
    </r>
  </si>
  <si>
    <t>《参考》制御方式の説明</t>
    <rPh sb="1" eb="3">
      <t>サンコウ</t>
    </rPh>
    <rPh sb="4" eb="6">
      <t>セイギョ</t>
    </rPh>
    <rPh sb="6" eb="8">
      <t>ホウシキ</t>
    </rPh>
    <rPh sb="9" eb="11">
      <t>セツメイ</t>
    </rPh>
    <phoneticPr fontId="3"/>
  </si>
  <si>
    <t>年間稼働時間)①</t>
    <rPh sb="2" eb="6">
      <t>カドウジカン</t>
    </rPh>
    <phoneticPr fontId="4"/>
  </si>
  <si>
    <t>定格出力(ｋW）②</t>
    <rPh sb="0" eb="2">
      <t>テイカク</t>
    </rPh>
    <rPh sb="2" eb="4">
      <t>シュツリョク</t>
    </rPh>
    <phoneticPr fontId="4"/>
  </si>
  <si>
    <t>年間消費電力量④</t>
    <rPh sb="0" eb="2">
      <t>ネンカン</t>
    </rPh>
    <rPh sb="2" eb="4">
      <t>ショウヒ</t>
    </rPh>
    <rPh sb="4" eb="6">
      <t>デンリョク</t>
    </rPh>
    <rPh sb="6" eb="7">
      <t>リョウ</t>
    </rPh>
    <phoneticPr fontId="4"/>
  </si>
  <si>
    <t>年間CO₂排出量⑤</t>
    <rPh sb="0" eb="2">
      <t>ネンカン</t>
    </rPh>
    <rPh sb="5" eb="7">
      <t>ハイシュツ</t>
    </rPh>
    <rPh sb="7" eb="8">
      <t>リョウ</t>
    </rPh>
    <phoneticPr fontId="3"/>
  </si>
  <si>
    <t>電力削減量（④－⑧）</t>
    <rPh sb="0" eb="2">
      <t>デンリョク</t>
    </rPh>
    <rPh sb="2" eb="5">
      <t>サクゲンリョウ</t>
    </rPh>
    <phoneticPr fontId="4"/>
  </si>
  <si>
    <t>CO2削減量（⑤－⑨）</t>
    <rPh sb="3" eb="6">
      <t>サクゲンリョウ</t>
    </rPh>
    <phoneticPr fontId="4"/>
  </si>
  <si>
    <t>例</t>
    <rPh sb="0" eb="1">
      <t>レイ</t>
    </rPh>
    <phoneticPr fontId="4"/>
  </si>
  <si>
    <t>1961年</t>
    <rPh sb="4" eb="5">
      <t>ネン</t>
    </rPh>
    <phoneticPr fontId="4"/>
  </si>
  <si>
    <t>1962年</t>
    <rPh sb="4" eb="5">
      <t>ネン</t>
    </rPh>
    <phoneticPr fontId="4"/>
  </si>
  <si>
    <t xml:space="preserve"> (下表の負荷率欄に数値を選択します。設備の劣化は計算に反映されません。）</t>
    <rPh sb="2" eb="3">
      <t>シタ</t>
    </rPh>
    <rPh sb="3" eb="4">
      <t>ヒョウ</t>
    </rPh>
    <rPh sb="5" eb="7">
      <t>フカ</t>
    </rPh>
    <rPh sb="7" eb="8">
      <t>リツ</t>
    </rPh>
    <rPh sb="8" eb="9">
      <t>ラン</t>
    </rPh>
    <rPh sb="10" eb="12">
      <t>スウチ</t>
    </rPh>
    <rPh sb="13" eb="15">
      <t>センタク</t>
    </rPh>
    <rPh sb="19" eb="21">
      <t>セツビ</t>
    </rPh>
    <rPh sb="22" eb="24">
      <t>レッカ</t>
    </rPh>
    <rPh sb="25" eb="27">
      <t>ケイサン</t>
    </rPh>
    <rPh sb="28" eb="30">
      <t>ハンエイ</t>
    </rPh>
    <phoneticPr fontId="4"/>
  </si>
  <si>
    <t>1963年</t>
    <rPh sb="4" eb="5">
      <t>ネン</t>
    </rPh>
    <phoneticPr fontId="4"/>
  </si>
  <si>
    <t>1964年</t>
    <rPh sb="4" eb="5">
      <t>ネン</t>
    </rPh>
    <phoneticPr fontId="4"/>
  </si>
  <si>
    <t>1965年</t>
    <rPh sb="4" eb="5">
      <t>ネン</t>
    </rPh>
    <phoneticPr fontId="4"/>
  </si>
  <si>
    <t>負荷率</t>
    <rPh sb="0" eb="2">
      <t>フカ</t>
    </rPh>
    <rPh sb="2" eb="3">
      <t>リツ</t>
    </rPh>
    <phoneticPr fontId="4"/>
  </si>
  <si>
    <t>1966年</t>
    <rPh sb="4" eb="5">
      <t>ネン</t>
    </rPh>
    <phoneticPr fontId="4"/>
  </si>
  <si>
    <t>COP補正</t>
    <rPh sb="3" eb="5">
      <t>ホセイ</t>
    </rPh>
    <phoneticPr fontId="4"/>
  </si>
  <si>
    <t>1967年</t>
    <rPh sb="4" eb="5">
      <t>ネン</t>
    </rPh>
    <phoneticPr fontId="4"/>
  </si>
  <si>
    <t>ＪＩＳＢ8616より</t>
    <phoneticPr fontId="4"/>
  </si>
  <si>
    <t>1968年</t>
    <rPh sb="4" eb="5">
      <t>ネン</t>
    </rPh>
    <phoneticPr fontId="4"/>
  </si>
  <si>
    <t>1969年</t>
    <rPh sb="4" eb="5">
      <t>ネン</t>
    </rPh>
    <phoneticPr fontId="4"/>
  </si>
  <si>
    <t>冷房</t>
    <rPh sb="0" eb="2">
      <t>レイボウ</t>
    </rPh>
    <phoneticPr fontId="12"/>
  </si>
  <si>
    <t>暖房</t>
    <rPh sb="0" eb="2">
      <t>ダンボウ</t>
    </rPh>
    <phoneticPr fontId="12"/>
  </si>
  <si>
    <t>採用値１</t>
    <rPh sb="0" eb="2">
      <t>サイヨウ</t>
    </rPh>
    <rPh sb="2" eb="3">
      <t>チ</t>
    </rPh>
    <phoneticPr fontId="4"/>
  </si>
  <si>
    <t>取得値</t>
    <rPh sb="0" eb="2">
      <t>シュトク</t>
    </rPh>
    <rPh sb="2" eb="3">
      <t>トクネ</t>
    </rPh>
    <phoneticPr fontId="4"/>
  </si>
  <si>
    <t>採用値２</t>
    <rPh sb="0" eb="2">
      <t>サイヨウ</t>
    </rPh>
    <rPh sb="2" eb="3">
      <t>チ</t>
    </rPh>
    <phoneticPr fontId="4"/>
  </si>
  <si>
    <t>1970年</t>
    <rPh sb="4" eb="5">
      <t>ネン</t>
    </rPh>
    <phoneticPr fontId="4"/>
  </si>
  <si>
    <t>8月</t>
  </si>
  <si>
    <t>1971年</t>
    <rPh sb="4" eb="5">
      <t>ネン</t>
    </rPh>
    <phoneticPr fontId="4"/>
  </si>
  <si>
    <t>7月</t>
  </si>
  <si>
    <t>1972年</t>
    <rPh sb="4" eb="5">
      <t>ネン</t>
    </rPh>
    <phoneticPr fontId="4"/>
  </si>
  <si>
    <t>9月</t>
  </si>
  <si>
    <t>1973年</t>
    <rPh sb="4" eb="5">
      <t>ネン</t>
    </rPh>
    <phoneticPr fontId="4"/>
  </si>
  <si>
    <t>1月</t>
  </si>
  <si>
    <t>1974年</t>
    <rPh sb="4" eb="5">
      <t>ネン</t>
    </rPh>
    <phoneticPr fontId="4"/>
  </si>
  <si>
    <t>2月</t>
  </si>
  <si>
    <t>1975年</t>
    <rPh sb="4" eb="5">
      <t>ネン</t>
    </rPh>
    <phoneticPr fontId="4"/>
  </si>
  <si>
    <t>6月</t>
  </si>
  <si>
    <t>1976年</t>
    <rPh sb="4" eb="5">
      <t>ネン</t>
    </rPh>
    <phoneticPr fontId="4"/>
  </si>
  <si>
    <t>12月</t>
  </si>
  <si>
    <t>1977年</t>
    <rPh sb="4" eb="5">
      <t>ネン</t>
    </rPh>
    <phoneticPr fontId="4"/>
  </si>
  <si>
    <t>3月</t>
  </si>
  <si>
    <t>1978年</t>
    <rPh sb="4" eb="5">
      <t>ネン</t>
    </rPh>
    <phoneticPr fontId="4"/>
  </si>
  <si>
    <t>5月</t>
  </si>
  <si>
    <t>1979年</t>
    <rPh sb="4" eb="5">
      <t>ネン</t>
    </rPh>
    <phoneticPr fontId="4"/>
  </si>
  <si>
    <t>10月</t>
  </si>
  <si>
    <t>1980年</t>
    <rPh sb="4" eb="5">
      <t>ネン</t>
    </rPh>
    <phoneticPr fontId="4"/>
  </si>
  <si>
    <t>11月</t>
  </si>
  <si>
    <t>1981年</t>
    <rPh sb="4" eb="5">
      <t>ネン</t>
    </rPh>
    <phoneticPr fontId="4"/>
  </si>
  <si>
    <t>4月</t>
    <rPh sb="1" eb="2">
      <t>ガツ</t>
    </rPh>
    <phoneticPr fontId="4"/>
  </si>
  <si>
    <t>1982年</t>
    <rPh sb="4" eb="5">
      <t>ネン</t>
    </rPh>
    <phoneticPr fontId="4"/>
  </si>
  <si>
    <t>年平均</t>
    <rPh sb="0" eb="1">
      <t>ネン</t>
    </rPh>
    <rPh sb="1" eb="3">
      <t>ヘイキン</t>
    </rPh>
    <phoneticPr fontId="4"/>
  </si>
  <si>
    <t>1983年</t>
    <rPh sb="4" eb="5">
      <t>ネン</t>
    </rPh>
    <phoneticPr fontId="4"/>
  </si>
  <si>
    <t>1984年</t>
    <rPh sb="4" eb="5">
      <t>ネン</t>
    </rPh>
    <phoneticPr fontId="4"/>
  </si>
  <si>
    <t>1985年</t>
    <rPh sb="4" eb="5">
      <t>ネン</t>
    </rPh>
    <phoneticPr fontId="4"/>
  </si>
  <si>
    <t>一定速</t>
    <rPh sb="0" eb="2">
      <t>イッテイ</t>
    </rPh>
    <rPh sb="2" eb="3">
      <t>ソク</t>
    </rPh>
    <phoneticPr fontId="4"/>
  </si>
  <si>
    <t>1986年</t>
    <rPh sb="4" eb="5">
      <t>ネン</t>
    </rPh>
    <phoneticPr fontId="4"/>
  </si>
  <si>
    <t>INV</t>
  </si>
  <si>
    <t>平均COP計数表ａ</t>
    <rPh sb="0" eb="2">
      <t>ヘイキン</t>
    </rPh>
    <rPh sb="5" eb="7">
      <t>ケイスウ</t>
    </rPh>
    <rPh sb="7" eb="8">
      <t>ピョウ</t>
    </rPh>
    <phoneticPr fontId="12"/>
  </si>
  <si>
    <t>平均COP計数表b</t>
    <rPh sb="0" eb="2">
      <t>ヘイキン</t>
    </rPh>
    <rPh sb="5" eb="7">
      <t>ケイスウ</t>
    </rPh>
    <rPh sb="7" eb="8">
      <t>ピョウ</t>
    </rPh>
    <phoneticPr fontId="12"/>
  </si>
  <si>
    <t>平均COP計数表ｂ</t>
    <rPh sb="0" eb="2">
      <t>ヘイキン</t>
    </rPh>
    <rPh sb="5" eb="7">
      <t>ケイスウ</t>
    </rPh>
    <rPh sb="7" eb="8">
      <t>ピョウ</t>
    </rPh>
    <phoneticPr fontId="12"/>
  </si>
  <si>
    <t>1987年</t>
    <rPh sb="4" eb="5">
      <t>ネン</t>
    </rPh>
    <phoneticPr fontId="4"/>
  </si>
  <si>
    <t>冷暖房平均</t>
    <rPh sb="0" eb="3">
      <t>レイダンボウ</t>
    </rPh>
    <rPh sb="3" eb="5">
      <t>ヘイキン</t>
    </rPh>
    <phoneticPr fontId="4"/>
  </si>
  <si>
    <t>1988年</t>
    <rPh sb="4" eb="5">
      <t>ネン</t>
    </rPh>
    <phoneticPr fontId="4"/>
  </si>
  <si>
    <t>25%未満</t>
    <rPh sb="3" eb="5">
      <t>ミマン</t>
    </rPh>
    <phoneticPr fontId="12"/>
  </si>
  <si>
    <t>25%以上</t>
    <rPh sb="3" eb="5">
      <t>イジョウ</t>
    </rPh>
    <phoneticPr fontId="12"/>
  </si>
  <si>
    <t>1989年</t>
    <rPh sb="4" eb="5">
      <t>ネン</t>
    </rPh>
    <phoneticPr fontId="4"/>
  </si>
  <si>
    <t>1995年以前</t>
    <rPh sb="4" eb="5">
      <t>ネン</t>
    </rPh>
    <rPh sb="5" eb="7">
      <t>イゼン</t>
    </rPh>
    <phoneticPr fontId="4"/>
  </si>
  <si>
    <t>1990年</t>
    <rPh sb="4" eb="5">
      <t>ネン</t>
    </rPh>
    <phoneticPr fontId="4"/>
  </si>
  <si>
    <t>1996年</t>
    <rPh sb="4" eb="5">
      <t>ネン</t>
    </rPh>
    <phoneticPr fontId="4"/>
  </si>
  <si>
    <t>1991年</t>
    <rPh sb="4" eb="5">
      <t>ネン</t>
    </rPh>
    <phoneticPr fontId="4"/>
  </si>
  <si>
    <t>1997年</t>
    <rPh sb="4" eb="5">
      <t>ネン</t>
    </rPh>
    <phoneticPr fontId="4"/>
  </si>
  <si>
    <t>1992年</t>
    <rPh sb="4" eb="5">
      <t>ネン</t>
    </rPh>
    <phoneticPr fontId="4"/>
  </si>
  <si>
    <t>1998年</t>
    <rPh sb="4" eb="5">
      <t>ネン</t>
    </rPh>
    <phoneticPr fontId="4"/>
  </si>
  <si>
    <t>1993年</t>
    <rPh sb="4" eb="5">
      <t>ネン</t>
    </rPh>
    <phoneticPr fontId="4"/>
  </si>
  <si>
    <t>1999年</t>
    <rPh sb="4" eb="5">
      <t>ネン</t>
    </rPh>
    <phoneticPr fontId="4"/>
  </si>
  <si>
    <t>1994年</t>
    <rPh sb="4" eb="5">
      <t>ネン</t>
    </rPh>
    <phoneticPr fontId="4"/>
  </si>
  <si>
    <t>2000年</t>
    <rPh sb="4" eb="5">
      <t>ネン</t>
    </rPh>
    <phoneticPr fontId="4"/>
  </si>
  <si>
    <t>不明</t>
    <rPh sb="0" eb="2">
      <t>フメイ</t>
    </rPh>
    <phoneticPr fontId="4"/>
  </si>
  <si>
    <t>2001年</t>
    <rPh sb="4" eb="5">
      <t>ネン</t>
    </rPh>
    <phoneticPr fontId="4"/>
  </si>
  <si>
    <t>2002年</t>
    <rPh sb="4" eb="5">
      <t>ネン</t>
    </rPh>
    <phoneticPr fontId="4"/>
  </si>
  <si>
    <t>2003年</t>
    <rPh sb="4" eb="5">
      <t>ネン</t>
    </rPh>
    <phoneticPr fontId="4"/>
  </si>
  <si>
    <t>2004年</t>
    <rPh sb="4" eb="5">
      <t>ネン</t>
    </rPh>
    <phoneticPr fontId="4"/>
  </si>
  <si>
    <t>2005年</t>
    <rPh sb="4" eb="5">
      <t>ネン</t>
    </rPh>
    <phoneticPr fontId="4"/>
  </si>
  <si>
    <t>2006年</t>
    <rPh sb="4" eb="5">
      <t>ネン</t>
    </rPh>
    <phoneticPr fontId="4"/>
  </si>
  <si>
    <t>2007年</t>
    <rPh sb="4" eb="5">
      <t>ネン</t>
    </rPh>
    <phoneticPr fontId="4"/>
  </si>
  <si>
    <t>2008年</t>
    <rPh sb="4" eb="5">
      <t>ネン</t>
    </rPh>
    <phoneticPr fontId="4"/>
  </si>
  <si>
    <t>2009年</t>
    <rPh sb="4" eb="5">
      <t>ネン</t>
    </rPh>
    <phoneticPr fontId="4"/>
  </si>
  <si>
    <t>2010年</t>
    <rPh sb="4" eb="5">
      <t>ネン</t>
    </rPh>
    <phoneticPr fontId="4"/>
  </si>
  <si>
    <t>2011年</t>
    <rPh sb="4" eb="5">
      <t>ネン</t>
    </rPh>
    <phoneticPr fontId="4"/>
  </si>
  <si>
    <t>2012年</t>
    <rPh sb="4" eb="5">
      <t>ネン</t>
    </rPh>
    <phoneticPr fontId="4"/>
  </si>
  <si>
    <t>2013年</t>
    <rPh sb="4" eb="5">
      <t>ネン</t>
    </rPh>
    <phoneticPr fontId="4"/>
  </si>
  <si>
    <t>2014年</t>
    <rPh sb="4" eb="5">
      <t>ネン</t>
    </rPh>
    <phoneticPr fontId="4"/>
  </si>
  <si>
    <t>2015年以降</t>
    <rPh sb="4" eb="5">
      <t>ネン</t>
    </rPh>
    <rPh sb="5" eb="7">
      <t>イコウ</t>
    </rPh>
    <phoneticPr fontId="4"/>
  </si>
  <si>
    <t>2016年</t>
    <rPh sb="4" eb="5">
      <t>ネン</t>
    </rPh>
    <phoneticPr fontId="4"/>
  </si>
  <si>
    <t>2017年</t>
    <rPh sb="4" eb="5">
      <t>ネン</t>
    </rPh>
    <phoneticPr fontId="4"/>
  </si>
  <si>
    <t>2018年</t>
    <rPh sb="4" eb="5">
      <t>ネン</t>
    </rPh>
    <phoneticPr fontId="4"/>
  </si>
  <si>
    <t>1960年</t>
    <rPh sb="4" eb="5">
      <t>ネン</t>
    </rPh>
    <phoneticPr fontId="4"/>
  </si>
  <si>
    <t>2019年</t>
    <rPh sb="4" eb="5">
      <t>ネン</t>
    </rPh>
    <phoneticPr fontId="4"/>
  </si>
  <si>
    <t>年式</t>
    <rPh sb="0" eb="1">
      <t>ネン</t>
    </rPh>
    <rPh sb="1" eb="2">
      <t>シキ</t>
    </rPh>
    <phoneticPr fontId="4"/>
  </si>
  <si>
    <t>インバータ有無</t>
    <rPh sb="5" eb="7">
      <t>ウム</t>
    </rPh>
    <phoneticPr fontId="3"/>
  </si>
  <si>
    <t>制御(インバータ有無）</t>
    <rPh sb="0" eb="2">
      <t>セイギョ</t>
    </rPh>
    <rPh sb="8" eb="10">
      <t>ウム</t>
    </rPh>
    <phoneticPr fontId="4"/>
  </si>
  <si>
    <t>日／年</t>
    <rPh sb="0" eb="1">
      <t>ヒ</t>
    </rPh>
    <rPh sb="2" eb="3">
      <t>ネン</t>
    </rPh>
    <phoneticPr fontId="4"/>
  </si>
  <si>
    <t>年間冷房日数</t>
    <rPh sb="0" eb="2">
      <t>ネンカン</t>
    </rPh>
    <rPh sb="2" eb="4">
      <t>レイボウ</t>
    </rPh>
    <rPh sb="4" eb="6">
      <t>ニッスウ</t>
    </rPh>
    <phoneticPr fontId="4"/>
  </si>
  <si>
    <t>年間暖房日数</t>
    <rPh sb="0" eb="2">
      <t>ネンカン</t>
    </rPh>
    <rPh sb="4" eb="6">
      <t>ニッスウ</t>
    </rPh>
    <phoneticPr fontId="4"/>
  </si>
  <si>
    <t>店舗・事務所負荷（県北・県南）平均</t>
    <rPh sb="0" eb="2">
      <t>テンポ</t>
    </rPh>
    <rPh sb="3" eb="5">
      <t>ジム</t>
    </rPh>
    <rPh sb="5" eb="6">
      <t>ショ</t>
    </rPh>
    <rPh sb="6" eb="8">
      <t>フカ</t>
    </rPh>
    <rPh sb="9" eb="11">
      <t>ケンホク</t>
    </rPh>
    <rPh sb="12" eb="14">
      <t>ケンナン</t>
    </rPh>
    <rPh sb="15" eb="17">
      <t>ヘイキン</t>
    </rPh>
    <phoneticPr fontId="4"/>
  </si>
  <si>
    <t>更新前冷房</t>
    <rPh sb="0" eb="2">
      <t>コウシン</t>
    </rPh>
    <rPh sb="2" eb="3">
      <t>マエ</t>
    </rPh>
    <rPh sb="3" eb="5">
      <t>レイボウ</t>
    </rPh>
    <phoneticPr fontId="3"/>
  </si>
  <si>
    <t>台数</t>
    <rPh sb="0" eb="2">
      <t>ダイスウ</t>
    </rPh>
    <phoneticPr fontId="4"/>
  </si>
  <si>
    <t>〈例〉</t>
    <rPh sb="1" eb="2">
      <t>レイ</t>
    </rPh>
    <phoneticPr fontId="4"/>
  </si>
  <si>
    <t>更新前暖房</t>
    <rPh sb="0" eb="2">
      <t>コウシン</t>
    </rPh>
    <rPh sb="2" eb="3">
      <t>マエ</t>
    </rPh>
    <rPh sb="3" eb="5">
      <t>ダンボウ</t>
    </rPh>
    <phoneticPr fontId="3"/>
  </si>
  <si>
    <t>更新後冷房</t>
    <rPh sb="0" eb="2">
      <t>コウシン</t>
    </rPh>
    <rPh sb="2" eb="3">
      <t>ゴ</t>
    </rPh>
    <rPh sb="3" eb="5">
      <t>レイボウ</t>
    </rPh>
    <phoneticPr fontId="3"/>
  </si>
  <si>
    <t>更新後暖房</t>
    <rPh sb="0" eb="2">
      <t>コウシン</t>
    </rPh>
    <rPh sb="2" eb="3">
      <t>ゴ</t>
    </rPh>
    <rPh sb="3" eb="5">
      <t>ダンボウ</t>
    </rPh>
    <phoneticPr fontId="3"/>
  </si>
  <si>
    <t>年式</t>
  </si>
  <si>
    <t>回帰式COP値</t>
  </si>
  <si>
    <t>対象年度</t>
  </si>
  <si>
    <t>年式COP補正値</t>
  </si>
  <si>
    <t>冷房COP</t>
  </si>
  <si>
    <t>暖房COP</t>
  </si>
  <si>
    <t>冷房</t>
  </si>
  <si>
    <t>暖房</t>
  </si>
  <si>
    <t>1995以前</t>
  </si>
  <si>
    <t>●容量形式差補正値</t>
    <rPh sb="1" eb="3">
      <t>ヨウリョウ</t>
    </rPh>
    <rPh sb="3" eb="4">
      <t>カタ</t>
    </rPh>
    <rPh sb="4" eb="5">
      <t>シキ</t>
    </rPh>
    <rPh sb="5" eb="6">
      <t>サ</t>
    </rPh>
    <rPh sb="6" eb="8">
      <t>ホセイ</t>
    </rPh>
    <rPh sb="8" eb="9">
      <t>チ</t>
    </rPh>
    <phoneticPr fontId="12"/>
  </si>
  <si>
    <t>・・・回帰式年式ＣＯＰ値に対する容量差の補正</t>
    <rPh sb="3" eb="5">
      <t>カイキ</t>
    </rPh>
    <rPh sb="5" eb="6">
      <t>シキ</t>
    </rPh>
    <rPh sb="6" eb="8">
      <t>ネンシキ</t>
    </rPh>
    <rPh sb="11" eb="12">
      <t>チ</t>
    </rPh>
    <rPh sb="13" eb="14">
      <t>タイ</t>
    </rPh>
    <rPh sb="16" eb="18">
      <t>ヨウリョウ</t>
    </rPh>
    <rPh sb="18" eb="19">
      <t>サ</t>
    </rPh>
    <rPh sb="20" eb="21">
      <t>ホ</t>
    </rPh>
    <rPh sb="21" eb="22">
      <t>セイ</t>
    </rPh>
    <phoneticPr fontId="12"/>
  </si>
  <si>
    <t>店舗オフィス用</t>
    <rPh sb="0" eb="2">
      <t>テンポ</t>
    </rPh>
    <rPh sb="6" eb="7">
      <t>ヨウ</t>
    </rPh>
    <phoneticPr fontId="12"/>
  </si>
  <si>
    <t>ビル用</t>
    <rPh sb="2" eb="3">
      <t>ヨウ</t>
    </rPh>
    <phoneticPr fontId="12"/>
  </si>
  <si>
    <t>設備用</t>
    <rPh sb="0" eb="2">
      <t>セツビ</t>
    </rPh>
    <rPh sb="2" eb="3">
      <t>ヨウ</t>
    </rPh>
    <phoneticPr fontId="12"/>
  </si>
  <si>
    <t>40形</t>
  </si>
  <si>
    <t xml:space="preserve"> 80形</t>
  </si>
  <si>
    <t xml:space="preserve"> 45形 </t>
  </si>
  <si>
    <t>112形</t>
    <rPh sb="3" eb="4">
      <t>カタ</t>
    </rPh>
    <phoneticPr fontId="12"/>
  </si>
  <si>
    <t xml:space="preserve">140形 </t>
  </si>
  <si>
    <t xml:space="preserve">50形 </t>
  </si>
  <si>
    <t>224形</t>
    <rPh sb="3" eb="4">
      <t>カタ</t>
    </rPh>
    <phoneticPr fontId="12"/>
  </si>
  <si>
    <t xml:space="preserve">56形 </t>
  </si>
  <si>
    <t>160形</t>
  </si>
  <si>
    <t>280形</t>
    <rPh sb="3" eb="4">
      <t>カタ</t>
    </rPh>
    <phoneticPr fontId="12"/>
  </si>
  <si>
    <t>63形</t>
  </si>
  <si>
    <t>450形</t>
  </si>
  <si>
    <t xml:space="preserve"> 560形</t>
  </si>
  <si>
    <t xml:space="preserve"> 112形 </t>
  </si>
  <si>
    <t>335形</t>
  </si>
  <si>
    <t xml:space="preserve"> 670形</t>
  </si>
  <si>
    <t>355形</t>
  </si>
  <si>
    <t>800形</t>
  </si>
  <si>
    <t>400形</t>
  </si>
  <si>
    <t>1120形</t>
    <rPh sb="4" eb="5">
      <t>カタ</t>
    </rPh>
    <phoneticPr fontId="12"/>
  </si>
  <si>
    <t xml:space="preserve"> 224形</t>
  </si>
  <si>
    <t>1400形</t>
    <rPh sb="4" eb="5">
      <t>カタ</t>
    </rPh>
    <phoneticPr fontId="12"/>
  </si>
  <si>
    <t>280形</t>
  </si>
  <si>
    <t xml:space="preserve"> 500形</t>
  </si>
  <si>
    <t>1600形</t>
    <rPh sb="4" eb="5">
      <t>カタ</t>
    </rPh>
    <phoneticPr fontId="12"/>
  </si>
  <si>
    <t>615形</t>
  </si>
  <si>
    <t>670形</t>
  </si>
  <si>
    <t>730形</t>
  </si>
  <si>
    <t>775形</t>
  </si>
  <si>
    <t>850形</t>
  </si>
  <si>
    <t>900形</t>
  </si>
  <si>
    <t>950形</t>
  </si>
  <si>
    <t>1000形</t>
  </si>
  <si>
    <t>1060形</t>
  </si>
  <si>
    <t>1120形</t>
  </si>
  <si>
    <t>1180形</t>
  </si>
  <si>
    <t>1220形</t>
  </si>
  <si>
    <t>1280形</t>
  </si>
  <si>
    <t>1360形</t>
  </si>
  <si>
    <t>1400形</t>
  </si>
  <si>
    <t>負荷率（稼働率は無視）</t>
    <rPh sb="0" eb="2">
      <t>フカ</t>
    </rPh>
    <rPh sb="2" eb="3">
      <t>リツ</t>
    </rPh>
    <rPh sb="4" eb="6">
      <t>カドウ</t>
    </rPh>
    <rPh sb="6" eb="7">
      <t>リツ</t>
    </rPh>
    <rPh sb="8" eb="10">
      <t>ムシ</t>
    </rPh>
    <phoneticPr fontId="4"/>
  </si>
  <si>
    <t>年式補正</t>
    <rPh sb="0" eb="1">
      <t>ネン</t>
    </rPh>
    <rPh sb="1" eb="2">
      <t>シキ</t>
    </rPh>
    <rPh sb="2" eb="4">
      <t>ホセイ</t>
    </rPh>
    <phoneticPr fontId="3"/>
  </si>
  <si>
    <t>t-CO₂/年</t>
    <rPh sb="6" eb="7">
      <t>ネン</t>
    </rPh>
    <phoneticPr fontId="4"/>
  </si>
  <si>
    <t>年間電力消費量①</t>
    <phoneticPr fontId="4"/>
  </si>
  <si>
    <t>CO2排出量②</t>
    <rPh sb="3" eb="6">
      <t>ハイシュツリョウ</t>
    </rPh>
    <phoneticPr fontId="4"/>
  </si>
  <si>
    <t>年間電力消費量③</t>
    <phoneticPr fontId="4"/>
  </si>
  <si>
    <t>CO2排出量④</t>
    <rPh sb="3" eb="6">
      <t>ハイシュツリョウ</t>
    </rPh>
    <phoneticPr fontId="4"/>
  </si>
  <si>
    <t>電力削減量（①ｰ③）</t>
    <rPh sb="0" eb="2">
      <t>デンリョク</t>
    </rPh>
    <rPh sb="2" eb="5">
      <t>サクゲンリョウ</t>
    </rPh>
    <phoneticPr fontId="4"/>
  </si>
  <si>
    <t>CO2削減量（②-④）</t>
    <rPh sb="3" eb="6">
      <t>サクゲンリョウ</t>
    </rPh>
    <phoneticPr fontId="4"/>
  </si>
  <si>
    <r>
      <t>冷房時定格消費電力（a</t>
    </r>
    <r>
      <rPr>
        <vertAlign val="subscript"/>
        <sz val="9"/>
        <color theme="1"/>
        <rFont val="ＭＳ Ｐゴシック"/>
        <family val="3"/>
        <charset val="128"/>
      </rPr>
      <t>1</t>
    </r>
    <r>
      <rPr>
        <sz val="9"/>
        <color theme="1"/>
        <rFont val="ＭＳ Ｐゴシック"/>
        <family val="3"/>
        <charset val="128"/>
      </rPr>
      <t>）</t>
    </r>
    <rPh sb="0" eb="3">
      <t>レイボウジ</t>
    </rPh>
    <rPh sb="5" eb="7">
      <t>ショウヒ</t>
    </rPh>
    <rPh sb="7" eb="9">
      <t>デンリョク</t>
    </rPh>
    <phoneticPr fontId="4"/>
  </si>
  <si>
    <r>
      <t>暖房時定格消費電力（a</t>
    </r>
    <r>
      <rPr>
        <vertAlign val="subscript"/>
        <sz val="9"/>
        <color theme="1"/>
        <rFont val="ＭＳ Ｐゴシック"/>
        <family val="3"/>
        <charset val="128"/>
      </rPr>
      <t>2</t>
    </r>
    <r>
      <rPr>
        <sz val="9"/>
        <color theme="1"/>
        <rFont val="ＭＳ Ｐゴシック"/>
        <family val="3"/>
        <charset val="128"/>
      </rPr>
      <t>）</t>
    </r>
    <rPh sb="0" eb="2">
      <t>ダンボウ</t>
    </rPh>
    <rPh sb="2" eb="3">
      <t>ジ</t>
    </rPh>
    <rPh sb="5" eb="7">
      <t>ショウヒ</t>
    </rPh>
    <rPh sb="7" eb="9">
      <t>デンリョク</t>
    </rPh>
    <phoneticPr fontId="4"/>
  </si>
  <si>
    <r>
      <t>冷房時定格消費電力（a'</t>
    </r>
    <r>
      <rPr>
        <vertAlign val="subscript"/>
        <sz val="9"/>
        <color theme="1"/>
        <rFont val="ＭＳ Ｐゴシック"/>
        <family val="3"/>
        <charset val="128"/>
      </rPr>
      <t>1</t>
    </r>
    <r>
      <rPr>
        <sz val="9"/>
        <color theme="1"/>
        <rFont val="ＭＳ Ｐゴシック"/>
        <family val="3"/>
        <charset val="128"/>
      </rPr>
      <t>）</t>
    </r>
    <rPh sb="0" eb="3">
      <t>レイボウジ</t>
    </rPh>
    <rPh sb="5" eb="7">
      <t>ショウヒ</t>
    </rPh>
    <rPh sb="7" eb="9">
      <t>デンリョク</t>
    </rPh>
    <phoneticPr fontId="4"/>
  </si>
  <si>
    <r>
      <t>暖房時定格消費電力（a'</t>
    </r>
    <r>
      <rPr>
        <vertAlign val="subscript"/>
        <sz val="9"/>
        <color theme="1"/>
        <rFont val="ＭＳ Ｐゴシック"/>
        <family val="3"/>
        <charset val="128"/>
      </rPr>
      <t>2</t>
    </r>
    <r>
      <rPr>
        <sz val="9"/>
        <color theme="1"/>
        <rFont val="ＭＳ Ｐゴシック"/>
        <family val="3"/>
        <charset val="128"/>
      </rPr>
      <t>）</t>
    </r>
    <rPh sb="0" eb="2">
      <t>ダンボウ</t>
    </rPh>
    <rPh sb="2" eb="3">
      <t>ジ</t>
    </rPh>
    <rPh sb="5" eb="7">
      <t>ショウヒ</t>
    </rPh>
    <rPh sb="7" eb="9">
      <t>デンリョク</t>
    </rPh>
    <phoneticPr fontId="4"/>
  </si>
  <si>
    <t>空調（EHP)の更新</t>
    <rPh sb="0" eb="2">
      <t>クウチョウ</t>
    </rPh>
    <phoneticPr fontId="4"/>
  </si>
  <si>
    <t>空調（GHP)の更新</t>
    <rPh sb="0" eb="2">
      <t>クウチョウ</t>
    </rPh>
    <phoneticPr fontId="4"/>
  </si>
  <si>
    <t>冷房時定格消費ガス量</t>
    <rPh sb="0" eb="3">
      <t>レイボウジ</t>
    </rPh>
    <rPh sb="5" eb="7">
      <t>ショウヒ</t>
    </rPh>
    <rPh sb="9" eb="10">
      <t>リョウ</t>
    </rPh>
    <phoneticPr fontId="4"/>
  </si>
  <si>
    <t>暖房定格消費ガス量</t>
    <rPh sb="0" eb="2">
      <t>ダンボウ</t>
    </rPh>
    <rPh sb="2" eb="4">
      <t>テイカク</t>
    </rPh>
    <rPh sb="4" eb="6">
      <t>ショウヒ</t>
    </rPh>
    <rPh sb="8" eb="9">
      <t>リョウ</t>
    </rPh>
    <phoneticPr fontId="4"/>
  </si>
  <si>
    <t>GHP</t>
    <phoneticPr fontId="3"/>
  </si>
  <si>
    <t>都市ガス（低圧）</t>
    <rPh sb="0" eb="2">
      <t>トシ</t>
    </rPh>
    <rPh sb="5" eb="7">
      <t>テイアツ</t>
    </rPh>
    <phoneticPr fontId="3"/>
  </si>
  <si>
    <t>都市ガス（中圧）</t>
    <rPh sb="0" eb="2">
      <t>トシ</t>
    </rPh>
    <rPh sb="5" eb="6">
      <t>チュウ</t>
    </rPh>
    <rPh sb="6" eb="7">
      <t>アツ</t>
    </rPh>
    <phoneticPr fontId="3"/>
  </si>
  <si>
    <t>LPG（プロパン）</t>
  </si>
  <si>
    <t>LPG（プロパン）</t>
    <phoneticPr fontId="3"/>
  </si>
  <si>
    <t>LPG（ブタン）</t>
  </si>
  <si>
    <t>LPG（ブタン）</t>
    <phoneticPr fontId="3"/>
  </si>
  <si>
    <t>LPG（その他）</t>
    <rPh sb="6" eb="7">
      <t>タ</t>
    </rPh>
    <phoneticPr fontId="3"/>
  </si>
  <si>
    <t>CO₂排出係数</t>
    <rPh sb="3" eb="5">
      <t>ハイシュツ</t>
    </rPh>
    <rPh sb="5" eb="7">
      <t>ケイスウ</t>
    </rPh>
    <phoneticPr fontId="3"/>
  </si>
  <si>
    <t>m³換算</t>
    <rPh sb="2" eb="4">
      <t>カンサン</t>
    </rPh>
    <phoneticPr fontId="3"/>
  </si>
  <si>
    <t>MJ/m³</t>
    <phoneticPr fontId="3"/>
  </si>
  <si>
    <t>LNG</t>
    <phoneticPr fontId="3"/>
  </si>
  <si>
    <t>その他</t>
    <rPh sb="2" eb="3">
      <t>タ</t>
    </rPh>
    <phoneticPr fontId="3"/>
  </si>
  <si>
    <t>年間消費ガス量②</t>
    <rPh sb="0" eb="1">
      <t>ネン</t>
    </rPh>
    <rPh sb="1" eb="2">
      <t>カン</t>
    </rPh>
    <rPh sb="2" eb="4">
      <t>ショウヒ</t>
    </rPh>
    <rPh sb="6" eb="7">
      <t>リョウ</t>
    </rPh>
    <phoneticPr fontId="4"/>
  </si>
  <si>
    <t>CO2排出量③</t>
    <rPh sb="3" eb="6">
      <t>ハイシュツリョウ</t>
    </rPh>
    <phoneticPr fontId="4"/>
  </si>
  <si>
    <t>年間電力消費量④</t>
    <phoneticPr fontId="4"/>
  </si>
  <si>
    <t>年間消費ガス量⑤</t>
    <rPh sb="0" eb="1">
      <t>ネン</t>
    </rPh>
    <rPh sb="1" eb="2">
      <t>カン</t>
    </rPh>
    <rPh sb="2" eb="4">
      <t>ショウヒ</t>
    </rPh>
    <rPh sb="6" eb="7">
      <t>リョウ</t>
    </rPh>
    <phoneticPr fontId="4"/>
  </si>
  <si>
    <t>CO2排出量⑥</t>
    <rPh sb="3" eb="6">
      <t>ハイシュツリョウ</t>
    </rPh>
    <phoneticPr fontId="4"/>
  </si>
  <si>
    <t>電力削減
量
（①ｰ④）</t>
    <rPh sb="0" eb="2">
      <t>デンリョク</t>
    </rPh>
    <rPh sb="2" eb="4">
      <t>サクゲン</t>
    </rPh>
    <rPh sb="5" eb="6">
      <t>リョウ</t>
    </rPh>
    <phoneticPr fontId="4"/>
  </si>
  <si>
    <t>ガス削減量
（②－⑤）</t>
    <rPh sb="2" eb="4">
      <t>サクゲン</t>
    </rPh>
    <rPh sb="4" eb="5">
      <t>リョウ</t>
    </rPh>
    <phoneticPr fontId="3"/>
  </si>
  <si>
    <t>CO2削減量（③-⑥）</t>
    <rPh sb="3" eb="6">
      <t>サクゲンリョウ</t>
    </rPh>
    <phoneticPr fontId="4"/>
  </si>
  <si>
    <t>高位発熱量</t>
    <rPh sb="0" eb="2">
      <t>コウイ</t>
    </rPh>
    <rPh sb="2" eb="4">
      <t>ハツネツ</t>
    </rPh>
    <rPh sb="4" eb="5">
      <t>リョウ</t>
    </rPh>
    <phoneticPr fontId="3"/>
  </si>
  <si>
    <t>t-CO₂/m³</t>
    <phoneticPr fontId="3"/>
  </si>
  <si>
    <t>m³/年</t>
    <rPh sb="3" eb="4">
      <t>ネン</t>
    </rPh>
    <phoneticPr fontId="4"/>
  </si>
  <si>
    <t>燃料種類</t>
    <rPh sb="0" eb="2">
      <t>ネンリョウ</t>
    </rPh>
    <rPh sb="2" eb="4">
      <t>シュルイ</t>
    </rPh>
    <phoneticPr fontId="4"/>
  </si>
  <si>
    <t>定格燃料消費量</t>
    <rPh sb="0" eb="2">
      <t>テイカク</t>
    </rPh>
    <rPh sb="2" eb="4">
      <t>ネンリョウ</t>
    </rPh>
    <rPh sb="4" eb="6">
      <t>ショウヒ</t>
    </rPh>
    <rPh sb="6" eb="7">
      <t>リョウ</t>
    </rPh>
    <phoneticPr fontId="4"/>
  </si>
  <si>
    <t>定格効率</t>
    <rPh sb="0" eb="2">
      <t>テイカク</t>
    </rPh>
    <rPh sb="2" eb="4">
      <t>コウリツ</t>
    </rPh>
    <phoneticPr fontId="3"/>
  </si>
  <si>
    <t>年間稼働時間</t>
    <rPh sb="0" eb="1">
      <t>ネン</t>
    </rPh>
    <rPh sb="1" eb="2">
      <t>カン</t>
    </rPh>
    <rPh sb="2" eb="4">
      <t>カドウ</t>
    </rPh>
    <rPh sb="4" eb="6">
      <t>ジカン</t>
    </rPh>
    <phoneticPr fontId="3"/>
  </si>
  <si>
    <t>年間燃料消費量</t>
    <rPh sb="0" eb="1">
      <t>ネン</t>
    </rPh>
    <rPh sb="1" eb="2">
      <t>カン</t>
    </rPh>
    <rPh sb="2" eb="4">
      <t>ネンリョウ</t>
    </rPh>
    <rPh sb="4" eb="6">
      <t>ショウヒ</t>
    </rPh>
    <rPh sb="6" eb="7">
      <t>リョウ</t>
    </rPh>
    <phoneticPr fontId="4"/>
  </si>
  <si>
    <t>潜熱回収の有無</t>
    <rPh sb="0" eb="2">
      <t>センネツ</t>
    </rPh>
    <rPh sb="2" eb="4">
      <t>カイシュウ</t>
    </rPh>
    <rPh sb="5" eb="7">
      <t>ウム</t>
    </rPh>
    <phoneticPr fontId="3"/>
  </si>
  <si>
    <t>燃料削減
量
（①ｰ④）</t>
    <rPh sb="0" eb="2">
      <t>ネンリョウ</t>
    </rPh>
    <rPh sb="2" eb="4">
      <t>サクゲン</t>
    </rPh>
    <rPh sb="5" eb="6">
      <t>リョウ</t>
    </rPh>
    <phoneticPr fontId="4"/>
  </si>
  <si>
    <t>ガス</t>
  </si>
  <si>
    <t>MJ/kg</t>
  </si>
  <si>
    <t>ｔ/年</t>
    <rPh sb="2" eb="3">
      <t>ネン</t>
    </rPh>
    <phoneticPr fontId="7"/>
  </si>
  <si>
    <t>ｔ/年</t>
  </si>
  <si>
    <t>油</t>
    <rPh sb="0" eb="1">
      <t>アブラ</t>
    </rPh>
    <phoneticPr fontId="7"/>
  </si>
  <si>
    <t>MJ/L</t>
  </si>
  <si>
    <t>ｋL/年</t>
    <rPh sb="3" eb="4">
      <t>ネン</t>
    </rPh>
    <phoneticPr fontId="7"/>
  </si>
  <si>
    <t>電気</t>
    <rPh sb="0" eb="2">
      <t>デンキ</t>
    </rPh>
    <phoneticPr fontId="7"/>
  </si>
  <si>
    <t>MJ/kWh</t>
  </si>
  <si>
    <t>千kWh/年</t>
    <rPh sb="0" eb="1">
      <t>セン</t>
    </rPh>
    <rPh sb="5" eb="6">
      <t>ネン</t>
    </rPh>
    <phoneticPr fontId="7"/>
  </si>
  <si>
    <t>その他</t>
    <rPh sb="2" eb="3">
      <t>タ</t>
    </rPh>
    <phoneticPr fontId="7"/>
  </si>
  <si>
    <t>一般炭</t>
    <rPh sb="0" eb="2">
      <t>イッパン</t>
    </rPh>
    <rPh sb="2" eb="3">
      <t>タン</t>
    </rPh>
    <phoneticPr fontId="7"/>
  </si>
  <si>
    <t>石炭コークス</t>
    <rPh sb="0" eb="2">
      <t>セキタン</t>
    </rPh>
    <phoneticPr fontId="7"/>
  </si>
  <si>
    <t>使用エネルギー</t>
    <rPh sb="0" eb="2">
      <t>シヨウ</t>
    </rPh>
    <phoneticPr fontId="12"/>
  </si>
  <si>
    <t>高位発熱量</t>
    <rPh sb="0" eb="2">
      <t>コウイ</t>
    </rPh>
    <rPh sb="2" eb="4">
      <t>ハツネツ</t>
    </rPh>
    <rPh sb="4" eb="5">
      <t>リョウ</t>
    </rPh>
    <phoneticPr fontId="12"/>
  </si>
  <si>
    <t>低位発熱量</t>
    <rPh sb="0" eb="2">
      <t>テイイ</t>
    </rPh>
    <rPh sb="2" eb="4">
      <t>ハツネツ</t>
    </rPh>
    <rPh sb="4" eb="5">
      <t>リョウ</t>
    </rPh>
    <phoneticPr fontId="12"/>
  </si>
  <si>
    <t>単位</t>
    <rPh sb="0" eb="2">
      <t>タンイ</t>
    </rPh>
    <phoneticPr fontId="12"/>
  </si>
  <si>
    <t>消費量</t>
    <rPh sb="0" eb="3">
      <t>ショウヒリョウ</t>
    </rPh>
    <phoneticPr fontId="12"/>
  </si>
  <si>
    <t>消費単位</t>
    <rPh sb="0" eb="2">
      <t>ショウヒ</t>
    </rPh>
    <rPh sb="2" eb="4">
      <t>タンイ</t>
    </rPh>
    <phoneticPr fontId="12"/>
  </si>
  <si>
    <t>ガス</t>
    <phoneticPr fontId="12"/>
  </si>
  <si>
    <t>MJ/㎥</t>
    <phoneticPr fontId="12"/>
  </si>
  <si>
    <t>千m3/年</t>
    <rPh sb="0" eb="1">
      <t>セン</t>
    </rPh>
    <rPh sb="4" eb="5">
      <t>ネン</t>
    </rPh>
    <phoneticPr fontId="12"/>
  </si>
  <si>
    <t>MJ/kg</t>
    <phoneticPr fontId="12"/>
  </si>
  <si>
    <t>ｔ/年</t>
    <rPh sb="2" eb="3">
      <t>ネン</t>
    </rPh>
    <phoneticPr fontId="12"/>
  </si>
  <si>
    <t>kg/h</t>
    <phoneticPr fontId="12"/>
  </si>
  <si>
    <t>油</t>
    <rPh sb="0" eb="1">
      <t>アブラ</t>
    </rPh>
    <phoneticPr fontId="12"/>
  </si>
  <si>
    <t>灯油</t>
    <rPh sb="0" eb="2">
      <t>トウユ</t>
    </rPh>
    <phoneticPr fontId="12"/>
  </si>
  <si>
    <t>MJ/L</t>
    <phoneticPr fontId="12"/>
  </si>
  <si>
    <t>ｋL/年</t>
    <rPh sb="3" eb="4">
      <t>ネン</t>
    </rPh>
    <phoneticPr fontId="12"/>
  </si>
  <si>
    <t>L/h</t>
    <phoneticPr fontId="12"/>
  </si>
  <si>
    <t>軽油</t>
    <rPh sb="0" eb="2">
      <t>ケイユ</t>
    </rPh>
    <phoneticPr fontId="12"/>
  </si>
  <si>
    <t>A重油</t>
    <rPh sb="1" eb="3">
      <t>ジュウユ</t>
    </rPh>
    <phoneticPr fontId="12"/>
  </si>
  <si>
    <t>B重油</t>
    <rPh sb="1" eb="3">
      <t>ジュウユ</t>
    </rPh>
    <phoneticPr fontId="12"/>
  </si>
  <si>
    <t>C重油</t>
    <rPh sb="1" eb="3">
      <t>ジュウユ</t>
    </rPh>
    <phoneticPr fontId="12"/>
  </si>
  <si>
    <t>電気</t>
    <rPh sb="0" eb="2">
      <t>デンキ</t>
    </rPh>
    <phoneticPr fontId="12"/>
  </si>
  <si>
    <t>MJ/kWh</t>
    <phoneticPr fontId="12"/>
  </si>
  <si>
    <t>千kWh/年</t>
    <rPh sb="0" eb="1">
      <t>セン</t>
    </rPh>
    <rPh sb="5" eb="6">
      <t>ネン</t>
    </rPh>
    <phoneticPr fontId="12"/>
  </si>
  <si>
    <t>kW</t>
    <phoneticPr fontId="12"/>
  </si>
  <si>
    <t>その他</t>
    <rPh sb="2" eb="3">
      <t>タ</t>
    </rPh>
    <phoneticPr fontId="12"/>
  </si>
  <si>
    <t>その他油</t>
    <rPh sb="2" eb="3">
      <t>タ</t>
    </rPh>
    <rPh sb="3" eb="4">
      <t>アブラ</t>
    </rPh>
    <phoneticPr fontId="7"/>
  </si>
  <si>
    <t>その他電気</t>
    <rPh sb="2" eb="3">
      <t>タ</t>
    </rPh>
    <rPh sb="3" eb="5">
      <t>デンキ</t>
    </rPh>
    <phoneticPr fontId="7"/>
  </si>
  <si>
    <t>その他ガス</t>
    <rPh sb="2" eb="3">
      <t>タ</t>
    </rPh>
    <phoneticPr fontId="7"/>
  </si>
  <si>
    <t>LPG（kg）</t>
  </si>
  <si>
    <t>LPG（kg）</t>
    <phoneticPr fontId="3"/>
  </si>
  <si>
    <t>LPG（m³）</t>
    <phoneticPr fontId="3"/>
  </si>
  <si>
    <t>種別</t>
    <rPh sb="0" eb="2">
      <t>シュベツ</t>
    </rPh>
    <phoneticPr fontId="7"/>
  </si>
  <si>
    <t>その他の単位</t>
    <rPh sb="2" eb="3">
      <t>タ</t>
    </rPh>
    <rPh sb="4" eb="6">
      <t>タンイ</t>
    </rPh>
    <phoneticPr fontId="7"/>
  </si>
  <si>
    <t>石炭等</t>
    <rPh sb="0" eb="2">
      <t>セキタン</t>
    </rPh>
    <rPh sb="2" eb="3">
      <t>トウ</t>
    </rPh>
    <phoneticPr fontId="7"/>
  </si>
  <si>
    <t>燃料種別</t>
    <rPh sb="0" eb="2">
      <t>ネンリョウ</t>
    </rPh>
    <rPh sb="2" eb="4">
      <t>シュベツ</t>
    </rPh>
    <phoneticPr fontId="4"/>
  </si>
  <si>
    <t>ｈ/日</t>
    <rPh sb="2" eb="3">
      <t>ニチ</t>
    </rPh>
    <phoneticPr fontId="3"/>
  </si>
  <si>
    <t>平均使用時間</t>
    <rPh sb="0" eb="2">
      <t>ヘイキン</t>
    </rPh>
    <rPh sb="2" eb="4">
      <t>シヨウ</t>
    </rPh>
    <rPh sb="4" eb="6">
      <t>ジカン</t>
    </rPh>
    <phoneticPr fontId="3"/>
  </si>
  <si>
    <t>↓1日の平均使用時間を記入する</t>
    <rPh sb="2" eb="3">
      <t>ニチ</t>
    </rPh>
    <rPh sb="4" eb="6">
      <t>ヘイキン</t>
    </rPh>
    <rPh sb="6" eb="8">
      <t>シヨウ</t>
    </rPh>
    <rPh sb="8" eb="10">
      <t>ジカン</t>
    </rPh>
    <rPh sb="11" eb="13">
      <t>キニュウ</t>
    </rPh>
    <phoneticPr fontId="3"/>
  </si>
  <si>
    <t>ボイラの更新</t>
    <phoneticPr fontId="4"/>
  </si>
  <si>
    <t>負荷率</t>
    <rPh sb="0" eb="2">
      <t>フカ</t>
    </rPh>
    <rPh sb="2" eb="3">
      <t>リツ</t>
    </rPh>
    <phoneticPr fontId="3"/>
  </si>
  <si>
    <t>％</t>
    <phoneticPr fontId="3"/>
  </si>
  <si>
    <t>取得発熱量</t>
    <rPh sb="0" eb="2">
      <t>シュトク</t>
    </rPh>
    <rPh sb="2" eb="4">
      <t>ハツネツ</t>
    </rPh>
    <rPh sb="4" eb="5">
      <t>リョウ</t>
    </rPh>
    <phoneticPr fontId="3"/>
  </si>
  <si>
    <t>高位</t>
    <rPh sb="0" eb="2">
      <t>コウイ</t>
    </rPh>
    <phoneticPr fontId="3"/>
  </si>
  <si>
    <t>低位</t>
    <rPh sb="0" eb="2">
      <t>テイイ</t>
    </rPh>
    <phoneticPr fontId="3"/>
  </si>
  <si>
    <t>排出係数</t>
    <rPh sb="0" eb="2">
      <t>ハイシュツ</t>
    </rPh>
    <rPh sb="2" eb="4">
      <t>ケイスウ</t>
    </rPh>
    <phoneticPr fontId="3"/>
  </si>
  <si>
    <t>LNG</t>
  </si>
  <si>
    <t>千m³/年</t>
    <rPh sb="0" eb="1">
      <t>セン</t>
    </rPh>
    <rPh sb="4" eb="5">
      <t>ネン</t>
    </rPh>
    <phoneticPr fontId="3"/>
  </si>
  <si>
    <t>MJ/年</t>
    <rPh sb="3" eb="4">
      <t>ネン</t>
    </rPh>
    <phoneticPr fontId="3"/>
  </si>
  <si>
    <t>m3（N)/h</t>
    <phoneticPr fontId="12"/>
  </si>
  <si>
    <t>発熱出力</t>
    <rPh sb="0" eb="2">
      <t>ハツネツ</t>
    </rPh>
    <rPh sb="2" eb="4">
      <t>シュツリョク</t>
    </rPh>
    <phoneticPr fontId="3"/>
  </si>
  <si>
    <t>更新前</t>
    <rPh sb="0" eb="2">
      <t>コウシン</t>
    </rPh>
    <rPh sb="2" eb="3">
      <t>マエ</t>
    </rPh>
    <phoneticPr fontId="3"/>
  </si>
  <si>
    <t>更新後</t>
    <rPh sb="0" eb="2">
      <t>コウシン</t>
    </rPh>
    <rPh sb="2" eb="3">
      <t>ゴ</t>
    </rPh>
    <phoneticPr fontId="3"/>
  </si>
  <si>
    <t>h･台あたり</t>
    <rPh sb="2" eb="3">
      <t>ダイ</t>
    </rPh>
    <phoneticPr fontId="4"/>
  </si>
  <si>
    <t>原油換算量</t>
    <rPh sb="0" eb="2">
      <t>ゲンユ</t>
    </rPh>
    <rPh sb="2" eb="4">
      <t>カンサン</t>
    </rPh>
    <rPh sb="4" eb="5">
      <t>リョウ</t>
    </rPh>
    <phoneticPr fontId="3"/>
  </si>
  <si>
    <t>単位</t>
    <rPh sb="0" eb="2">
      <t>タンイ</t>
    </rPh>
    <phoneticPr fontId="3"/>
  </si>
  <si>
    <t>都市ガス（13A）</t>
    <rPh sb="0" eb="2">
      <t>トシ</t>
    </rPh>
    <phoneticPr fontId="3"/>
  </si>
  <si>
    <t>冷房時定格消費電力</t>
    <rPh sb="0" eb="3">
      <t>レイボウジ</t>
    </rPh>
    <rPh sb="5" eb="7">
      <t>ショウヒ</t>
    </rPh>
    <rPh sb="7" eb="9">
      <t>デンリョク</t>
    </rPh>
    <phoneticPr fontId="4"/>
  </si>
  <si>
    <t>暖房時定格消費電力</t>
    <rPh sb="0" eb="2">
      <t>ダンボウ</t>
    </rPh>
    <rPh sb="2" eb="3">
      <t>ジ</t>
    </rPh>
    <rPh sb="5" eb="7">
      <t>ショウヒ</t>
    </rPh>
    <rPh sb="7" eb="9">
      <t>デンリョク</t>
    </rPh>
    <phoneticPr fontId="4"/>
  </si>
  <si>
    <t>高位発熱量</t>
    <rPh sb="0" eb="2">
      <t>コウイ</t>
    </rPh>
    <rPh sb="2" eb="4">
      <t>ハツネツ</t>
    </rPh>
    <rPh sb="4" eb="5">
      <t>リョウ</t>
    </rPh>
    <phoneticPr fontId="3"/>
  </si>
  <si>
    <t>低位発熱量</t>
    <rPh sb="0" eb="2">
      <t>テイイ</t>
    </rPh>
    <rPh sb="2" eb="4">
      <t>ハツネツ</t>
    </rPh>
    <rPh sb="4" eb="5">
      <t>リョウ</t>
    </rPh>
    <phoneticPr fontId="3"/>
  </si>
  <si>
    <t>CO₂排出係数</t>
    <rPh sb="3" eb="5">
      <t>ハイシュツ</t>
    </rPh>
    <rPh sb="5" eb="7">
      <t>ケイスウ</t>
    </rPh>
    <phoneticPr fontId="3"/>
  </si>
  <si>
    <t>燃料種類</t>
    <rPh sb="0" eb="2">
      <t>ネンリョウ</t>
    </rPh>
    <rPh sb="2" eb="4">
      <t>シュルイ</t>
    </rPh>
    <phoneticPr fontId="3"/>
  </si>
  <si>
    <t>t-CO₂/t</t>
    <phoneticPr fontId="3"/>
  </si>
  <si>
    <t>t-CO₂/千kWh</t>
    <rPh sb="6" eb="7">
      <t>セン</t>
    </rPh>
    <phoneticPr fontId="3"/>
  </si>
  <si>
    <t>t-CO₂/kL</t>
    <phoneticPr fontId="3"/>
  </si>
  <si>
    <t>LPG（m³）</t>
  </si>
  <si>
    <t>年間稼働日数</t>
    <rPh sb="0" eb="1">
      <t>ネン</t>
    </rPh>
    <rPh sb="1" eb="2">
      <t>カン</t>
    </rPh>
    <rPh sb="2" eb="4">
      <t>カドウ</t>
    </rPh>
    <rPh sb="4" eb="6">
      <t>ニッスウ</t>
    </rPh>
    <phoneticPr fontId="3"/>
  </si>
  <si>
    <t>h/日</t>
    <rPh sb="2" eb="3">
      <t>ヒ</t>
    </rPh>
    <phoneticPr fontId="4"/>
  </si>
  <si>
    <t>日/年</t>
    <rPh sb="0" eb="1">
      <t>ヒ</t>
    </rPh>
    <rPh sb="2" eb="3">
      <t>ネン</t>
    </rPh>
    <phoneticPr fontId="3"/>
  </si>
  <si>
    <t>稼働時間</t>
    <rPh sb="0" eb="2">
      <t>カドウ</t>
    </rPh>
    <rPh sb="2" eb="4">
      <t>ジカン</t>
    </rPh>
    <phoneticPr fontId="4"/>
  </si>
  <si>
    <t>稼働日の平均負荷率</t>
    <rPh sb="0" eb="3">
      <t>カドウビ</t>
    </rPh>
    <rPh sb="4" eb="6">
      <t>ヘイキン</t>
    </rPh>
    <rPh sb="6" eb="9">
      <t>フカリツ</t>
    </rPh>
    <phoneticPr fontId="4"/>
  </si>
  <si>
    <t>非稼働日の平均負荷率</t>
    <rPh sb="0" eb="1">
      <t>ヒ</t>
    </rPh>
    <rPh sb="1" eb="4">
      <t>カドウビ</t>
    </rPh>
    <rPh sb="5" eb="7">
      <t>ヘイキン</t>
    </rPh>
    <rPh sb="7" eb="10">
      <t>フカリツ</t>
    </rPh>
    <phoneticPr fontId="4"/>
  </si>
  <si>
    <t>統合対象</t>
    <rPh sb="0" eb="2">
      <t>トウゴウ</t>
    </rPh>
    <rPh sb="2" eb="4">
      <t>タイショウ</t>
    </rPh>
    <phoneticPr fontId="3"/>
  </si>
  <si>
    <t>統合対象は●を選択</t>
    <rPh sb="0" eb="2">
      <t>トウゴウ</t>
    </rPh>
    <rPh sb="2" eb="4">
      <t>タイショウ</t>
    </rPh>
    <rPh sb="7" eb="9">
      <t>センタク</t>
    </rPh>
    <phoneticPr fontId="3"/>
  </si>
  <si>
    <t>年式</t>
    <rPh sb="0" eb="1">
      <t>ネン</t>
    </rPh>
    <rPh sb="1" eb="2">
      <t>シキ</t>
    </rPh>
    <phoneticPr fontId="3"/>
  </si>
  <si>
    <t>1970年以前</t>
    <rPh sb="4" eb="5">
      <t>ネン</t>
    </rPh>
    <rPh sb="5" eb="7">
      <t>イゼン</t>
    </rPh>
    <phoneticPr fontId="4"/>
  </si>
  <si>
    <t>1971～80年</t>
    <rPh sb="7" eb="8">
      <t>ネン</t>
    </rPh>
    <phoneticPr fontId="4"/>
  </si>
  <si>
    <t>1981～90年</t>
    <rPh sb="7" eb="8">
      <t>ネン</t>
    </rPh>
    <phoneticPr fontId="4"/>
  </si>
  <si>
    <t>1891～2000年</t>
    <rPh sb="9" eb="10">
      <t>ネン</t>
    </rPh>
    <phoneticPr fontId="4"/>
  </si>
  <si>
    <t>2001～05年</t>
    <rPh sb="7" eb="8">
      <t>ネン</t>
    </rPh>
    <phoneticPr fontId="4"/>
  </si>
  <si>
    <t>2005～10年</t>
    <rPh sb="7" eb="8">
      <t>ネン</t>
    </rPh>
    <phoneticPr fontId="4"/>
  </si>
  <si>
    <t>2011～15年</t>
    <rPh sb="7" eb="8">
      <t>ネン</t>
    </rPh>
    <phoneticPr fontId="4"/>
  </si>
  <si>
    <t>2016年以降</t>
    <rPh sb="4" eb="5">
      <t>ネン</t>
    </rPh>
    <rPh sb="5" eb="7">
      <t>イコウ</t>
    </rPh>
    <phoneticPr fontId="3"/>
  </si>
  <si>
    <t>基準容量</t>
    <rPh sb="0" eb="2">
      <t>キジュン</t>
    </rPh>
    <rPh sb="2" eb="4">
      <t>ヨウリョウ</t>
    </rPh>
    <phoneticPr fontId="3"/>
  </si>
  <si>
    <t>適用負荷率</t>
    <rPh sb="0" eb="2">
      <t>テキヨウ</t>
    </rPh>
    <rPh sb="2" eb="4">
      <t>フカ</t>
    </rPh>
    <rPh sb="4" eb="5">
      <t>リツ</t>
    </rPh>
    <phoneticPr fontId="3"/>
  </si>
  <si>
    <t>最大3個</t>
    <rPh sb="0" eb="2">
      <t>サイダイ</t>
    </rPh>
    <rPh sb="3" eb="4">
      <t>コ</t>
    </rPh>
    <phoneticPr fontId="3"/>
  </si>
  <si>
    <t>単相</t>
  </si>
  <si>
    <t>原油換算</t>
    <rPh sb="0" eb="2">
      <t>ゲンユ</t>
    </rPh>
    <rPh sb="2" eb="4">
      <t>カンサン</t>
    </rPh>
    <phoneticPr fontId="3"/>
  </si>
  <si>
    <t>項　目</t>
    <rPh sb="0" eb="1">
      <t>コウ</t>
    </rPh>
    <rPh sb="2" eb="3">
      <t>メ</t>
    </rPh>
    <phoneticPr fontId="4"/>
  </si>
  <si>
    <t>冷熱源設備の更新</t>
    <rPh sb="0" eb="2">
      <t>レイネツ</t>
    </rPh>
    <rPh sb="2" eb="3">
      <t>ゲン</t>
    </rPh>
    <rPh sb="3" eb="5">
      <t>セツビ</t>
    </rPh>
    <phoneticPr fontId="4"/>
  </si>
  <si>
    <t>西暦で記入</t>
    <rPh sb="0" eb="2">
      <t>セイレキ</t>
    </rPh>
    <rPh sb="3" eb="5">
      <t>キニュウ</t>
    </rPh>
    <phoneticPr fontId="3"/>
  </si>
  <si>
    <t>更新前</t>
    <rPh sb="0" eb="2">
      <t>コウシン</t>
    </rPh>
    <rPh sb="2" eb="3">
      <t>マエ</t>
    </rPh>
    <phoneticPr fontId="3"/>
  </si>
  <si>
    <t>更新後</t>
    <rPh sb="0" eb="2">
      <t>コウシン</t>
    </rPh>
    <rPh sb="2" eb="3">
      <t>ゴ</t>
    </rPh>
    <phoneticPr fontId="3"/>
  </si>
  <si>
    <t>※力率100%として計算</t>
    <rPh sb="1" eb="3">
      <t>リキリツ</t>
    </rPh>
    <rPh sb="10" eb="12">
      <t>ケイサン</t>
    </rPh>
    <phoneticPr fontId="3"/>
  </si>
  <si>
    <t>更新後統合負荷</t>
    <rPh sb="0" eb="2">
      <t>コウシン</t>
    </rPh>
    <rPh sb="2" eb="3">
      <t>ゴ</t>
    </rPh>
    <rPh sb="3" eb="5">
      <t>トウゴウ</t>
    </rPh>
    <rPh sb="5" eb="7">
      <t>フカ</t>
    </rPh>
    <phoneticPr fontId="3"/>
  </si>
  <si>
    <t>kW</t>
    <phoneticPr fontId="3"/>
  </si>
  <si>
    <t>年間電力消費量</t>
    <rPh sb="0" eb="1">
      <t>ネン</t>
    </rPh>
    <rPh sb="1" eb="2">
      <t>カン</t>
    </rPh>
    <rPh sb="2" eb="4">
      <t>デンリョク</t>
    </rPh>
    <rPh sb="4" eb="6">
      <t>ショウヒ</t>
    </rPh>
    <rPh sb="6" eb="7">
      <t>リョウ</t>
    </rPh>
    <phoneticPr fontId="4"/>
  </si>
  <si>
    <t>機種種類</t>
    <rPh sb="0" eb="2">
      <t>キシュ</t>
    </rPh>
    <rPh sb="2" eb="4">
      <t>シュルイ</t>
    </rPh>
    <phoneticPr fontId="3"/>
  </si>
  <si>
    <t>その他燃料･･･右表に無いものは下にデータを記入（1種類だけ可能）</t>
    <rPh sb="2" eb="3">
      <t>タ</t>
    </rPh>
    <rPh sb="3" eb="5">
      <t>ネンリョウ</t>
    </rPh>
    <rPh sb="8" eb="9">
      <t>ミギ</t>
    </rPh>
    <rPh sb="9" eb="10">
      <t>ヒョウ</t>
    </rPh>
    <rPh sb="11" eb="12">
      <t>ナ</t>
    </rPh>
    <rPh sb="16" eb="17">
      <t>シタ</t>
    </rPh>
    <rPh sb="22" eb="24">
      <t>キニュウ</t>
    </rPh>
    <rPh sb="26" eb="28">
      <t>シュルイ</t>
    </rPh>
    <rPh sb="30" eb="32">
      <t>カノウ</t>
    </rPh>
    <phoneticPr fontId="3"/>
  </si>
  <si>
    <t>kwh/年</t>
    <rPh sb="4" eb="5">
      <t>ネン</t>
    </rPh>
    <phoneticPr fontId="3"/>
  </si>
  <si>
    <t>冷凍・温水機</t>
    <rPh sb="0" eb="2">
      <t>レイトウ</t>
    </rPh>
    <rPh sb="3" eb="4">
      <t>オン</t>
    </rPh>
    <rPh sb="4" eb="6">
      <t>スイキ</t>
    </rPh>
    <phoneticPr fontId="3"/>
  </si>
  <si>
    <t>吸収式冷・温水機</t>
    <rPh sb="0" eb="2">
      <t>キュウシュウ</t>
    </rPh>
    <rPh sb="2" eb="3">
      <t>シキ</t>
    </rPh>
    <rPh sb="3" eb="4">
      <t>レイ</t>
    </rPh>
    <rPh sb="5" eb="7">
      <t>オンスイ</t>
    </rPh>
    <rPh sb="7" eb="8">
      <t>キ</t>
    </rPh>
    <phoneticPr fontId="3"/>
  </si>
  <si>
    <t>冷却塔</t>
    <rPh sb="0" eb="3">
      <t>レイキャクトウ</t>
    </rPh>
    <phoneticPr fontId="3"/>
  </si>
  <si>
    <t>kWh/年</t>
    <rPh sb="4" eb="5">
      <t>ネン</t>
    </rPh>
    <phoneticPr fontId="3"/>
  </si>
  <si>
    <t>c年間稼働時間</t>
    <rPh sb="1" eb="2">
      <t>ネン</t>
    </rPh>
    <rPh sb="2" eb="3">
      <t>カン</t>
    </rPh>
    <rPh sb="3" eb="5">
      <t>カドウ</t>
    </rPh>
    <rPh sb="5" eb="7">
      <t>ジカン</t>
    </rPh>
    <phoneticPr fontId="3"/>
  </si>
  <si>
    <t>g 台数</t>
    <rPh sb="2" eb="4">
      <t>ダイスウ</t>
    </rPh>
    <phoneticPr fontId="4"/>
  </si>
  <si>
    <t>h 台数</t>
    <rPh sb="2" eb="4">
      <t>ダイスウ</t>
    </rPh>
    <phoneticPr fontId="4"/>
  </si>
  <si>
    <t>※定格効率は計算結果に関与しません。</t>
    <rPh sb="1" eb="3">
      <t>テイカク</t>
    </rPh>
    <rPh sb="3" eb="5">
      <t>コウリツ</t>
    </rPh>
    <rPh sb="6" eb="8">
      <t>ケイサン</t>
    </rPh>
    <rPh sb="8" eb="10">
      <t>ケッカ</t>
    </rPh>
    <rPh sb="11" eb="13">
      <t>カンヨ</t>
    </rPh>
    <phoneticPr fontId="3"/>
  </si>
  <si>
    <t>b　補助消費電力</t>
    <rPh sb="2" eb="4">
      <t>ホジョ</t>
    </rPh>
    <rPh sb="4" eb="6">
      <t>ショウヒ</t>
    </rPh>
    <rPh sb="6" eb="8">
      <t>デンリョク</t>
    </rPh>
    <phoneticPr fontId="3"/>
  </si>
  <si>
    <t>p 補助消費電力</t>
    <rPh sb="2" eb="4">
      <t>ホジョ</t>
    </rPh>
    <rPh sb="4" eb="6">
      <t>ショウヒ</t>
    </rPh>
    <rPh sb="6" eb="8">
      <t>デンリョク</t>
    </rPh>
    <phoneticPr fontId="3"/>
  </si>
  <si>
    <t>主要エネルギー消費量</t>
    <rPh sb="0" eb="2">
      <t>シュヨウ</t>
    </rPh>
    <rPh sb="7" eb="10">
      <t>ショウヒリョウ</t>
    </rPh>
    <phoneticPr fontId="4"/>
  </si>
  <si>
    <t>補助電力消費量</t>
    <rPh sb="0" eb="2">
      <t>ホジョ</t>
    </rPh>
    <rPh sb="2" eb="4">
      <t>デンリョク</t>
    </rPh>
    <rPh sb="4" eb="7">
      <t>ショウヒリョウ</t>
    </rPh>
    <phoneticPr fontId="4"/>
  </si>
  <si>
    <t>その他設備の更新</t>
    <rPh sb="2" eb="3">
      <t>タ</t>
    </rPh>
    <rPh sb="3" eb="5">
      <t>セツビ</t>
    </rPh>
    <phoneticPr fontId="4"/>
  </si>
  <si>
    <t>補助消費電力</t>
    <rPh sb="0" eb="2">
      <t>ホジョ</t>
    </rPh>
    <rPh sb="2" eb="4">
      <t>ショウヒ</t>
    </rPh>
    <rPh sb="4" eb="6">
      <t>デンリョク</t>
    </rPh>
    <phoneticPr fontId="3"/>
  </si>
  <si>
    <t>主要エネルギー消費量</t>
    <rPh sb="0" eb="2">
      <t>シュヨウ</t>
    </rPh>
    <rPh sb="7" eb="9">
      <t>ショウヒ</t>
    </rPh>
    <rPh sb="9" eb="10">
      <t>リョウ</t>
    </rPh>
    <phoneticPr fontId="4"/>
  </si>
  <si>
    <t>冷蔵庫</t>
    <rPh sb="0" eb="3">
      <t>レイゾウコ</t>
    </rPh>
    <phoneticPr fontId="3"/>
  </si>
  <si>
    <t>冷凍庫</t>
    <rPh sb="0" eb="3">
      <t>レイトウコ</t>
    </rPh>
    <phoneticPr fontId="3"/>
  </si>
  <si>
    <t>ヒートポンプ</t>
    <phoneticPr fontId="3"/>
  </si>
  <si>
    <t>給湯機</t>
    <rPh sb="0" eb="2">
      <t>キュウトウ</t>
    </rPh>
    <rPh sb="2" eb="3">
      <t>キ</t>
    </rPh>
    <phoneticPr fontId="3"/>
  </si>
  <si>
    <t>定格ｴﾈﾙｷﾞ消費量</t>
    <rPh sb="0" eb="2">
      <t>テイカク</t>
    </rPh>
    <rPh sb="7" eb="9">
      <t>ショウヒリョウ</t>
    </rPh>
    <rPh sb="9" eb="10">
      <t>リョウ</t>
    </rPh>
    <phoneticPr fontId="4"/>
  </si>
  <si>
    <t>a定格ｴﾈﾙｷﾞ消費量</t>
    <rPh sb="1" eb="3">
      <t>テイカク</t>
    </rPh>
    <rPh sb="8" eb="10">
      <t>ショウヒリョウ</t>
    </rPh>
    <rPh sb="10" eb="11">
      <t>リョウ</t>
    </rPh>
    <phoneticPr fontId="4"/>
  </si>
  <si>
    <t>o定格ｴﾈﾙｷﾞ消費量</t>
    <rPh sb="1" eb="3">
      <t>テイカク</t>
    </rPh>
    <rPh sb="8" eb="10">
      <t>ショウヒリョウ</t>
    </rPh>
    <rPh sb="10" eb="11">
      <t>リョウ</t>
    </rPh>
    <phoneticPr fontId="4"/>
  </si>
  <si>
    <t>定温庫</t>
    <rPh sb="0" eb="2">
      <t>テイオン</t>
    </rPh>
    <rPh sb="2" eb="3">
      <t>コ</t>
    </rPh>
    <phoneticPr fontId="3"/>
  </si>
  <si>
    <t>年間消費電力量</t>
    <rPh sb="0" eb="1">
      <t>ネン</t>
    </rPh>
    <rPh sb="1" eb="2">
      <t>カン</t>
    </rPh>
    <rPh sb="2" eb="4">
      <t>ショウヒ</t>
    </rPh>
    <rPh sb="4" eb="6">
      <t>デンリョク</t>
    </rPh>
    <rPh sb="6" eb="7">
      <t>リョウ</t>
    </rPh>
    <phoneticPr fontId="3"/>
  </si>
  <si>
    <t>kWｈ/年</t>
    <rPh sb="4" eb="5">
      <t>ネン</t>
    </rPh>
    <phoneticPr fontId="3"/>
  </si>
  <si>
    <t>ｴﾈﾙｷﾞｰ種類</t>
    <rPh sb="7" eb="8">
      <t>シュルイ</t>
    </rPh>
    <phoneticPr fontId="4"/>
  </si>
  <si>
    <t>ｴﾈﾙｷﾞｰ分類</t>
    <rPh sb="6" eb="8">
      <t>ブンルイ</t>
    </rPh>
    <phoneticPr fontId="4"/>
  </si>
  <si>
    <t>＊定格能力等</t>
    <rPh sb="1" eb="3">
      <t>テイカク</t>
    </rPh>
    <rPh sb="3" eb="5">
      <t>ノウリョク</t>
    </rPh>
    <rPh sb="5" eb="6">
      <t>トウ</t>
    </rPh>
    <phoneticPr fontId="3"/>
  </si>
  <si>
    <t>＊設備容量(呼称）・定格能力等</t>
    <rPh sb="1" eb="3">
      <t>セツビ</t>
    </rPh>
    <rPh sb="3" eb="5">
      <t>ヨウリョウ</t>
    </rPh>
    <rPh sb="6" eb="8">
      <t>コショウ</t>
    </rPh>
    <rPh sb="10" eb="12">
      <t>テイカク</t>
    </rPh>
    <rPh sb="12" eb="14">
      <t>ノウリョク</t>
    </rPh>
    <rPh sb="14" eb="15">
      <t>トウ</t>
    </rPh>
    <phoneticPr fontId="3"/>
  </si>
  <si>
    <t>設備一般名称</t>
    <rPh sb="0" eb="2">
      <t>セツビ</t>
    </rPh>
    <rPh sb="2" eb="4">
      <t>イッパン</t>
    </rPh>
    <rPh sb="4" eb="6">
      <t>メイショウ</t>
    </rPh>
    <phoneticPr fontId="3"/>
  </si>
  <si>
    <t>有</t>
  </si>
  <si>
    <t>ターボ冷凍機</t>
    <rPh sb="3" eb="6">
      <t>レイトウキ</t>
    </rPh>
    <phoneticPr fontId="3"/>
  </si>
  <si>
    <t>種類</t>
    <rPh sb="0" eb="2">
      <t>シュルイ</t>
    </rPh>
    <phoneticPr fontId="3"/>
  </si>
  <si>
    <t>主要エネルギー削減
量
（①ｰ④）</t>
    <rPh sb="0" eb="2">
      <t>シュヨウ</t>
    </rPh>
    <rPh sb="7" eb="9">
      <t>サクゲン</t>
    </rPh>
    <rPh sb="10" eb="11">
      <t>リョウ</t>
    </rPh>
    <phoneticPr fontId="4"/>
  </si>
  <si>
    <t>補助電力削減量</t>
    <rPh sb="0" eb="2">
      <t>ホジョ</t>
    </rPh>
    <rPh sb="2" eb="4">
      <t>デンリョク</t>
    </rPh>
    <rPh sb="4" eb="6">
      <t>サクゲン</t>
    </rPh>
    <rPh sb="6" eb="7">
      <t>リョウ</t>
    </rPh>
    <phoneticPr fontId="3"/>
  </si>
  <si>
    <t>年間主要エネルギー消費量</t>
    <rPh sb="0" eb="1">
      <t>ネン</t>
    </rPh>
    <rPh sb="1" eb="2">
      <t>カン</t>
    </rPh>
    <rPh sb="2" eb="4">
      <t>シュヨウ</t>
    </rPh>
    <rPh sb="9" eb="11">
      <t>ショウヒ</t>
    </rPh>
    <rPh sb="11" eb="12">
      <t>リョウ</t>
    </rPh>
    <phoneticPr fontId="4"/>
  </si>
  <si>
    <t>補助電力消費量</t>
    <rPh sb="0" eb="2">
      <t>ホジョ</t>
    </rPh>
    <rPh sb="2" eb="4">
      <t>デンリョク</t>
    </rPh>
    <rPh sb="4" eb="6">
      <t>ショウヒ</t>
    </rPh>
    <rPh sb="6" eb="7">
      <t>リョウ</t>
    </rPh>
    <phoneticPr fontId="4"/>
  </si>
  <si>
    <t>その他</t>
    <rPh sb="2" eb="3">
      <t>タ</t>
    </rPh>
    <phoneticPr fontId="3"/>
  </si>
  <si>
    <t>○</t>
    <phoneticPr fontId="3"/>
  </si>
  <si>
    <t>設備容量（呼称・定格能力等）</t>
    <rPh sb="0" eb="2">
      <t>セツビ</t>
    </rPh>
    <rPh sb="2" eb="4">
      <t>ヨウリョウ</t>
    </rPh>
    <phoneticPr fontId="3"/>
  </si>
  <si>
    <t>単位</t>
    <rPh sb="0" eb="2">
      <t>タンイ</t>
    </rPh>
    <phoneticPr fontId="3"/>
  </si>
  <si>
    <t>kW, kcal,  L, (US)RT</t>
    <phoneticPr fontId="3"/>
  </si>
  <si>
    <t>kW</t>
    <phoneticPr fontId="3"/>
  </si>
  <si>
    <t>kcal</t>
    <phoneticPr fontId="3"/>
  </si>
  <si>
    <t>L</t>
    <phoneticPr fontId="3"/>
  </si>
  <si>
    <t>(US)RT</t>
    <phoneticPr fontId="3"/>
  </si>
  <si>
    <t>MJ</t>
    <phoneticPr fontId="3"/>
  </si>
  <si>
    <t>　　　特記事項</t>
    <rPh sb="3" eb="5">
      <t>トッキ</t>
    </rPh>
    <rPh sb="5" eb="7">
      <t>ジコウ</t>
    </rPh>
    <phoneticPr fontId="4"/>
  </si>
  <si>
    <t>■その他燃料･･･右表に無いものは下にデータを記入（1種類だけ可能）</t>
    <rPh sb="3" eb="4">
      <t>タ</t>
    </rPh>
    <rPh sb="4" eb="6">
      <t>ネンリョウ</t>
    </rPh>
    <rPh sb="9" eb="10">
      <t>ミギ</t>
    </rPh>
    <rPh sb="10" eb="11">
      <t>ヒョウ</t>
    </rPh>
    <rPh sb="12" eb="13">
      <t>ナ</t>
    </rPh>
    <rPh sb="17" eb="18">
      <t>シタ</t>
    </rPh>
    <rPh sb="23" eb="25">
      <t>キニュウ</t>
    </rPh>
    <rPh sb="27" eb="29">
      <t>シュルイ</t>
    </rPh>
    <rPh sb="31" eb="33">
      <t>カノウ</t>
    </rPh>
    <phoneticPr fontId="3"/>
  </si>
  <si>
    <t>設備の種類</t>
    <rPh sb="0" eb="2">
      <t>セツビ</t>
    </rPh>
    <rPh sb="3" eb="5">
      <t>シュルイ</t>
    </rPh>
    <phoneticPr fontId="3"/>
  </si>
  <si>
    <t>空調（EHP・GHP)の更新</t>
    <rPh sb="0" eb="2">
      <t>クウチョウ</t>
    </rPh>
    <phoneticPr fontId="4"/>
  </si>
  <si>
    <t>シートの記入方法の説明</t>
    <rPh sb="4" eb="6">
      <t>キニュウ</t>
    </rPh>
    <rPh sb="6" eb="8">
      <t>ホウホウ</t>
    </rPh>
    <rPh sb="9" eb="11">
      <t>セツメイ</t>
    </rPh>
    <phoneticPr fontId="3"/>
  </si>
  <si>
    <t>・更新後のボイラ仕様値を同様に記入する。</t>
    <rPh sb="1" eb="3">
      <t>コウシン</t>
    </rPh>
    <rPh sb="3" eb="4">
      <t>ゴ</t>
    </rPh>
    <rPh sb="8" eb="10">
      <t>シヨウ</t>
    </rPh>
    <rPh sb="10" eb="11">
      <t>チ</t>
    </rPh>
    <rPh sb="12" eb="14">
      <t>ドウヨウ</t>
    </rPh>
    <rPh sb="15" eb="17">
      <t>キニュウ</t>
    </rPh>
    <phoneticPr fontId="3"/>
  </si>
  <si>
    <t>燃料種類により単位が異なるので、適切な単位を</t>
    <rPh sb="0" eb="2">
      <t>ネンリョウ</t>
    </rPh>
    <rPh sb="2" eb="4">
      <t>シュルイ</t>
    </rPh>
    <rPh sb="7" eb="9">
      <t>タンイ</t>
    </rPh>
    <rPh sb="10" eb="11">
      <t>コト</t>
    </rPh>
    <rPh sb="16" eb="18">
      <t>テキセツ</t>
    </rPh>
    <rPh sb="19" eb="21">
      <t>タンイ</t>
    </rPh>
    <phoneticPr fontId="3"/>
  </si>
  <si>
    <t>選択する。誤記入に注意する。</t>
    <rPh sb="0" eb="2">
      <t>センタク</t>
    </rPh>
    <rPh sb="5" eb="8">
      <t>ゴキニュウ</t>
    </rPh>
    <rPh sb="9" eb="11">
      <t>チュウイ</t>
    </rPh>
    <phoneticPr fontId="3"/>
  </si>
  <si>
    <t>変圧器の更新</t>
    <rPh sb="0" eb="3">
      <t>ヘンアツキ</t>
    </rPh>
    <phoneticPr fontId="4"/>
  </si>
  <si>
    <t>対象の発熱量値、CO₂排出係数値を記入する。</t>
    <rPh sb="0" eb="2">
      <t>タイショウ</t>
    </rPh>
    <rPh sb="3" eb="5">
      <t>ハツネツ</t>
    </rPh>
    <rPh sb="5" eb="6">
      <t>リョウ</t>
    </rPh>
    <rPh sb="6" eb="7">
      <t>チ</t>
    </rPh>
    <rPh sb="11" eb="13">
      <t>ハイシュツ</t>
    </rPh>
    <rPh sb="13" eb="15">
      <t>ケイスウ</t>
    </rPh>
    <rPh sb="15" eb="16">
      <t>チ</t>
    </rPh>
    <rPh sb="17" eb="19">
      <t>キニュウ</t>
    </rPh>
    <phoneticPr fontId="3"/>
  </si>
  <si>
    <t>・カタログ上の定格ボイラ効率を記入する。潜熱回収型であれば有を選択する。</t>
    <rPh sb="5" eb="6">
      <t>ジョウ</t>
    </rPh>
    <rPh sb="7" eb="9">
      <t>テイカク</t>
    </rPh>
    <rPh sb="12" eb="14">
      <t>コウリツ</t>
    </rPh>
    <rPh sb="15" eb="17">
      <t>キニュウ</t>
    </rPh>
    <rPh sb="20" eb="22">
      <t>センネツ</t>
    </rPh>
    <rPh sb="22" eb="25">
      <t>カイシュウガタ</t>
    </rPh>
    <rPh sb="29" eb="30">
      <t>アリ</t>
    </rPh>
    <rPh sb="31" eb="33">
      <t>センタク</t>
    </rPh>
    <phoneticPr fontId="3"/>
  </si>
  <si>
    <t>・燃料が選択リストにない場合は右例のその他燃料表のように対象燃料の特性値を記入、</t>
    <rPh sb="1" eb="3">
      <t>ネンリョウ</t>
    </rPh>
    <rPh sb="4" eb="6">
      <t>センタク</t>
    </rPh>
    <rPh sb="12" eb="14">
      <t>バアイ</t>
    </rPh>
    <rPh sb="15" eb="16">
      <t>ウ</t>
    </rPh>
    <rPh sb="16" eb="17">
      <t>レイ</t>
    </rPh>
    <rPh sb="28" eb="30">
      <t>タイショウ</t>
    </rPh>
    <rPh sb="30" eb="32">
      <t>ネンリョウ</t>
    </rPh>
    <rPh sb="33" eb="36">
      <t>トクセイチ</t>
    </rPh>
    <rPh sb="37" eb="39">
      <t>キニュウ</t>
    </rPh>
    <phoneticPr fontId="3"/>
  </si>
  <si>
    <t>　記入後、改めて、表で燃料種類を選択する。</t>
    <rPh sb="16" eb="18">
      <t>センタク</t>
    </rPh>
    <phoneticPr fontId="3"/>
  </si>
  <si>
    <t>・更新前、更新後機種の容量、相数、無負荷損、負荷損を記入する。</t>
    <rPh sb="1" eb="3">
      <t>コウシン</t>
    </rPh>
    <rPh sb="3" eb="4">
      <t>マエ</t>
    </rPh>
    <rPh sb="5" eb="7">
      <t>コウシン</t>
    </rPh>
    <rPh sb="7" eb="8">
      <t>ゴ</t>
    </rPh>
    <rPh sb="8" eb="10">
      <t>キシュ</t>
    </rPh>
    <rPh sb="11" eb="13">
      <t>ヨウリョウ</t>
    </rPh>
    <rPh sb="14" eb="16">
      <t>ソウスウ</t>
    </rPh>
    <rPh sb="17" eb="20">
      <t>ムフカ</t>
    </rPh>
    <rPh sb="20" eb="21">
      <t>ゾン</t>
    </rPh>
    <rPh sb="22" eb="24">
      <t>フカ</t>
    </rPh>
    <rPh sb="24" eb="25">
      <t>ゾン</t>
    </rPh>
    <rPh sb="26" eb="28">
      <t>キニュウ</t>
    </rPh>
    <phoneticPr fontId="3"/>
  </si>
  <si>
    <t>・更新前の稼働日における1日の設備稼働時間と変圧器負荷率、設備非稼働（夜間や休日）</t>
    <rPh sb="1" eb="3">
      <t>コウシン</t>
    </rPh>
    <rPh sb="3" eb="4">
      <t>マエ</t>
    </rPh>
    <rPh sb="5" eb="7">
      <t>カドウ</t>
    </rPh>
    <rPh sb="7" eb="8">
      <t>ビ</t>
    </rPh>
    <rPh sb="13" eb="14">
      <t>ニチ</t>
    </rPh>
    <rPh sb="15" eb="17">
      <t>セツビ</t>
    </rPh>
    <rPh sb="17" eb="19">
      <t>カドウ</t>
    </rPh>
    <rPh sb="19" eb="21">
      <t>ジカン</t>
    </rPh>
    <rPh sb="22" eb="25">
      <t>ヘンアツキ</t>
    </rPh>
    <rPh sb="25" eb="27">
      <t>フカ</t>
    </rPh>
    <rPh sb="27" eb="28">
      <t>リツ</t>
    </rPh>
    <rPh sb="29" eb="31">
      <t>セツビ</t>
    </rPh>
    <rPh sb="31" eb="32">
      <t>ヒ</t>
    </rPh>
    <rPh sb="32" eb="34">
      <t>カドウ</t>
    </rPh>
    <rPh sb="35" eb="37">
      <t>ヤカン</t>
    </rPh>
    <rPh sb="38" eb="40">
      <t>キュウジツ</t>
    </rPh>
    <phoneticPr fontId="3"/>
  </si>
  <si>
    <t>　統合対象機は最大３台までとなっている。</t>
    <rPh sb="1" eb="3">
      <t>トウゴウ</t>
    </rPh>
    <rPh sb="3" eb="5">
      <t>タイショウ</t>
    </rPh>
    <rPh sb="5" eb="6">
      <t>キ</t>
    </rPh>
    <rPh sb="7" eb="9">
      <t>サイダイ</t>
    </rPh>
    <rPh sb="10" eb="11">
      <t>ダイ</t>
    </rPh>
    <phoneticPr fontId="3"/>
  </si>
  <si>
    <t>相数</t>
    <rPh sb="0" eb="1">
      <t>ソウ</t>
    </rPh>
    <rPh sb="1" eb="2">
      <t>スウ</t>
    </rPh>
    <phoneticPr fontId="4"/>
  </si>
  <si>
    <t>　の平均負荷率を記入する。</t>
    <rPh sb="2" eb="4">
      <t>ヘイキン</t>
    </rPh>
    <rPh sb="4" eb="6">
      <t>フカ</t>
    </rPh>
    <rPh sb="6" eb="7">
      <t>リツ</t>
    </rPh>
    <rPh sb="8" eb="10">
      <t>キニュウ</t>
    </rPh>
    <phoneticPr fontId="3"/>
  </si>
  <si>
    <t>・更新後、変圧器を統合する場合は、更新前の複数対象機に対し、更新後の統合対象機を</t>
    <rPh sb="1" eb="3">
      <t>コウシン</t>
    </rPh>
    <rPh sb="3" eb="4">
      <t>ゴ</t>
    </rPh>
    <rPh sb="5" eb="8">
      <t>ヘンアツキ</t>
    </rPh>
    <rPh sb="9" eb="11">
      <t>トウゴウ</t>
    </rPh>
    <rPh sb="13" eb="15">
      <t>バアイ</t>
    </rPh>
    <rPh sb="17" eb="19">
      <t>コウシン</t>
    </rPh>
    <rPh sb="19" eb="20">
      <t>マエ</t>
    </rPh>
    <rPh sb="21" eb="23">
      <t>フクスウ</t>
    </rPh>
    <rPh sb="23" eb="25">
      <t>タイショウ</t>
    </rPh>
    <rPh sb="25" eb="26">
      <t>キ</t>
    </rPh>
    <rPh sb="27" eb="28">
      <t>タイ</t>
    </rPh>
    <rPh sb="30" eb="32">
      <t>コウシン</t>
    </rPh>
    <rPh sb="32" eb="33">
      <t>ゴ</t>
    </rPh>
    <rPh sb="34" eb="36">
      <t>トウゴウ</t>
    </rPh>
    <rPh sb="36" eb="38">
      <t>タイショウ</t>
    </rPh>
    <rPh sb="38" eb="39">
      <t>キ</t>
    </rPh>
    <phoneticPr fontId="3"/>
  </si>
  <si>
    <t>・設備容量（定格能力や馬力等の呼称値でもよい）を記入する。更新後の容量と単位を同じ</t>
    <rPh sb="1" eb="3">
      <t>セツビ</t>
    </rPh>
    <rPh sb="3" eb="5">
      <t>ヨウリョウ</t>
    </rPh>
    <rPh sb="6" eb="8">
      <t>テイカク</t>
    </rPh>
    <rPh sb="8" eb="10">
      <t>ノウリョク</t>
    </rPh>
    <rPh sb="11" eb="13">
      <t>バリキ</t>
    </rPh>
    <rPh sb="13" eb="14">
      <t>トウ</t>
    </rPh>
    <rPh sb="15" eb="17">
      <t>コショウ</t>
    </rPh>
    <rPh sb="17" eb="18">
      <t>チ</t>
    </rPh>
    <rPh sb="24" eb="26">
      <t>キニュウ</t>
    </rPh>
    <rPh sb="29" eb="31">
      <t>コウシン</t>
    </rPh>
    <rPh sb="31" eb="32">
      <t>ゴ</t>
    </rPh>
    <rPh sb="33" eb="35">
      <t>ヨウリョウ</t>
    </rPh>
    <rPh sb="36" eb="38">
      <t>タンイ</t>
    </rPh>
    <rPh sb="39" eb="40">
      <t>オナ</t>
    </rPh>
    <phoneticPr fontId="3"/>
  </si>
  <si>
    <t>　にすること。</t>
    <phoneticPr fontId="3"/>
  </si>
  <si>
    <t>・年間の稼働時間と、間欠運転や負荷が変動する場合は負荷率を記入する。</t>
    <rPh sb="1" eb="3">
      <t>ネンカン</t>
    </rPh>
    <rPh sb="4" eb="6">
      <t>カドウ</t>
    </rPh>
    <rPh sb="6" eb="8">
      <t>ジカン</t>
    </rPh>
    <rPh sb="10" eb="12">
      <t>カンケツ</t>
    </rPh>
    <rPh sb="12" eb="14">
      <t>ウンテン</t>
    </rPh>
    <rPh sb="15" eb="17">
      <t>フカ</t>
    </rPh>
    <rPh sb="18" eb="20">
      <t>ヘンドウ</t>
    </rPh>
    <rPh sb="22" eb="24">
      <t>バアイ</t>
    </rPh>
    <rPh sb="25" eb="27">
      <t>フカ</t>
    </rPh>
    <rPh sb="27" eb="28">
      <t>リツ</t>
    </rPh>
    <rPh sb="29" eb="31">
      <t>キニュウ</t>
    </rPh>
    <phoneticPr fontId="3"/>
  </si>
  <si>
    <t>モータ規格</t>
    <rPh sb="3" eb="5">
      <t>キカク</t>
    </rPh>
    <phoneticPr fontId="4"/>
  </si>
  <si>
    <t>モーター</t>
  </si>
  <si>
    <t>モーター</t>
    <phoneticPr fontId="3"/>
  </si>
  <si>
    <t>ブロア</t>
    <phoneticPr fontId="3"/>
  </si>
  <si>
    <t>ファン</t>
    <phoneticPr fontId="3"/>
  </si>
  <si>
    <t>ポンプ</t>
    <phoneticPr fontId="3"/>
  </si>
  <si>
    <t>モーター設備の更新</t>
    <rPh sb="4" eb="6">
      <t>セツビ</t>
    </rPh>
    <phoneticPr fontId="4"/>
  </si>
  <si>
    <t>定格出力</t>
    <rPh sb="0" eb="2">
      <t>テイカク</t>
    </rPh>
    <rPh sb="2" eb="4">
      <t>シュツリョク</t>
    </rPh>
    <phoneticPr fontId="4"/>
  </si>
  <si>
    <t>年間稼働時間</t>
    <rPh sb="0" eb="2">
      <t>ネンカン</t>
    </rPh>
    <rPh sb="2" eb="6">
      <t>カドウジカン</t>
    </rPh>
    <phoneticPr fontId="4"/>
  </si>
  <si>
    <t>CO2排出量</t>
  </si>
  <si>
    <t>CO2排出量</t>
    <phoneticPr fontId="4"/>
  </si>
  <si>
    <t>*インバーター等での低減率</t>
    <rPh sb="7" eb="8">
      <t>トウ</t>
    </rPh>
    <rPh sb="10" eb="12">
      <t>テイゲン</t>
    </rPh>
    <rPh sb="12" eb="13">
      <t>リツ</t>
    </rPh>
    <phoneticPr fontId="4"/>
  </si>
  <si>
    <t>*低減率の根拠資料提示が必要</t>
    <rPh sb="1" eb="3">
      <t>テイゲン</t>
    </rPh>
    <rPh sb="3" eb="4">
      <t>リツ</t>
    </rPh>
    <rPh sb="5" eb="7">
      <t>コンキョ</t>
    </rPh>
    <rPh sb="7" eb="9">
      <t>シリョウ</t>
    </rPh>
    <rPh sb="9" eb="11">
      <t>テイジ</t>
    </rPh>
    <rPh sb="12" eb="14">
      <t>ヒツヨウ</t>
    </rPh>
    <phoneticPr fontId="3"/>
  </si>
  <si>
    <t>更新前</t>
    <rPh sb="0" eb="2">
      <t>コウシン</t>
    </rPh>
    <rPh sb="2" eb="3">
      <t>マエ</t>
    </rPh>
    <phoneticPr fontId="3"/>
  </si>
  <si>
    <t>更新後</t>
    <rPh sb="0" eb="2">
      <t>コウシン</t>
    </rPh>
    <rPh sb="2" eb="3">
      <t>ゴ</t>
    </rPh>
    <phoneticPr fontId="3"/>
  </si>
  <si>
    <r>
      <rPr>
        <sz val="11"/>
        <color rgb="FF000000"/>
        <rFont val="ＭＳ ゴシック"/>
        <family val="3"/>
        <charset val="128"/>
      </rPr>
      <t>※設備容量</t>
    </r>
    <r>
      <rPr>
        <sz val="11"/>
        <color rgb="FF000000"/>
        <rFont val="游ゴシック"/>
        <family val="3"/>
        <charset val="128"/>
      </rPr>
      <t>の増加は原則認められません</t>
    </r>
    <rPh sb="1" eb="3">
      <t>セツビ</t>
    </rPh>
    <rPh sb="3" eb="5">
      <t>ヨウリョウ</t>
    </rPh>
    <phoneticPr fontId="3"/>
  </si>
  <si>
    <t>電力削減量</t>
    <rPh sb="0" eb="2">
      <t>デンリョク</t>
    </rPh>
    <rPh sb="2" eb="5">
      <t>サクゲンリョウ</t>
    </rPh>
    <phoneticPr fontId="4"/>
  </si>
  <si>
    <t>CO2削減量</t>
    <rPh sb="3" eb="6">
      <t>サクゲンリョウ</t>
    </rPh>
    <phoneticPr fontId="4"/>
  </si>
  <si>
    <t>年式</t>
    <rPh sb="0" eb="1">
      <t>ネン</t>
    </rPh>
    <rPh sb="1" eb="2">
      <t>シキ</t>
    </rPh>
    <phoneticPr fontId="3"/>
  </si>
  <si>
    <t>kWh／年</t>
    <rPh sb="4" eb="5">
      <t>ネン</t>
    </rPh>
    <phoneticPr fontId="3"/>
  </si>
  <si>
    <t>日/年</t>
    <rPh sb="0" eb="1">
      <t>ヒ</t>
    </rPh>
    <rPh sb="2" eb="3">
      <t>ネン</t>
    </rPh>
    <phoneticPr fontId="4"/>
  </si>
  <si>
    <t>モジュール枚数</t>
    <rPh sb="5" eb="7">
      <t>マイスウ</t>
    </rPh>
    <phoneticPr fontId="4"/>
  </si>
  <si>
    <t>枚</t>
    <rPh sb="0" eb="1">
      <t>マイ</t>
    </rPh>
    <phoneticPr fontId="4"/>
  </si>
  <si>
    <t>結晶系</t>
    <rPh sb="0" eb="2">
      <t>ケッショウ</t>
    </rPh>
    <rPh sb="2" eb="3">
      <t>ケイ</t>
    </rPh>
    <phoneticPr fontId="3"/>
  </si>
  <si>
    <t>PERC</t>
    <phoneticPr fontId="3"/>
  </si>
  <si>
    <t>モジュール変換効率</t>
    <rPh sb="5" eb="7">
      <t>ヘンカン</t>
    </rPh>
    <rPh sb="7" eb="9">
      <t>コウリツ</t>
    </rPh>
    <phoneticPr fontId="3"/>
  </si>
  <si>
    <t>モジュール公称出力</t>
    <rPh sb="5" eb="7">
      <t>コウショウ</t>
    </rPh>
    <rPh sb="7" eb="9">
      <t>シュツリョク</t>
    </rPh>
    <phoneticPr fontId="4"/>
  </si>
  <si>
    <t>自家消費電力量</t>
    <rPh sb="0" eb="2">
      <t>ジカ</t>
    </rPh>
    <rPh sb="2" eb="4">
      <t>ショウヒ</t>
    </rPh>
    <rPh sb="4" eb="6">
      <t>デンリョク</t>
    </rPh>
    <rPh sb="6" eb="7">
      <t>リョウ</t>
    </rPh>
    <phoneticPr fontId="4"/>
  </si>
  <si>
    <t>CO2削減量③</t>
    <rPh sb="3" eb="5">
      <t>サクゲン</t>
    </rPh>
    <rPh sb="5" eb="6">
      <t>リョウ</t>
    </rPh>
    <phoneticPr fontId="4"/>
  </si>
  <si>
    <t>蓄電池</t>
    <rPh sb="0" eb="3">
      <t>チクデンチ</t>
    </rPh>
    <phoneticPr fontId="3"/>
  </si>
  <si>
    <t>h</t>
    <phoneticPr fontId="3"/>
  </si>
  <si>
    <t>年間操業日数</t>
    <rPh sb="0" eb="1">
      <t>ネン</t>
    </rPh>
    <rPh sb="1" eb="2">
      <t>カン</t>
    </rPh>
    <rPh sb="2" eb="4">
      <t>ソウギョウ</t>
    </rPh>
    <rPh sb="4" eb="6">
      <t>ニッスウ</t>
    </rPh>
    <phoneticPr fontId="3"/>
  </si>
  <si>
    <t>余剰電力処置</t>
    <rPh sb="0" eb="2">
      <t>ヨジョウ</t>
    </rPh>
    <rPh sb="2" eb="4">
      <t>デンリョク</t>
    </rPh>
    <rPh sb="4" eb="6">
      <t>ショチ</t>
    </rPh>
    <phoneticPr fontId="3"/>
  </si>
  <si>
    <t>系統連系</t>
    <rPh sb="0" eb="4">
      <t>ケイトウレンケイ</t>
    </rPh>
    <phoneticPr fontId="3"/>
  </si>
  <si>
    <t>独立（交流負荷）</t>
    <rPh sb="0" eb="2">
      <t>ドクリツ</t>
    </rPh>
    <rPh sb="3" eb="5">
      <t>コウリュウ</t>
    </rPh>
    <rPh sb="5" eb="7">
      <t>フカ</t>
    </rPh>
    <phoneticPr fontId="3"/>
  </si>
  <si>
    <t>独立（直流負荷）</t>
    <rPh sb="0" eb="2">
      <t>ドクリツ</t>
    </rPh>
    <rPh sb="3" eb="5">
      <t>チョクリュウ</t>
    </rPh>
    <rPh sb="5" eb="7">
      <t>フカ</t>
    </rPh>
    <phoneticPr fontId="3"/>
  </si>
  <si>
    <t>自家消費率</t>
    <rPh sb="0" eb="2">
      <t>ジカ</t>
    </rPh>
    <rPh sb="2" eb="4">
      <t>ショウヒ</t>
    </rPh>
    <rPh sb="4" eb="5">
      <t>リツ</t>
    </rPh>
    <phoneticPr fontId="3"/>
  </si>
  <si>
    <t>売電</t>
    <rPh sb="0" eb="2">
      <t>バイデン</t>
    </rPh>
    <phoneticPr fontId="3"/>
  </si>
  <si>
    <t>他</t>
    <rPh sb="0" eb="1">
      <t>ホカ</t>
    </rPh>
    <phoneticPr fontId="3"/>
  </si>
  <si>
    <t>年間電力使用量</t>
    <rPh sb="0" eb="1">
      <t>ネン</t>
    </rPh>
    <rPh sb="1" eb="2">
      <t>カン</t>
    </rPh>
    <rPh sb="2" eb="4">
      <t>デンリョク</t>
    </rPh>
    <rPh sb="4" eb="7">
      <t>シヨウリョウ</t>
    </rPh>
    <phoneticPr fontId="3"/>
  </si>
  <si>
    <t>CO2削減率</t>
    <rPh sb="3" eb="5">
      <t>サクゲン</t>
    </rPh>
    <rPh sb="5" eb="6">
      <t>リツ</t>
    </rPh>
    <phoneticPr fontId="4"/>
  </si>
  <si>
    <t>太陽光発電システム容量</t>
    <rPh sb="0" eb="3">
      <t>タイヨウコウ</t>
    </rPh>
    <rPh sb="3" eb="5">
      <t>ハツデン</t>
    </rPh>
    <rPh sb="9" eb="11">
      <t>ヨウリョウ</t>
    </rPh>
    <phoneticPr fontId="3"/>
  </si>
  <si>
    <t>蓄電容量(合計）</t>
    <rPh sb="0" eb="2">
      <t>チクデン</t>
    </rPh>
    <rPh sb="2" eb="4">
      <t>ヨウリョウ</t>
    </rPh>
    <rPh sb="5" eb="7">
      <t>ゴウケイ</t>
    </rPh>
    <phoneticPr fontId="4"/>
  </si>
  <si>
    <t>W</t>
    <phoneticPr fontId="3"/>
  </si>
  <si>
    <t>PCS出力（力率1.0）合計</t>
    <rPh sb="3" eb="5">
      <t>シュツリョク</t>
    </rPh>
    <rPh sb="6" eb="8">
      <t>リキリツ</t>
    </rPh>
    <rPh sb="12" eb="14">
      <t>ゴウケイ</t>
    </rPh>
    <phoneticPr fontId="4"/>
  </si>
  <si>
    <t>停電時昼間使用目安時間</t>
    <rPh sb="0" eb="2">
      <t>テイデン</t>
    </rPh>
    <rPh sb="2" eb="3">
      <t>ジ</t>
    </rPh>
    <rPh sb="3" eb="5">
      <t>ヒルマ</t>
    </rPh>
    <rPh sb="5" eb="7">
      <t>シヨウ</t>
    </rPh>
    <rPh sb="7" eb="9">
      <t>メヤス</t>
    </rPh>
    <rPh sb="9" eb="11">
      <t>ジカン</t>
    </rPh>
    <phoneticPr fontId="4"/>
  </si>
  <si>
    <t>停電時夜間使用目安時間</t>
    <rPh sb="0" eb="2">
      <t>テイデン</t>
    </rPh>
    <rPh sb="2" eb="3">
      <t>ジ</t>
    </rPh>
    <rPh sb="3" eb="5">
      <t>ヤカン</t>
    </rPh>
    <rPh sb="5" eb="7">
      <t>シヨウ</t>
    </rPh>
    <rPh sb="7" eb="9">
      <t>メヤス</t>
    </rPh>
    <rPh sb="9" eb="11">
      <t>ジカン</t>
    </rPh>
    <phoneticPr fontId="4"/>
  </si>
  <si>
    <t>年間発電量</t>
    <rPh sb="0" eb="1">
      <t>ネン</t>
    </rPh>
    <rPh sb="1" eb="2">
      <t>カン</t>
    </rPh>
    <rPh sb="2" eb="4">
      <t>ハツデン</t>
    </rPh>
    <rPh sb="4" eb="5">
      <t>リョウ</t>
    </rPh>
    <phoneticPr fontId="4"/>
  </si>
  <si>
    <t>年間電力使用量</t>
    <phoneticPr fontId="4"/>
  </si>
  <si>
    <t>電力量</t>
    <rPh sb="0" eb="2">
      <t>デンリョク</t>
    </rPh>
    <rPh sb="2" eb="3">
      <t>リョウ</t>
    </rPh>
    <phoneticPr fontId="3"/>
  </si>
  <si>
    <t>削減率</t>
    <rPh sb="0" eb="2">
      <t>サクゲン</t>
    </rPh>
    <rPh sb="2" eb="3">
      <t>リツ</t>
    </rPh>
    <phoneticPr fontId="3"/>
  </si>
  <si>
    <t>CO₂換算量</t>
    <rPh sb="3" eb="5">
      <t>カンサン</t>
    </rPh>
    <rPh sb="5" eb="6">
      <t>シュツリョウ</t>
    </rPh>
    <phoneticPr fontId="3"/>
  </si>
  <si>
    <t>原油換算エネルギー換算量</t>
    <rPh sb="0" eb="4">
      <t>ゲンユカンザン</t>
    </rPh>
    <rPh sb="9" eb="11">
      <t>カンサン</t>
    </rPh>
    <rPh sb="11" eb="12">
      <t>リョウ</t>
    </rPh>
    <phoneticPr fontId="4"/>
  </si>
  <si>
    <t>太陽光設備</t>
    <rPh sb="0" eb="3">
      <t>タイヨウコウ</t>
    </rPh>
    <rPh sb="3" eb="5">
      <t>セツビ</t>
    </rPh>
    <phoneticPr fontId="4"/>
  </si>
  <si>
    <t>記入数値の適否</t>
    <rPh sb="0" eb="2">
      <t>キニュウ</t>
    </rPh>
    <rPh sb="2" eb="4">
      <t>スウチ</t>
    </rPh>
    <rPh sb="5" eb="7">
      <t>テキヒ</t>
    </rPh>
    <phoneticPr fontId="4"/>
  </si>
  <si>
    <t>３．効果判定</t>
    <rPh sb="2" eb="4">
      <t>コウカ</t>
    </rPh>
    <rPh sb="4" eb="6">
      <t>ハンテイ</t>
    </rPh>
    <phoneticPr fontId="3"/>
  </si>
  <si>
    <t>太陽光発電・蓄電池</t>
    <rPh sb="0" eb="3">
      <t>タイヨウコウ</t>
    </rPh>
    <rPh sb="3" eb="5">
      <t>ハツデン</t>
    </rPh>
    <rPh sb="6" eb="8">
      <t>チクデン</t>
    </rPh>
    <rPh sb="8" eb="9">
      <t>イケ</t>
    </rPh>
    <phoneticPr fontId="4"/>
  </si>
  <si>
    <t>太陽光発電・蓄電池</t>
    <rPh sb="0" eb="3">
      <t>タイヨウコウ</t>
    </rPh>
    <rPh sb="3" eb="5">
      <t>ハツデン</t>
    </rPh>
    <rPh sb="6" eb="9">
      <t>チクデンチ</t>
    </rPh>
    <phoneticPr fontId="4"/>
  </si>
  <si>
    <t>系統側</t>
    <rPh sb="0" eb="2">
      <t>ケイトウ</t>
    </rPh>
    <rPh sb="2" eb="3">
      <t>ガワ</t>
    </rPh>
    <phoneticPr fontId="3"/>
  </si>
  <si>
    <t>発電設備側</t>
    <rPh sb="0" eb="2">
      <t>ハツデン</t>
    </rPh>
    <rPh sb="2" eb="4">
      <t>セツビ</t>
    </rPh>
    <rPh sb="4" eb="5">
      <t>ガワ</t>
    </rPh>
    <phoneticPr fontId="3"/>
  </si>
  <si>
    <t>設置位置（PCS位置に対し）</t>
    <rPh sb="0" eb="2">
      <t>セッチ</t>
    </rPh>
    <rPh sb="2" eb="4">
      <t>イチ</t>
    </rPh>
    <rPh sb="8" eb="10">
      <t>イチ</t>
    </rPh>
    <rPh sb="11" eb="12">
      <t>タイ</t>
    </rPh>
    <phoneticPr fontId="3"/>
  </si>
  <si>
    <t>・太陽光モジュールの仕様、設置枚数、PCS特性値を記入する。</t>
    <rPh sb="1" eb="4">
      <t>タイヨウコウ</t>
    </rPh>
    <rPh sb="10" eb="12">
      <t>シヨウ</t>
    </rPh>
    <rPh sb="13" eb="15">
      <t>セッチ</t>
    </rPh>
    <rPh sb="15" eb="17">
      <t>マイスウ</t>
    </rPh>
    <rPh sb="21" eb="24">
      <t>トクセイチ</t>
    </rPh>
    <rPh sb="25" eb="27">
      <t>キニュウ</t>
    </rPh>
    <phoneticPr fontId="3"/>
  </si>
  <si>
    <t>・自家消費する年間の操業日数を記入する。余剰電力の処置方法を選択する。</t>
    <rPh sb="1" eb="3">
      <t>ジカ</t>
    </rPh>
    <rPh sb="3" eb="5">
      <t>ショウヒ</t>
    </rPh>
    <rPh sb="7" eb="9">
      <t>ネンカン</t>
    </rPh>
    <rPh sb="10" eb="12">
      <t>ソウギョウ</t>
    </rPh>
    <rPh sb="12" eb="14">
      <t>ニッスウ</t>
    </rPh>
    <rPh sb="15" eb="17">
      <t>キニュウ</t>
    </rPh>
    <rPh sb="20" eb="22">
      <t>ヨジョウ</t>
    </rPh>
    <rPh sb="22" eb="24">
      <t>デンリョク</t>
    </rPh>
    <rPh sb="25" eb="27">
      <t>ショチ</t>
    </rPh>
    <rPh sb="27" eb="29">
      <t>ホウホウ</t>
    </rPh>
    <rPh sb="30" eb="32">
      <t>センタク</t>
    </rPh>
    <phoneticPr fontId="3"/>
  </si>
  <si>
    <t>＊年間発電電力量</t>
    <rPh sb="1" eb="2">
      <t>ネン</t>
    </rPh>
    <rPh sb="2" eb="3">
      <t>カン</t>
    </rPh>
    <rPh sb="3" eb="5">
      <t>ハツデン</t>
    </rPh>
    <rPh sb="5" eb="7">
      <t>デンリョク</t>
    </rPh>
    <rPh sb="7" eb="8">
      <t>リョウ</t>
    </rPh>
    <phoneticPr fontId="4"/>
  </si>
  <si>
    <t>＊自家消費電力量</t>
    <rPh sb="1" eb="3">
      <t>ジカ</t>
    </rPh>
    <rPh sb="3" eb="5">
      <t>ショウヒ</t>
    </rPh>
    <rPh sb="5" eb="7">
      <t>デンリョク</t>
    </rPh>
    <rPh sb="7" eb="8">
      <t>リョウ</t>
    </rPh>
    <phoneticPr fontId="4"/>
  </si>
  <si>
    <t>＊ シミュレーションや計算結果からの数値を記載</t>
    <rPh sb="11" eb="13">
      <t>ケイサン</t>
    </rPh>
    <rPh sb="13" eb="15">
      <t>ケッカ</t>
    </rPh>
    <rPh sb="18" eb="20">
      <t>スウチ</t>
    </rPh>
    <rPh sb="21" eb="23">
      <t>キサイ</t>
    </rPh>
    <phoneticPr fontId="3"/>
  </si>
  <si>
    <t>概要</t>
    <rPh sb="0" eb="2">
      <t>ガイヨウ</t>
    </rPh>
    <phoneticPr fontId="3"/>
  </si>
  <si>
    <t>（２）出力判定での警告</t>
    <rPh sb="3" eb="5">
      <t>シュツリョク</t>
    </rPh>
    <rPh sb="5" eb="7">
      <t>ハンテイ</t>
    </rPh>
    <rPh sb="9" eb="11">
      <t>ケイコク</t>
    </rPh>
    <phoneticPr fontId="3"/>
  </si>
  <si>
    <t>（１）記入上の注意点</t>
    <rPh sb="3" eb="5">
      <t>キニュウ</t>
    </rPh>
    <rPh sb="5" eb="6">
      <t>ジョウ</t>
    </rPh>
    <rPh sb="7" eb="10">
      <t>チュウイテン</t>
    </rPh>
    <phoneticPr fontId="3"/>
  </si>
  <si>
    <t xml:space="preserve"> 複数でグループ運転している場合はそれぞれの（推定）比率を記入する。</t>
    <rPh sb="1" eb="3">
      <t>フクスウ</t>
    </rPh>
    <rPh sb="8" eb="10">
      <t>ウンテン</t>
    </rPh>
    <rPh sb="14" eb="16">
      <t>バアイ</t>
    </rPh>
    <rPh sb="23" eb="25">
      <t>スイテイ</t>
    </rPh>
    <rPh sb="26" eb="28">
      <t>ヒリツ</t>
    </rPh>
    <rPh sb="29" eb="31">
      <t>キニュウ</t>
    </rPh>
    <phoneticPr fontId="3"/>
  </si>
  <si>
    <t>・更新前の冷暖房の定格能力値、消費電力値を銘板や取説の仕様から記入する。</t>
    <rPh sb="1" eb="3">
      <t>コウシン</t>
    </rPh>
    <rPh sb="3" eb="4">
      <t>マエ</t>
    </rPh>
    <rPh sb="5" eb="8">
      <t>レイダンボウ</t>
    </rPh>
    <rPh sb="9" eb="11">
      <t>テイカク</t>
    </rPh>
    <rPh sb="11" eb="13">
      <t>ノウリョク</t>
    </rPh>
    <rPh sb="13" eb="14">
      <t>チ</t>
    </rPh>
    <rPh sb="15" eb="17">
      <t>ショウヒ</t>
    </rPh>
    <rPh sb="17" eb="19">
      <t>デンリョク</t>
    </rPh>
    <rPh sb="19" eb="20">
      <t>チ</t>
    </rPh>
    <rPh sb="21" eb="23">
      <t>メイバン</t>
    </rPh>
    <rPh sb="24" eb="26">
      <t>トリセツ</t>
    </rPh>
    <rPh sb="27" eb="29">
      <t>シヨウ</t>
    </rPh>
    <rPh sb="31" eb="33">
      <t>キニュウ</t>
    </rPh>
    <phoneticPr fontId="3"/>
  </si>
  <si>
    <t>　インバータ制御方式の場合はインバータを選択する。</t>
    <rPh sb="6" eb="8">
      <t>セイギョ</t>
    </rPh>
    <rPh sb="8" eb="10">
      <t>ホウシキ</t>
    </rPh>
    <rPh sb="11" eb="13">
      <t>バアイ</t>
    </rPh>
    <rPh sb="20" eb="22">
      <t>センタク</t>
    </rPh>
    <phoneticPr fontId="3"/>
  </si>
  <si>
    <t>・1日当たりの平均使用時間を記入する。</t>
    <rPh sb="2" eb="3">
      <t>ニチ</t>
    </rPh>
    <rPh sb="3" eb="4">
      <t>ア</t>
    </rPh>
    <rPh sb="7" eb="9">
      <t>ヘイキン</t>
    </rPh>
    <rPh sb="9" eb="11">
      <t>シヨウ</t>
    </rPh>
    <rPh sb="11" eb="13">
      <t>ジカン</t>
    </rPh>
    <rPh sb="14" eb="16">
      <t>キニュウ</t>
    </rPh>
    <phoneticPr fontId="3"/>
  </si>
  <si>
    <t>・更新機の定格出力値を記入、制御方式を選択する。</t>
    <rPh sb="1" eb="3">
      <t>コウシン</t>
    </rPh>
    <rPh sb="3" eb="4">
      <t>キ</t>
    </rPh>
    <rPh sb="5" eb="7">
      <t>テイカク</t>
    </rPh>
    <rPh sb="7" eb="9">
      <t>シュツリョク</t>
    </rPh>
    <rPh sb="9" eb="10">
      <t>チ</t>
    </rPh>
    <rPh sb="11" eb="13">
      <t>キニュウ</t>
    </rPh>
    <rPh sb="14" eb="16">
      <t>セイギョ</t>
    </rPh>
    <rPh sb="16" eb="18">
      <t>ホウシキ</t>
    </rPh>
    <rPh sb="19" eb="21">
      <t>センタク</t>
    </rPh>
    <phoneticPr fontId="3"/>
  </si>
  <si>
    <t>・ここでの負荷率は対象コンプレッサーのエアー吐出能力に対するエアー消費比率とする。</t>
    <rPh sb="5" eb="7">
      <t>フカ</t>
    </rPh>
    <rPh sb="7" eb="8">
      <t>リツ</t>
    </rPh>
    <rPh sb="9" eb="11">
      <t>タイショウ</t>
    </rPh>
    <rPh sb="22" eb="24">
      <t>トシュツ</t>
    </rPh>
    <rPh sb="24" eb="26">
      <t>ノウリョク</t>
    </rPh>
    <rPh sb="27" eb="28">
      <t>タイ</t>
    </rPh>
    <rPh sb="33" eb="35">
      <t>ショウヒ</t>
    </rPh>
    <rPh sb="35" eb="37">
      <t>ヒリツ</t>
    </rPh>
    <phoneticPr fontId="3"/>
  </si>
  <si>
    <r>
      <t>・各シートで白色の枠内に記入する。。</t>
    </r>
    <r>
      <rPr>
        <sz val="11"/>
        <color rgb="FF00B0F0"/>
        <rFont val="ＭＳ Ｐゴシック"/>
        <family val="3"/>
        <charset val="128"/>
      </rPr>
      <t>水色</t>
    </r>
    <r>
      <rPr>
        <sz val="11"/>
        <color theme="1"/>
        <rFont val="ＭＳ Ｐゴシック"/>
        <family val="2"/>
        <charset val="128"/>
      </rPr>
      <t>欄は任意記載。その他色のついた欄は記載不要、記入不可である。</t>
    </r>
    <rPh sb="1" eb="2">
      <t>カク</t>
    </rPh>
    <rPh sb="12" eb="14">
      <t>キニュウ</t>
    </rPh>
    <rPh sb="42" eb="44">
      <t>キニュウ</t>
    </rPh>
    <rPh sb="44" eb="46">
      <t>フカ</t>
    </rPh>
    <phoneticPr fontId="3"/>
  </si>
  <si>
    <t>　更新前・後での削減効果は一部のシートを除いて、規定の標準テーブルで計算される。</t>
    <rPh sb="1" eb="3">
      <t>コウシン</t>
    </rPh>
    <rPh sb="3" eb="4">
      <t>ゼン</t>
    </rPh>
    <rPh sb="5" eb="6">
      <t>アト</t>
    </rPh>
    <rPh sb="8" eb="10">
      <t>サクゲン</t>
    </rPh>
    <rPh sb="10" eb="12">
      <t>コウカ</t>
    </rPh>
    <rPh sb="13" eb="15">
      <t>イチブ</t>
    </rPh>
    <rPh sb="20" eb="21">
      <t>ノゾ</t>
    </rPh>
    <rPh sb="24" eb="26">
      <t>キテイ</t>
    </rPh>
    <rPh sb="27" eb="29">
      <t>ヒョウジュン</t>
    </rPh>
    <rPh sb="34" eb="36">
      <t>ケイサン</t>
    </rPh>
    <phoneticPr fontId="3"/>
  </si>
  <si>
    <t>・ここでの計算では経時劣化は考慮されない。</t>
    <phoneticPr fontId="3"/>
  </si>
  <si>
    <t>1日当たり稼働時間</t>
    <rPh sb="1" eb="2">
      <t>ニチ</t>
    </rPh>
    <rPh sb="2" eb="3">
      <t>ア</t>
    </rPh>
    <rPh sb="5" eb="7">
      <t>カドウ</t>
    </rPh>
    <rPh sb="7" eb="9">
      <t>ジカン</t>
    </rPh>
    <phoneticPr fontId="3"/>
  </si>
  <si>
    <t>h/日</t>
    <rPh sb="2" eb="3">
      <t>ヒ</t>
    </rPh>
    <phoneticPr fontId="3"/>
  </si>
  <si>
    <t>日/年</t>
    <rPh sb="0" eb="1">
      <t>ヒ</t>
    </rPh>
    <rPh sb="2" eb="3">
      <t>ネン</t>
    </rPh>
    <phoneticPr fontId="3"/>
  </si>
  <si>
    <t>年間操業日数</t>
    <rPh sb="0" eb="1">
      <t>ネン</t>
    </rPh>
    <rPh sb="1" eb="2">
      <t>カン</t>
    </rPh>
    <rPh sb="2" eb="4">
      <t>ソウギョウ</t>
    </rPh>
    <rPh sb="4" eb="6">
      <t>ニッスウ</t>
    </rPh>
    <phoneticPr fontId="3"/>
  </si>
  <si>
    <t>年間稼働日</t>
    <rPh sb="0" eb="1">
      <t>ネン</t>
    </rPh>
    <rPh sb="1" eb="2">
      <t>カン</t>
    </rPh>
    <rPh sb="2" eb="5">
      <t>カドウビ</t>
    </rPh>
    <phoneticPr fontId="3"/>
  </si>
  <si>
    <t>仕様書、カタログ等から制御方式を選択。不明な場合は”ロード・アンロード”を選択する。</t>
    <rPh sb="0" eb="3">
      <t>シヨウショ</t>
    </rPh>
    <rPh sb="8" eb="9">
      <t>トウ</t>
    </rPh>
    <rPh sb="11" eb="13">
      <t>セイギョ</t>
    </rPh>
    <rPh sb="13" eb="15">
      <t>ホウシキ</t>
    </rPh>
    <rPh sb="16" eb="18">
      <t>センタク</t>
    </rPh>
    <rPh sb="19" eb="21">
      <t>フメイ</t>
    </rPh>
    <rPh sb="22" eb="24">
      <t>バアイ</t>
    </rPh>
    <rPh sb="37" eb="39">
      <t>センタク</t>
    </rPh>
    <phoneticPr fontId="3"/>
  </si>
  <si>
    <t>・削減効果の燃料削減量は燃転した場合や、複数での使用燃料が異なる場合は、数値や</t>
    <rPh sb="1" eb="3">
      <t>サクゲン</t>
    </rPh>
    <rPh sb="3" eb="5">
      <t>コウカ</t>
    </rPh>
    <rPh sb="6" eb="8">
      <t>ネンリョウ</t>
    </rPh>
    <rPh sb="8" eb="10">
      <t>サクゲン</t>
    </rPh>
    <rPh sb="10" eb="11">
      <t>リョウ</t>
    </rPh>
    <rPh sb="12" eb="13">
      <t>ネン</t>
    </rPh>
    <rPh sb="13" eb="14">
      <t>テン</t>
    </rPh>
    <rPh sb="16" eb="18">
      <t>バアイ</t>
    </rPh>
    <rPh sb="20" eb="22">
      <t>フクスウ</t>
    </rPh>
    <rPh sb="24" eb="26">
      <t>シヨウ</t>
    </rPh>
    <rPh sb="26" eb="28">
      <t>ネンリョウ</t>
    </rPh>
    <rPh sb="29" eb="30">
      <t>コト</t>
    </rPh>
    <rPh sb="32" eb="34">
      <t>バアイ</t>
    </rPh>
    <rPh sb="36" eb="38">
      <t>スウチ</t>
    </rPh>
    <phoneticPr fontId="3"/>
  </si>
  <si>
    <t>　単位が正しく表示されない。</t>
    <rPh sb="1" eb="3">
      <t>タンイ</t>
    </rPh>
    <rPh sb="4" eb="5">
      <t>タダ</t>
    </rPh>
    <rPh sb="7" eb="9">
      <t>ヒョウジ</t>
    </rPh>
    <phoneticPr fontId="3"/>
  </si>
  <si>
    <t>統合する場合は更新前の対象機を識別するため、欄を空ける。</t>
    <rPh sb="0" eb="2">
      <t>トウゴウ</t>
    </rPh>
    <rPh sb="4" eb="6">
      <t>バアイ</t>
    </rPh>
    <rPh sb="7" eb="9">
      <t>コウシン</t>
    </rPh>
    <rPh sb="9" eb="10">
      <t>マエ</t>
    </rPh>
    <rPh sb="11" eb="13">
      <t>タイショウ</t>
    </rPh>
    <rPh sb="13" eb="14">
      <t>キ</t>
    </rPh>
    <rPh sb="15" eb="17">
      <t>シキベツ</t>
    </rPh>
    <rPh sb="22" eb="23">
      <t>ラン</t>
    </rPh>
    <rPh sb="24" eb="25">
      <t>ア</t>
    </rPh>
    <phoneticPr fontId="3"/>
  </si>
  <si>
    <t>・対象機器の銘板等に記載されているモーター規格を選択する。更新前の規格がわからない</t>
    <rPh sb="1" eb="3">
      <t>タイショウ</t>
    </rPh>
    <rPh sb="3" eb="5">
      <t>キキ</t>
    </rPh>
    <rPh sb="6" eb="8">
      <t>メイバン</t>
    </rPh>
    <rPh sb="8" eb="9">
      <t>トウ</t>
    </rPh>
    <rPh sb="10" eb="12">
      <t>キサイ</t>
    </rPh>
    <rPh sb="21" eb="23">
      <t>キカク</t>
    </rPh>
    <rPh sb="24" eb="26">
      <t>センタク</t>
    </rPh>
    <rPh sb="29" eb="31">
      <t>コウシン</t>
    </rPh>
    <rPh sb="31" eb="32">
      <t>マエ</t>
    </rPh>
    <rPh sb="33" eb="35">
      <t>キカク</t>
    </rPh>
    <phoneticPr fontId="3"/>
  </si>
  <si>
    <t>　場合はIE1を選択する。更新後の機種は必ず調査し、該当の規格を選択すること。</t>
    <rPh sb="13" eb="15">
      <t>コウシン</t>
    </rPh>
    <rPh sb="15" eb="16">
      <t>ゴ</t>
    </rPh>
    <rPh sb="17" eb="19">
      <t>キシュ</t>
    </rPh>
    <rPh sb="20" eb="21">
      <t>カナラ</t>
    </rPh>
    <rPh sb="22" eb="24">
      <t>チョウサ</t>
    </rPh>
    <rPh sb="26" eb="28">
      <t>ガイトウ</t>
    </rPh>
    <rPh sb="29" eb="31">
      <t>キカク</t>
    </rPh>
    <rPh sb="32" eb="34">
      <t>センタク</t>
    </rPh>
    <phoneticPr fontId="3"/>
  </si>
  <si>
    <t>馬力</t>
    <rPh sb="0" eb="2">
      <t>バリキ</t>
    </rPh>
    <phoneticPr fontId="3"/>
  </si>
  <si>
    <t>・自家消費率（65%以下）やCO₂削減率(5%以下）が一定の指標より少ない場合等で警告が</t>
    <rPh sb="1" eb="3">
      <t>ジカ</t>
    </rPh>
    <rPh sb="3" eb="5">
      <t>ショウヒ</t>
    </rPh>
    <rPh sb="5" eb="6">
      <t>リツ</t>
    </rPh>
    <rPh sb="10" eb="12">
      <t>イカ</t>
    </rPh>
    <rPh sb="17" eb="19">
      <t>サクゲン</t>
    </rPh>
    <rPh sb="19" eb="20">
      <t>リツ</t>
    </rPh>
    <rPh sb="23" eb="25">
      <t>イカ</t>
    </rPh>
    <rPh sb="27" eb="29">
      <t>イッテイ</t>
    </rPh>
    <rPh sb="30" eb="32">
      <t>シヒョウ</t>
    </rPh>
    <rPh sb="34" eb="35">
      <t>スク</t>
    </rPh>
    <rPh sb="37" eb="39">
      <t>バアイ</t>
    </rPh>
    <rPh sb="39" eb="40">
      <t>トウ</t>
    </rPh>
    <rPh sb="41" eb="43">
      <t>ケイコク</t>
    </rPh>
    <phoneticPr fontId="3"/>
  </si>
  <si>
    <t xml:space="preserve">  表示される。 ３．効果判定に警告が表示された場合は、記入数値を確認し、変更無ければ、</t>
    <rPh sb="2" eb="4">
      <t>ヒョウジ</t>
    </rPh>
    <rPh sb="11" eb="13">
      <t>コウカ</t>
    </rPh>
    <rPh sb="13" eb="15">
      <t>ハンテイ</t>
    </rPh>
    <rPh sb="16" eb="18">
      <t>ケイコク</t>
    </rPh>
    <rPh sb="19" eb="21">
      <t>ヒョウジ</t>
    </rPh>
    <rPh sb="24" eb="26">
      <t>バアイ</t>
    </rPh>
    <rPh sb="28" eb="30">
      <t>キニュウ</t>
    </rPh>
    <rPh sb="30" eb="32">
      <t>スウチ</t>
    </rPh>
    <rPh sb="33" eb="35">
      <t>カクニン</t>
    </rPh>
    <rPh sb="37" eb="39">
      <t>ヘンコウ</t>
    </rPh>
    <rPh sb="39" eb="40">
      <t>ナ</t>
    </rPh>
    <phoneticPr fontId="3"/>
  </si>
  <si>
    <t>・制御方式は仕様書やカタログ等から対象のものを選択する。</t>
    <rPh sb="1" eb="3">
      <t>セイギョ</t>
    </rPh>
    <rPh sb="3" eb="5">
      <t>ホウシキ</t>
    </rPh>
    <rPh sb="6" eb="8">
      <t>シヨウ</t>
    </rPh>
    <rPh sb="8" eb="9">
      <t>ショ</t>
    </rPh>
    <rPh sb="14" eb="15">
      <t>トウ</t>
    </rPh>
    <rPh sb="17" eb="19">
      <t>タイショウ</t>
    </rPh>
    <rPh sb="23" eb="25">
      <t>センタク</t>
    </rPh>
    <phoneticPr fontId="3"/>
  </si>
  <si>
    <t>・更新前より出力（合計）が超過すると、警告が表示される。</t>
    <rPh sb="1" eb="3">
      <t>コウシン</t>
    </rPh>
    <rPh sb="3" eb="4">
      <t>マエ</t>
    </rPh>
    <rPh sb="6" eb="8">
      <t>シュツリョク</t>
    </rPh>
    <rPh sb="9" eb="11">
      <t>ゴウケイ</t>
    </rPh>
    <rPh sb="13" eb="15">
      <t>チョウカ</t>
    </rPh>
    <rPh sb="19" eb="21">
      <t>ケイコク</t>
    </rPh>
    <rPh sb="22" eb="24">
      <t>ヒョウジ</t>
    </rPh>
    <phoneticPr fontId="3"/>
  </si>
  <si>
    <t>c年間操業日数</t>
    <rPh sb="1" eb="2">
      <t>ネン</t>
    </rPh>
    <rPh sb="2" eb="3">
      <t>カン</t>
    </rPh>
    <rPh sb="3" eb="5">
      <t>ソウギョウ</t>
    </rPh>
    <rPh sb="5" eb="7">
      <t>ニッスウ</t>
    </rPh>
    <phoneticPr fontId="3"/>
  </si>
  <si>
    <t>d1日当たり稼働時間</t>
    <rPh sb="2" eb="3">
      <t>ニチ</t>
    </rPh>
    <rPh sb="3" eb="4">
      <t>ア</t>
    </rPh>
    <rPh sb="6" eb="8">
      <t>カドウ</t>
    </rPh>
    <rPh sb="8" eb="10">
      <t>ジカン</t>
    </rPh>
    <phoneticPr fontId="3"/>
  </si>
  <si>
    <t>e負荷率</t>
    <rPh sb="1" eb="3">
      <t>フカ</t>
    </rPh>
    <rPh sb="3" eb="4">
      <t>リツ</t>
    </rPh>
    <phoneticPr fontId="3"/>
  </si>
  <si>
    <t>主要エネルギー削減
量（①ｰ④）</t>
    <rPh sb="0" eb="2">
      <t>シュヨウ</t>
    </rPh>
    <rPh sb="7" eb="9">
      <t>サクゲン</t>
    </rPh>
    <rPh sb="10" eb="11">
      <t>リョウ</t>
    </rPh>
    <phoneticPr fontId="4"/>
  </si>
  <si>
    <t>主要エネルギー消費量（実績）
例：g×a×c×ｄ×e①</t>
    <rPh sb="0" eb="2">
      <t>シュヨウ</t>
    </rPh>
    <rPh sb="7" eb="9">
      <t>ショウヒ</t>
    </rPh>
    <rPh sb="9" eb="10">
      <t>リョウ</t>
    </rPh>
    <rPh sb="11" eb="13">
      <t>ジッセキ</t>
    </rPh>
    <phoneticPr fontId="4"/>
  </si>
  <si>
    <t>g×b×c×d
補助電力消費量②</t>
    <rPh sb="8" eb="10">
      <t>ホジョ</t>
    </rPh>
    <rPh sb="10" eb="12">
      <t>デンリョク</t>
    </rPh>
    <rPh sb="12" eb="14">
      <t>ショウヒ</t>
    </rPh>
    <rPh sb="14" eb="15">
      <t>リョウ</t>
    </rPh>
    <phoneticPr fontId="4"/>
  </si>
  <si>
    <t>h×p×c×d×e  補助電力消費量⑤</t>
    <rPh sb="11" eb="13">
      <t>ホジョ</t>
    </rPh>
    <rPh sb="13" eb="15">
      <t>デンリョク</t>
    </rPh>
    <rPh sb="15" eb="17">
      <t>ショウヒ</t>
    </rPh>
    <rPh sb="17" eb="18">
      <t>リョウ</t>
    </rPh>
    <phoneticPr fontId="4"/>
  </si>
  <si>
    <t>補助力削減量（②－⑤）</t>
    <rPh sb="0" eb="2">
      <t>ホジョ</t>
    </rPh>
    <rPh sb="2" eb="3">
      <t>リョク</t>
    </rPh>
    <rPh sb="3" eb="5">
      <t>サクゲン</t>
    </rPh>
    <rPh sb="5" eb="6">
      <t>リョウ</t>
    </rPh>
    <phoneticPr fontId="3"/>
  </si>
  <si>
    <t>CO2削減量
（③-⑥）</t>
    <rPh sb="3" eb="6">
      <t>サクゲンリョウ</t>
    </rPh>
    <phoneticPr fontId="4"/>
  </si>
  <si>
    <t>％</t>
    <phoneticPr fontId="3"/>
  </si>
  <si>
    <t>主要エネルギー消費量例：h×o×c×ｄ×e×（1-n)④</t>
    <rPh sb="0" eb="2">
      <t>シュヨウ</t>
    </rPh>
    <rPh sb="7" eb="9">
      <t>ショウヒ</t>
    </rPh>
    <rPh sb="9" eb="10">
      <t>リョウ</t>
    </rPh>
    <phoneticPr fontId="4"/>
  </si>
  <si>
    <t>*ｎ 低減率</t>
    <rPh sb="3" eb="5">
      <t>テイゲン</t>
    </rPh>
    <rPh sb="5" eb="6">
      <t>リツ</t>
    </rPh>
    <phoneticPr fontId="3"/>
  </si>
  <si>
    <t>・GHPの場合はガス消費量（kW）と定格消費電力(kW)も記入する。</t>
    <rPh sb="5" eb="7">
      <t>バアイ</t>
    </rPh>
    <rPh sb="10" eb="13">
      <t>ショウヒリョウ</t>
    </rPh>
    <rPh sb="18" eb="20">
      <t>テイカク</t>
    </rPh>
    <rPh sb="20" eb="22">
      <t>ショウヒ</t>
    </rPh>
    <rPh sb="22" eb="24">
      <t>デンリョク</t>
    </rPh>
    <rPh sb="29" eb="31">
      <t>キニュウ</t>
    </rPh>
    <phoneticPr fontId="3"/>
  </si>
  <si>
    <t>・この表はエネルギーが自動計算ではないので、結果の計算方法がわかる書類等を提示する。</t>
    <rPh sb="3" eb="4">
      <t>ヒョウ</t>
    </rPh>
    <rPh sb="11" eb="13">
      <t>ジドウ</t>
    </rPh>
    <rPh sb="13" eb="15">
      <t>ケイサン</t>
    </rPh>
    <rPh sb="22" eb="24">
      <t>ケッカ</t>
    </rPh>
    <rPh sb="25" eb="27">
      <t>ケイサン</t>
    </rPh>
    <rPh sb="27" eb="29">
      <t>ホウホウ</t>
    </rPh>
    <rPh sb="33" eb="35">
      <t>ショルイ</t>
    </rPh>
    <rPh sb="35" eb="36">
      <t>トウ</t>
    </rPh>
    <rPh sb="37" eb="39">
      <t>テイジ</t>
    </rPh>
    <phoneticPr fontId="3"/>
  </si>
  <si>
    <t>・エネルギー種類を選択するシートでは、選択したエネルギー種類固有の係数値による計算結果が得られる。</t>
    <rPh sb="6" eb="8">
      <t>シュルイ</t>
    </rPh>
    <rPh sb="9" eb="11">
      <t>センタク</t>
    </rPh>
    <rPh sb="19" eb="21">
      <t>センタク</t>
    </rPh>
    <rPh sb="28" eb="30">
      <t>シュルイ</t>
    </rPh>
    <rPh sb="30" eb="32">
      <t>コユウ</t>
    </rPh>
    <rPh sb="33" eb="35">
      <t>ケイスウ</t>
    </rPh>
    <rPh sb="35" eb="36">
      <t>チ</t>
    </rPh>
    <rPh sb="39" eb="41">
      <t>ケイサン</t>
    </rPh>
    <rPh sb="41" eb="43">
      <t>ケッカ</t>
    </rPh>
    <rPh sb="44" eb="45">
      <t>エ</t>
    </rPh>
    <phoneticPr fontId="3"/>
  </si>
  <si>
    <t>・ここでは経時劣化の影響は計算結果には加味していない。負荷率と制御方式に基づき</t>
    <rPh sb="5" eb="7">
      <t>ケイジ</t>
    </rPh>
    <rPh sb="7" eb="9">
      <t>レッカ</t>
    </rPh>
    <rPh sb="10" eb="12">
      <t>エイキョウ</t>
    </rPh>
    <rPh sb="13" eb="15">
      <t>ケイサン</t>
    </rPh>
    <rPh sb="15" eb="17">
      <t>ケッカ</t>
    </rPh>
    <rPh sb="19" eb="21">
      <t>カミ</t>
    </rPh>
    <rPh sb="27" eb="29">
      <t>フカ</t>
    </rPh>
    <rPh sb="29" eb="30">
      <t>リツ</t>
    </rPh>
    <rPh sb="31" eb="33">
      <t>セイギョ</t>
    </rPh>
    <rPh sb="33" eb="35">
      <t>ホウシキ</t>
    </rPh>
    <rPh sb="36" eb="37">
      <t>モト</t>
    </rPh>
    <phoneticPr fontId="3"/>
  </si>
  <si>
    <t>W</t>
    <phoneticPr fontId="3"/>
  </si>
  <si>
    <t>＊エネルギー消費効率</t>
    <rPh sb="6" eb="8">
      <t>ショウヒ</t>
    </rPh>
    <rPh sb="8" eb="10">
      <t>コウリツ</t>
    </rPh>
    <phoneticPr fontId="3"/>
  </si>
  <si>
    <t>各エネルギーの排出係数</t>
    <rPh sb="0" eb="1">
      <t>カク</t>
    </rPh>
    <rPh sb="7" eb="11">
      <t>ハイシュツケイスウ</t>
    </rPh>
    <phoneticPr fontId="15"/>
  </si>
  <si>
    <t>高位発熱量</t>
    <rPh sb="0" eb="2">
      <t>コウイ</t>
    </rPh>
    <phoneticPr fontId="4"/>
  </si>
  <si>
    <t>低位発熱量</t>
    <rPh sb="0" eb="2">
      <t>テイイ</t>
    </rPh>
    <rPh sb="2" eb="4">
      <t>ハツネツ</t>
    </rPh>
    <rPh sb="4" eb="5">
      <t>リョウ</t>
    </rPh>
    <phoneticPr fontId="3"/>
  </si>
  <si>
    <t>N㎥</t>
  </si>
  <si>
    <t>N㎥</t>
    <phoneticPr fontId="4"/>
  </si>
  <si>
    <t>都市ガス</t>
    <rPh sb="0" eb="2">
      <t>トシ</t>
    </rPh>
    <phoneticPr fontId="15"/>
  </si>
  <si>
    <t>　消費量は例示の計算式、もしくはメーカー提示の標準年間エネルギー消費量を記入して</t>
    <rPh sb="1" eb="4">
      <t>ショウヒリョウ</t>
    </rPh>
    <rPh sb="5" eb="7">
      <t>レイジ</t>
    </rPh>
    <rPh sb="8" eb="11">
      <t>ケイサンシキ</t>
    </rPh>
    <rPh sb="20" eb="22">
      <t>テイジ</t>
    </rPh>
    <rPh sb="23" eb="25">
      <t>ヒョウジュン</t>
    </rPh>
    <rPh sb="25" eb="27">
      <t>ネンカン</t>
    </rPh>
    <rPh sb="32" eb="35">
      <t>ショウヒリョウ</t>
    </rPh>
    <rPh sb="36" eb="38">
      <t>キニュウ</t>
    </rPh>
    <phoneticPr fontId="3"/>
  </si>
  <si>
    <t>　業者シミュレーションや計算からの数値を記入し、</t>
    <rPh sb="1" eb="3">
      <t>ギョウシャ</t>
    </rPh>
    <rPh sb="12" eb="14">
      <t>ケイサン</t>
    </rPh>
    <rPh sb="17" eb="19">
      <t>スウチ</t>
    </rPh>
    <rPh sb="20" eb="22">
      <t>キニュウ</t>
    </rPh>
    <phoneticPr fontId="3"/>
  </si>
  <si>
    <t>　根拠資料を提示する。</t>
    <rPh sb="1" eb="3">
      <t>コンキョ</t>
    </rPh>
    <rPh sb="3" eb="5">
      <t>シリョウ</t>
    </rPh>
    <rPh sb="6" eb="8">
      <t>テイジ</t>
    </rPh>
    <phoneticPr fontId="3"/>
  </si>
  <si>
    <t>右表リストに無い燃料の場合は下例にように表に</t>
    <rPh sb="0" eb="1">
      <t>ミギ</t>
    </rPh>
    <rPh sb="1" eb="2">
      <t>ヒョウ</t>
    </rPh>
    <rPh sb="6" eb="7">
      <t>ナ</t>
    </rPh>
    <rPh sb="8" eb="10">
      <t>ネンリョウ</t>
    </rPh>
    <rPh sb="11" eb="13">
      <t>バアイ</t>
    </rPh>
    <rPh sb="14" eb="15">
      <t>シタ</t>
    </rPh>
    <rPh sb="15" eb="16">
      <t>レイ</t>
    </rPh>
    <rPh sb="20" eb="21">
      <t>ヒョウ</t>
    </rPh>
    <phoneticPr fontId="3"/>
  </si>
  <si>
    <t>対象の燃料種別を選択し、種類を記入する。</t>
    <rPh sb="0" eb="2">
      <t>タイショウ</t>
    </rPh>
    <rPh sb="8" eb="10">
      <t>センタク</t>
    </rPh>
    <rPh sb="12" eb="14">
      <t>シュルイ</t>
    </rPh>
    <rPh sb="15" eb="17">
      <t>キニュウ</t>
    </rPh>
    <phoneticPr fontId="3"/>
  </si>
  <si>
    <t>対象設備が潜熱回収型である場合に、”有”を選択する。（･･･発熱量計算値に影響する。）</t>
    <rPh sb="0" eb="2">
      <t>タイショウ</t>
    </rPh>
    <rPh sb="2" eb="4">
      <t>セツビ</t>
    </rPh>
    <rPh sb="5" eb="7">
      <t>センネツ</t>
    </rPh>
    <rPh sb="7" eb="10">
      <t>カイシュウガタ</t>
    </rPh>
    <rPh sb="13" eb="15">
      <t>バアイ</t>
    </rPh>
    <rPh sb="18" eb="19">
      <t>アリ</t>
    </rPh>
    <rPh sb="21" eb="23">
      <t>センタク</t>
    </rPh>
    <rPh sb="30" eb="32">
      <t>ハツネツ</t>
    </rPh>
    <rPh sb="32" eb="33">
      <t>リョウ</t>
    </rPh>
    <rPh sb="33" eb="35">
      <t>ケイサン</t>
    </rPh>
    <rPh sb="35" eb="36">
      <t>チ</t>
    </rPh>
    <rPh sb="37" eb="39">
      <t>エイキョウ</t>
    </rPh>
    <phoneticPr fontId="3"/>
  </si>
  <si>
    <t>＊</t>
    <phoneticPr fontId="3"/>
  </si>
  <si>
    <t>・更新後の設備の定格能力や設備容量が、更新前の機種より</t>
    <rPh sb="1" eb="3">
      <t>コウシン</t>
    </rPh>
    <rPh sb="3" eb="4">
      <t>ゴ</t>
    </rPh>
    <rPh sb="5" eb="7">
      <t>セツビ</t>
    </rPh>
    <rPh sb="8" eb="10">
      <t>テイカク</t>
    </rPh>
    <rPh sb="10" eb="12">
      <t>ノウリョク</t>
    </rPh>
    <rPh sb="13" eb="15">
      <t>セツビ</t>
    </rPh>
    <rPh sb="15" eb="17">
      <t>ヨウリョウ</t>
    </rPh>
    <rPh sb="19" eb="21">
      <t>コウシン</t>
    </rPh>
    <rPh sb="21" eb="22">
      <t>マエ</t>
    </rPh>
    <rPh sb="23" eb="25">
      <t>キシュ</t>
    </rPh>
    <phoneticPr fontId="3"/>
  </si>
  <si>
    <t>　ならない。</t>
    <phoneticPr fontId="3"/>
  </si>
  <si>
    <t>　しかし、メーカー型式変更などの合理的な事由等がある場合は</t>
    <rPh sb="9" eb="11">
      <t>カタシキ</t>
    </rPh>
    <rPh sb="11" eb="13">
      <t>ヘンコウ</t>
    </rPh>
    <rPh sb="16" eb="19">
      <t>ゴウリテキ</t>
    </rPh>
    <rPh sb="20" eb="22">
      <t>ジユウ</t>
    </rPh>
    <rPh sb="22" eb="23">
      <t>トウ</t>
    </rPh>
    <rPh sb="26" eb="28">
      <t>バアイ</t>
    </rPh>
    <phoneticPr fontId="3"/>
  </si>
  <si>
    <t>・原則、更新後の設備が更新前の能力を超過する場合は対象と</t>
    <rPh sb="1" eb="3">
      <t>ゲンソク</t>
    </rPh>
    <rPh sb="4" eb="6">
      <t>コウシン</t>
    </rPh>
    <rPh sb="6" eb="7">
      <t>ゴ</t>
    </rPh>
    <rPh sb="8" eb="10">
      <t>セツビ</t>
    </rPh>
    <rPh sb="11" eb="13">
      <t>コウシン</t>
    </rPh>
    <rPh sb="13" eb="14">
      <t>マエ</t>
    </rPh>
    <rPh sb="15" eb="17">
      <t>ノウリョク</t>
    </rPh>
    <rPh sb="18" eb="20">
      <t>チョウカ</t>
    </rPh>
    <rPh sb="22" eb="24">
      <t>バアイ</t>
    </rPh>
    <rPh sb="25" eb="27">
      <t>タイショウ</t>
    </rPh>
    <phoneticPr fontId="3"/>
  </si>
  <si>
    <t>消費電力比③</t>
    <rPh sb="0" eb="2">
      <t>ショウヒ</t>
    </rPh>
    <rPh sb="2" eb="4">
      <t>デンリョク</t>
    </rPh>
    <rPh sb="4" eb="5">
      <t>ヒ</t>
    </rPh>
    <phoneticPr fontId="3"/>
  </si>
  <si>
    <t>消費電力比⑦</t>
    <rPh sb="0" eb="2">
      <t>ショウヒ</t>
    </rPh>
    <rPh sb="2" eb="4">
      <t>デンリョク</t>
    </rPh>
    <rPh sb="4" eb="5">
      <t>ヒ</t>
    </rPh>
    <phoneticPr fontId="3"/>
  </si>
  <si>
    <t>計算方法：</t>
    <rPh sb="0" eb="2">
      <t>ケイサン</t>
    </rPh>
    <rPh sb="2" eb="4">
      <t>ホウホウ</t>
    </rPh>
    <phoneticPr fontId="4"/>
  </si>
  <si>
    <t>*標準負荷率は埼玉県での外気温における事務所・店舗での空調平均負荷率（東京・前橋</t>
    <rPh sb="1" eb="3">
      <t>ヒョウジュン</t>
    </rPh>
    <rPh sb="3" eb="5">
      <t>フカ</t>
    </rPh>
    <rPh sb="5" eb="6">
      <t>リツ</t>
    </rPh>
    <rPh sb="7" eb="10">
      <t>サイタマケン</t>
    </rPh>
    <rPh sb="12" eb="15">
      <t>ガイキオン</t>
    </rPh>
    <rPh sb="19" eb="21">
      <t>ジム</t>
    </rPh>
    <rPh sb="21" eb="22">
      <t>ショ</t>
    </rPh>
    <rPh sb="23" eb="25">
      <t>テンポ</t>
    </rPh>
    <rPh sb="27" eb="29">
      <t>クウチョウ</t>
    </rPh>
    <rPh sb="29" eb="31">
      <t>ヘイキン</t>
    </rPh>
    <rPh sb="31" eb="33">
      <t>フカ</t>
    </rPh>
    <rPh sb="33" eb="34">
      <t>リツ</t>
    </rPh>
    <rPh sb="35" eb="37">
      <t>トウキョウ</t>
    </rPh>
    <rPh sb="38" eb="40">
      <t>マエバシ</t>
    </rPh>
    <phoneticPr fontId="3"/>
  </si>
  <si>
    <t>・更新後の設備は更新前の同じ負荷率で年式を考慮したテーブルで計算される。</t>
    <rPh sb="1" eb="3">
      <t>コウシン</t>
    </rPh>
    <rPh sb="3" eb="4">
      <t>ゴ</t>
    </rPh>
    <rPh sb="5" eb="7">
      <t>セツビ</t>
    </rPh>
    <rPh sb="8" eb="10">
      <t>コウシン</t>
    </rPh>
    <rPh sb="10" eb="11">
      <t>マエ</t>
    </rPh>
    <rPh sb="12" eb="13">
      <t>オナ</t>
    </rPh>
    <rPh sb="14" eb="16">
      <t>フカ</t>
    </rPh>
    <rPh sb="16" eb="17">
      <t>リツ</t>
    </rPh>
    <rPh sb="18" eb="19">
      <t>ネン</t>
    </rPh>
    <rPh sb="19" eb="20">
      <t>シキ</t>
    </rPh>
    <rPh sb="21" eb="23">
      <t>コウリョ</t>
    </rPh>
    <rPh sb="30" eb="32">
      <t>ケイサン</t>
    </rPh>
    <phoneticPr fontId="3"/>
  </si>
  <si>
    <t>　データからの推定値）と部分負荷での年式別COP比から算出した県の標準テーブル値を引用。</t>
    <rPh sb="27" eb="29">
      <t>サンシュツ</t>
    </rPh>
    <rPh sb="31" eb="32">
      <t>ケン</t>
    </rPh>
    <rPh sb="33" eb="35">
      <t>ヒョウジュン</t>
    </rPh>
    <rPh sb="39" eb="40">
      <t>チ</t>
    </rPh>
    <rPh sb="41" eb="43">
      <t>インヨウ</t>
    </rPh>
    <phoneticPr fontId="3"/>
  </si>
  <si>
    <t>年間電力消費量 ＝ 定格出力×年間稼働時間×消費電力比</t>
    <rPh sb="2" eb="4">
      <t>デンリョク</t>
    </rPh>
    <rPh sb="4" eb="6">
      <t>ショウヒ</t>
    </rPh>
    <rPh sb="12" eb="14">
      <t>シュツリョク</t>
    </rPh>
    <rPh sb="17" eb="19">
      <t>カドウ</t>
    </rPh>
    <rPh sb="19" eb="21">
      <t>ジカン</t>
    </rPh>
    <rPh sb="22" eb="24">
      <t>ショウヒ</t>
    </rPh>
    <rPh sb="24" eb="26">
      <t>デンリョク</t>
    </rPh>
    <rPh sb="26" eb="27">
      <t>ヒ</t>
    </rPh>
    <phoneticPr fontId="4"/>
  </si>
  <si>
    <t>　グラフ線図から消費電力比を計算する。 更新機の効果計算も記入した負荷率で計算される。</t>
    <rPh sb="4" eb="5">
      <t>セン</t>
    </rPh>
    <rPh sb="5" eb="6">
      <t>ズ</t>
    </rPh>
    <rPh sb="8" eb="10">
      <t>ショウヒ</t>
    </rPh>
    <rPh sb="10" eb="12">
      <t>デンリョク</t>
    </rPh>
    <rPh sb="12" eb="13">
      <t>ヒ</t>
    </rPh>
    <rPh sb="14" eb="16">
      <t>ケイサン</t>
    </rPh>
    <phoneticPr fontId="3"/>
  </si>
  <si>
    <t>年間CO₂排出量　＝　年間電力消費量　×　電力CO₂排出係数</t>
    <rPh sb="0" eb="1">
      <t>ネン</t>
    </rPh>
    <rPh sb="1" eb="2">
      <t>カン</t>
    </rPh>
    <rPh sb="5" eb="7">
      <t>ハイシュツ</t>
    </rPh>
    <rPh sb="7" eb="8">
      <t>リョウ</t>
    </rPh>
    <rPh sb="11" eb="12">
      <t>ネン</t>
    </rPh>
    <rPh sb="12" eb="13">
      <t>カン</t>
    </rPh>
    <rPh sb="13" eb="15">
      <t>デンリョク</t>
    </rPh>
    <rPh sb="15" eb="18">
      <t>ショウヒリョウ</t>
    </rPh>
    <rPh sb="21" eb="23">
      <t>デンリョク</t>
    </rPh>
    <rPh sb="26" eb="28">
      <t>ハイシュツ</t>
    </rPh>
    <rPh sb="28" eb="30">
      <t>ケイスウ</t>
    </rPh>
    <phoneticPr fontId="4"/>
  </si>
  <si>
    <t>年間CO₂排出量　＝　年間燃料消費量　×　燃料CO₂排出係数、　　　　　　　　　　　　*単位発熱量は低位発熱量値を使用、潜熱回収型では高位発熱量値を使用</t>
    <rPh sb="0" eb="2">
      <t>ネンカン</t>
    </rPh>
    <rPh sb="5" eb="7">
      <t>ハイシュツ</t>
    </rPh>
    <rPh sb="7" eb="8">
      <t>リョウ</t>
    </rPh>
    <rPh sb="11" eb="12">
      <t>ネン</t>
    </rPh>
    <rPh sb="12" eb="13">
      <t>カン</t>
    </rPh>
    <rPh sb="13" eb="15">
      <t>ネンリョウ</t>
    </rPh>
    <rPh sb="15" eb="18">
      <t>ショウヒリョウ</t>
    </rPh>
    <rPh sb="21" eb="23">
      <t>ネンリョウ</t>
    </rPh>
    <rPh sb="26" eb="28">
      <t>ハイシュツ</t>
    </rPh>
    <rPh sb="28" eb="30">
      <t>ケイスウ</t>
    </rPh>
    <rPh sb="44" eb="46">
      <t>タンイ</t>
    </rPh>
    <rPh sb="46" eb="48">
      <t>ハツネツ</t>
    </rPh>
    <rPh sb="48" eb="49">
      <t>リョウ</t>
    </rPh>
    <rPh sb="50" eb="52">
      <t>テイイ</t>
    </rPh>
    <rPh sb="52" eb="54">
      <t>ハツネツ</t>
    </rPh>
    <rPh sb="54" eb="55">
      <t>リョウ</t>
    </rPh>
    <rPh sb="55" eb="56">
      <t>チ</t>
    </rPh>
    <rPh sb="57" eb="59">
      <t>シヨウ</t>
    </rPh>
    <rPh sb="60" eb="62">
      <t>センネツ</t>
    </rPh>
    <rPh sb="62" eb="64">
      <t>カイシュウ</t>
    </rPh>
    <rPh sb="64" eb="65">
      <t>カタ</t>
    </rPh>
    <rPh sb="67" eb="69">
      <t>コウイ</t>
    </rPh>
    <rPh sb="69" eb="71">
      <t>ハツネツ</t>
    </rPh>
    <rPh sb="71" eb="72">
      <t>リョウ</t>
    </rPh>
    <rPh sb="72" eb="73">
      <t>チ</t>
    </rPh>
    <rPh sb="74" eb="76">
      <t>シヨウ</t>
    </rPh>
    <phoneticPr fontId="4"/>
  </si>
  <si>
    <t>年間CO₂排出量　＝　年間電力消費量　×　電力CO₂排出係数、　　　　　　　　　　　　</t>
    <rPh sb="0" eb="1">
      <t>ネン</t>
    </rPh>
    <rPh sb="1" eb="2">
      <t>カン</t>
    </rPh>
    <rPh sb="5" eb="7">
      <t>ハイシュツ</t>
    </rPh>
    <rPh sb="7" eb="8">
      <t>リョウ</t>
    </rPh>
    <rPh sb="11" eb="12">
      <t>ネン</t>
    </rPh>
    <rPh sb="12" eb="13">
      <t>カン</t>
    </rPh>
    <rPh sb="13" eb="15">
      <t>デンリョク</t>
    </rPh>
    <rPh sb="15" eb="18">
      <t>ショウヒリョウ</t>
    </rPh>
    <rPh sb="21" eb="23">
      <t>デンリョク</t>
    </rPh>
    <rPh sb="26" eb="28">
      <t>ハイシュツ</t>
    </rPh>
    <rPh sb="28" eb="30">
      <t>ケイスウ</t>
    </rPh>
    <phoneticPr fontId="4"/>
  </si>
  <si>
    <t>年間消費電力量 ＝ 無負荷損値×8760時間　＋　負荷損値×稼働時間×負荷率の2乗</t>
    <rPh sb="0" eb="1">
      <t>ネン</t>
    </rPh>
    <rPh sb="2" eb="4">
      <t>ショウヒ</t>
    </rPh>
    <rPh sb="4" eb="6">
      <t>デンリョク</t>
    </rPh>
    <rPh sb="6" eb="7">
      <t>リョウ</t>
    </rPh>
    <rPh sb="10" eb="13">
      <t>ムフカ</t>
    </rPh>
    <rPh sb="13" eb="14">
      <t>ゾン</t>
    </rPh>
    <rPh sb="14" eb="15">
      <t>チ</t>
    </rPh>
    <rPh sb="20" eb="22">
      <t>ジカン</t>
    </rPh>
    <rPh sb="25" eb="27">
      <t>フカ</t>
    </rPh>
    <rPh sb="27" eb="28">
      <t>ゾン</t>
    </rPh>
    <rPh sb="28" eb="29">
      <t>チ</t>
    </rPh>
    <rPh sb="30" eb="32">
      <t>カドウ</t>
    </rPh>
    <rPh sb="32" eb="34">
      <t>ジカン</t>
    </rPh>
    <rPh sb="35" eb="37">
      <t>フカ</t>
    </rPh>
    <rPh sb="37" eb="38">
      <t>リツ</t>
    </rPh>
    <rPh sb="40" eb="41">
      <t>ジョウ</t>
    </rPh>
    <phoneticPr fontId="4"/>
  </si>
  <si>
    <t>年間CO₂排出量　＝　年間主要エネルギー消費量　×　CO₂排出係数　（＋　補助電力消費量　×　電力CO₂排出係数）　　　　　　　　　　　　</t>
    <rPh sb="0" eb="1">
      <t>ネン</t>
    </rPh>
    <rPh sb="1" eb="2">
      <t>カン</t>
    </rPh>
    <rPh sb="5" eb="7">
      <t>ハイシュツ</t>
    </rPh>
    <rPh sb="7" eb="8">
      <t>リョウ</t>
    </rPh>
    <rPh sb="11" eb="12">
      <t>ネン</t>
    </rPh>
    <rPh sb="12" eb="13">
      <t>カン</t>
    </rPh>
    <rPh sb="13" eb="15">
      <t>シュヨウ</t>
    </rPh>
    <rPh sb="20" eb="23">
      <t>ショウヒリョウ</t>
    </rPh>
    <rPh sb="29" eb="31">
      <t>ハイシュツ</t>
    </rPh>
    <rPh sb="31" eb="33">
      <t>ケイスウ</t>
    </rPh>
    <rPh sb="37" eb="39">
      <t>ホジョ</t>
    </rPh>
    <rPh sb="39" eb="41">
      <t>デンリョク</t>
    </rPh>
    <rPh sb="41" eb="44">
      <t>ショウヒリョウ</t>
    </rPh>
    <rPh sb="47" eb="49">
      <t>デンリョク</t>
    </rPh>
    <rPh sb="52" eb="54">
      <t>ハイシュツ</t>
    </rPh>
    <rPh sb="54" eb="56">
      <t>ケイスウ</t>
    </rPh>
    <phoneticPr fontId="4"/>
  </si>
  <si>
    <t>年間CO₂削減量　＝　自家消費電力量　×　電力CO₂排出係数　　</t>
    <rPh sb="0" eb="1">
      <t>ネン</t>
    </rPh>
    <rPh sb="1" eb="2">
      <t>カン</t>
    </rPh>
    <rPh sb="5" eb="7">
      <t>サクゲン</t>
    </rPh>
    <rPh sb="7" eb="8">
      <t>リョウ</t>
    </rPh>
    <rPh sb="8" eb="9">
      <t>シュツリョウ</t>
    </rPh>
    <rPh sb="11" eb="13">
      <t>ジカ</t>
    </rPh>
    <rPh sb="13" eb="15">
      <t>ショウヒ</t>
    </rPh>
    <rPh sb="15" eb="17">
      <t>デンリョク</t>
    </rPh>
    <rPh sb="17" eb="18">
      <t>リョウ</t>
    </rPh>
    <rPh sb="21" eb="23">
      <t>デンリョク</t>
    </rPh>
    <rPh sb="26" eb="28">
      <t>ハイシュツ</t>
    </rPh>
    <rPh sb="28" eb="30">
      <t>ケイスウ</t>
    </rPh>
    <phoneticPr fontId="4"/>
  </si>
  <si>
    <t>・年間の稼働時間、間欠運転や負荷が変動する場合は負荷率を記入。主要エネルギー</t>
    <rPh sb="1" eb="3">
      <t>ネンカン</t>
    </rPh>
    <rPh sb="4" eb="6">
      <t>カドウ</t>
    </rPh>
    <rPh sb="6" eb="8">
      <t>ジカン</t>
    </rPh>
    <rPh sb="9" eb="11">
      <t>カンケツ</t>
    </rPh>
    <rPh sb="11" eb="13">
      <t>ウンテン</t>
    </rPh>
    <rPh sb="14" eb="16">
      <t>フカ</t>
    </rPh>
    <rPh sb="17" eb="19">
      <t>ヘンドウ</t>
    </rPh>
    <rPh sb="21" eb="23">
      <t>バアイ</t>
    </rPh>
    <rPh sb="24" eb="26">
      <t>フカ</t>
    </rPh>
    <rPh sb="26" eb="27">
      <t>リツ</t>
    </rPh>
    <rPh sb="28" eb="30">
      <t>キニュウ</t>
    </rPh>
    <rPh sb="31" eb="33">
      <t>シュヨウ</t>
    </rPh>
    <phoneticPr fontId="3"/>
  </si>
  <si>
    <t>燃転した場合や複数の燃料種類がある場合は削減量値や単位は正しく表示されない。</t>
    <rPh sb="25" eb="27">
      <t>タンイ</t>
    </rPh>
    <phoneticPr fontId="3"/>
  </si>
  <si>
    <t>　認定申請書等の設備出力として届け出た値）を記入する。</t>
    <rPh sb="3" eb="6">
      <t>シンセイショ</t>
    </rPh>
    <rPh sb="6" eb="7">
      <t>トウ</t>
    </rPh>
    <rPh sb="8" eb="10">
      <t>セツビ</t>
    </rPh>
    <rPh sb="10" eb="12">
      <t>シュツリョク</t>
    </rPh>
    <rPh sb="15" eb="16">
      <t>トド</t>
    </rPh>
    <rPh sb="17" eb="18">
      <t>デ</t>
    </rPh>
    <rPh sb="19" eb="20">
      <t>アタイ</t>
    </rPh>
    <rPh sb="22" eb="24">
      <t>キニュウ</t>
    </rPh>
    <phoneticPr fontId="3"/>
  </si>
  <si>
    <t>・太陽光発電システム容量（太陽光合計出力もしくはPCS合計出力の小さい方の値（設置</t>
    <rPh sb="1" eb="4">
      <t>タイヨウコウ</t>
    </rPh>
    <rPh sb="4" eb="6">
      <t>ハツデン</t>
    </rPh>
    <rPh sb="10" eb="12">
      <t>ヨウリョウ</t>
    </rPh>
    <rPh sb="13" eb="16">
      <t>タイヨウコウ</t>
    </rPh>
    <rPh sb="16" eb="18">
      <t>ゴウケイ</t>
    </rPh>
    <rPh sb="18" eb="20">
      <t>シュツリョク</t>
    </rPh>
    <rPh sb="27" eb="29">
      <t>ゴウケイ</t>
    </rPh>
    <rPh sb="29" eb="31">
      <t>シュツリョク</t>
    </rPh>
    <rPh sb="32" eb="33">
      <t>チイ</t>
    </rPh>
    <rPh sb="35" eb="36">
      <t>ホウ</t>
    </rPh>
    <rPh sb="37" eb="38">
      <t>チ</t>
    </rPh>
    <phoneticPr fontId="3"/>
  </si>
  <si>
    <t>・シミュレーション結果、あるいは計算での予想発電量を記入し、根拠資料を提示する。</t>
    <rPh sb="9" eb="11">
      <t>ケッカ</t>
    </rPh>
    <rPh sb="16" eb="18">
      <t>ケイサン</t>
    </rPh>
    <rPh sb="20" eb="22">
      <t>ヨソウ</t>
    </rPh>
    <rPh sb="22" eb="24">
      <t>ハツデン</t>
    </rPh>
    <rPh sb="24" eb="25">
      <t>リョウ</t>
    </rPh>
    <rPh sb="26" eb="28">
      <t>キニュウ</t>
    </rPh>
    <rPh sb="30" eb="32">
      <t>コンキョ</t>
    </rPh>
    <rPh sb="32" eb="34">
      <t>シリョウ</t>
    </rPh>
    <rPh sb="35" eb="37">
      <t>テイジ</t>
    </rPh>
    <phoneticPr fontId="3"/>
  </si>
  <si>
    <t>・PCSを基準に系統での蓄電池設置位置を選択する。
・蓄電池の容量、停電時の最大出力を記入する。
・停電時の中間、夜間(休日）での使用時間の目安値を記入する。</t>
    <rPh sb="5" eb="7">
      <t>キジュン</t>
    </rPh>
    <rPh sb="8" eb="10">
      <t>ケイトウ</t>
    </rPh>
    <rPh sb="12" eb="15">
      <t>チクデンチ</t>
    </rPh>
    <rPh sb="15" eb="17">
      <t>セッチ</t>
    </rPh>
    <rPh sb="17" eb="19">
      <t>イチ</t>
    </rPh>
    <rPh sb="20" eb="22">
      <t>センタク</t>
    </rPh>
    <phoneticPr fontId="3"/>
  </si>
  <si>
    <t>前年度の事業所の電力消費実績値を記入</t>
    <rPh sb="0" eb="3">
      <t>ゼンネンド</t>
    </rPh>
    <rPh sb="4" eb="7">
      <t>ジギョウショ</t>
    </rPh>
    <rPh sb="8" eb="10">
      <t>デンリョク</t>
    </rPh>
    <rPh sb="10" eb="12">
      <t>ショウヒ</t>
    </rPh>
    <rPh sb="12" eb="14">
      <t>ジッセキ</t>
    </rPh>
    <rPh sb="14" eb="15">
      <t>チ</t>
    </rPh>
    <rPh sb="16" eb="18">
      <t>キニュウ</t>
    </rPh>
    <phoneticPr fontId="3"/>
  </si>
  <si>
    <t>高位発熱量：燃料を燃焼させた時の単位発熱量</t>
    <rPh sb="0" eb="2">
      <t>コウイ</t>
    </rPh>
    <rPh sb="2" eb="4">
      <t>ハツネツ</t>
    </rPh>
    <rPh sb="4" eb="5">
      <t>リョウ</t>
    </rPh>
    <rPh sb="6" eb="8">
      <t>ネンリョウ</t>
    </rPh>
    <rPh sb="9" eb="11">
      <t>ネンショウ</t>
    </rPh>
    <rPh sb="14" eb="15">
      <t>トキ</t>
    </rPh>
    <rPh sb="16" eb="18">
      <t>タンイ</t>
    </rPh>
    <rPh sb="18" eb="20">
      <t>ハツネツ</t>
    </rPh>
    <rPh sb="20" eb="21">
      <t>リョウ</t>
    </rPh>
    <phoneticPr fontId="3"/>
  </si>
  <si>
    <t>低発熱量：燃料の単位発熱量から水蒸気の潜熱量を除外した発熱量。潜熱回収しない場合はこちらを引用</t>
    <rPh sb="0" eb="3">
      <t>テイハツネツ</t>
    </rPh>
    <rPh sb="3" eb="4">
      <t>リョウ</t>
    </rPh>
    <rPh sb="5" eb="7">
      <t>ネンリョウ</t>
    </rPh>
    <rPh sb="8" eb="10">
      <t>タンイ</t>
    </rPh>
    <rPh sb="10" eb="12">
      <t>ハツネツ</t>
    </rPh>
    <rPh sb="12" eb="13">
      <t>リョウ</t>
    </rPh>
    <rPh sb="15" eb="18">
      <t>スイジョウキ</t>
    </rPh>
    <rPh sb="19" eb="21">
      <t>センネツ</t>
    </rPh>
    <rPh sb="21" eb="22">
      <t>リョウ</t>
    </rPh>
    <rPh sb="23" eb="25">
      <t>ジョガイ</t>
    </rPh>
    <rPh sb="27" eb="29">
      <t>ハツネツ</t>
    </rPh>
    <rPh sb="29" eb="30">
      <t>リョウ</t>
    </rPh>
    <rPh sb="31" eb="33">
      <t>センネツ</t>
    </rPh>
    <rPh sb="33" eb="35">
      <t>カイシュウ</t>
    </rPh>
    <rPh sb="38" eb="40">
      <t>バアイ</t>
    </rPh>
    <rPh sb="45" eb="47">
      <t>インヨウ</t>
    </rPh>
    <phoneticPr fontId="3"/>
  </si>
  <si>
    <t>*ボイラ計算では低位発熱量も引用。</t>
    <rPh sb="4" eb="6">
      <t>ケイサン</t>
    </rPh>
    <rPh sb="8" eb="10">
      <t>テイイ</t>
    </rPh>
    <rPh sb="10" eb="12">
      <t>ハツネツ</t>
    </rPh>
    <rPh sb="12" eb="13">
      <t>リョウ</t>
    </rPh>
    <rPh sb="14" eb="16">
      <t>インヨウ</t>
    </rPh>
    <phoneticPr fontId="3"/>
  </si>
  <si>
    <t>色のついたエネルギーについては自動計算の係数としてシート内で引用している。</t>
    <rPh sb="0" eb="1">
      <t>イロ</t>
    </rPh>
    <rPh sb="15" eb="17">
      <t>ジドウ</t>
    </rPh>
    <rPh sb="17" eb="19">
      <t>ケイサン</t>
    </rPh>
    <rPh sb="20" eb="22">
      <t>ケイスウ</t>
    </rPh>
    <rPh sb="28" eb="29">
      <t>ナイ</t>
    </rPh>
    <rPh sb="30" eb="32">
      <t>インヨウ</t>
    </rPh>
    <phoneticPr fontId="3"/>
  </si>
  <si>
    <t>･･･（　）内はGHP時</t>
    <rPh sb="6" eb="7">
      <t>ナイ</t>
    </rPh>
    <rPh sb="11" eb="12">
      <t>ジ</t>
    </rPh>
    <phoneticPr fontId="3"/>
  </si>
  <si>
    <t>年間電力消費量 ＝ ｛冷房時定格消費電力（＋冷房時定格消費ガス量）｝×年間冷房時間×標準負荷率*＋｛暖房時定格消費電力（＋暖房時定格消費ガス量）｝×年間暖房時間×標準負荷率*</t>
    <rPh sb="2" eb="4">
      <t>デンリョク</t>
    </rPh>
    <rPh sb="4" eb="6">
      <t>ショウヒ</t>
    </rPh>
    <rPh sb="11" eb="13">
      <t>レイボウ</t>
    </rPh>
    <rPh sb="13" eb="14">
      <t>ジ</t>
    </rPh>
    <rPh sb="16" eb="18">
      <t>ショウヒ</t>
    </rPh>
    <rPh sb="18" eb="20">
      <t>デンリョク</t>
    </rPh>
    <rPh sb="22" eb="24">
      <t>レイボウ</t>
    </rPh>
    <rPh sb="24" eb="25">
      <t>ジ</t>
    </rPh>
    <rPh sb="25" eb="27">
      <t>テイカク</t>
    </rPh>
    <rPh sb="27" eb="29">
      <t>ショウヒ</t>
    </rPh>
    <rPh sb="31" eb="32">
      <t>リョウ</t>
    </rPh>
    <rPh sb="52" eb="53">
      <t>ジ</t>
    </rPh>
    <rPh sb="61" eb="63">
      <t>ダンボウ</t>
    </rPh>
    <rPh sb="63" eb="64">
      <t>ジ</t>
    </rPh>
    <phoneticPr fontId="4"/>
  </si>
  <si>
    <t>　上例のように上段に記入し以降の欄は記入しない。更新機に●を選択する。</t>
    <rPh sb="1" eb="2">
      <t>ウエ</t>
    </rPh>
    <rPh sb="2" eb="3">
      <t>レイ</t>
    </rPh>
    <rPh sb="7" eb="9">
      <t>ジョウダン</t>
    </rPh>
    <rPh sb="10" eb="12">
      <t>キニュウ</t>
    </rPh>
    <rPh sb="13" eb="15">
      <t>イコウ</t>
    </rPh>
    <rPh sb="16" eb="17">
      <t>ラン</t>
    </rPh>
    <rPh sb="18" eb="20">
      <t>キニュウ</t>
    </rPh>
    <rPh sb="24" eb="26">
      <t>コウシン</t>
    </rPh>
    <rPh sb="26" eb="27">
      <t>キ</t>
    </rPh>
    <rPh sb="30" eb="32">
      <t>センタク</t>
    </rPh>
    <phoneticPr fontId="3"/>
  </si>
  <si>
    <t>・規格、定格出力を記入すると、効率は規定テーブルより表示される。</t>
    <rPh sb="1" eb="3">
      <t>キカク</t>
    </rPh>
    <rPh sb="4" eb="6">
      <t>テイカク</t>
    </rPh>
    <rPh sb="6" eb="8">
      <t>シュツリョク</t>
    </rPh>
    <rPh sb="9" eb="10">
      <t>キ</t>
    </rPh>
    <rPh sb="15" eb="17">
      <t>コウリツ</t>
    </rPh>
    <rPh sb="18" eb="20">
      <t>キテイ</t>
    </rPh>
    <rPh sb="26" eb="28">
      <t>ヒョウジ</t>
    </rPh>
    <phoneticPr fontId="3"/>
  </si>
  <si>
    <t>年間消費電力量 ＝ 定格出力÷効率×年間稼働時間×（負荷率）×（インバータ等での低減）</t>
    <rPh sb="0" eb="1">
      <t>ネン</t>
    </rPh>
    <rPh sb="2" eb="4">
      <t>ショウヒ</t>
    </rPh>
    <rPh sb="4" eb="6">
      <t>デンリョク</t>
    </rPh>
    <rPh sb="6" eb="7">
      <t>リョウ</t>
    </rPh>
    <rPh sb="10" eb="12">
      <t>テイカク</t>
    </rPh>
    <rPh sb="12" eb="14">
      <t>シュツリョク</t>
    </rPh>
    <rPh sb="15" eb="17">
      <t>コウリツ</t>
    </rPh>
    <rPh sb="18" eb="20">
      <t>ネンカン</t>
    </rPh>
    <rPh sb="20" eb="22">
      <t>カドウ</t>
    </rPh>
    <rPh sb="22" eb="24">
      <t>ジカン</t>
    </rPh>
    <rPh sb="26" eb="28">
      <t>フカ</t>
    </rPh>
    <rPh sb="28" eb="29">
      <t>リツ</t>
    </rPh>
    <rPh sb="37" eb="38">
      <t>トウ</t>
    </rPh>
    <rPh sb="40" eb="42">
      <t>テイゲン</t>
    </rPh>
    <phoneticPr fontId="4"/>
  </si>
  <si>
    <t>右表リストに無い燃料の場合は下例ように表に</t>
    <rPh sb="0" eb="1">
      <t>ミギ</t>
    </rPh>
    <rPh sb="1" eb="2">
      <t>ヒョウ</t>
    </rPh>
    <rPh sb="6" eb="7">
      <t>ナ</t>
    </rPh>
    <rPh sb="8" eb="10">
      <t>ネンリョウ</t>
    </rPh>
    <rPh sb="11" eb="13">
      <t>バアイ</t>
    </rPh>
    <rPh sb="14" eb="15">
      <t>シタ</t>
    </rPh>
    <rPh sb="15" eb="16">
      <t>レイ</t>
    </rPh>
    <rPh sb="19" eb="20">
      <t>ヒョウ</t>
    </rPh>
    <phoneticPr fontId="3"/>
  </si>
  <si>
    <t>　その旨を記載する。</t>
    <phoneticPr fontId="3"/>
  </si>
  <si>
    <t>　更新後のボイラでの年間燃料使用量は更新前の発熱出力から換算される。</t>
    <rPh sb="1" eb="3">
      <t>コウシン</t>
    </rPh>
    <rPh sb="3" eb="4">
      <t>ゴ</t>
    </rPh>
    <rPh sb="10" eb="12">
      <t>ネンカン</t>
    </rPh>
    <rPh sb="12" eb="14">
      <t>ネンリョウ</t>
    </rPh>
    <rPh sb="14" eb="17">
      <t>シヨウリョウ</t>
    </rPh>
    <rPh sb="18" eb="20">
      <t>コウシン</t>
    </rPh>
    <rPh sb="20" eb="21">
      <t>マエ</t>
    </rPh>
    <rPh sb="22" eb="24">
      <t>ハツネツ</t>
    </rPh>
    <rPh sb="24" eb="26">
      <t>シュツリョク</t>
    </rPh>
    <rPh sb="28" eb="30">
      <t>カンサン</t>
    </rPh>
    <phoneticPr fontId="4"/>
  </si>
  <si>
    <t xml:space="preserve">  負荷率は保安点検記録等からの平均負荷率を記入する。</t>
    <rPh sb="2" eb="4">
      <t>フカ</t>
    </rPh>
    <rPh sb="4" eb="5">
      <t>リツ</t>
    </rPh>
    <rPh sb="6" eb="8">
      <t>ホアン</t>
    </rPh>
    <rPh sb="8" eb="10">
      <t>テンケン</t>
    </rPh>
    <rPh sb="10" eb="12">
      <t>キロク</t>
    </rPh>
    <rPh sb="12" eb="13">
      <t>トウ</t>
    </rPh>
    <rPh sb="16" eb="18">
      <t>ヘイキン</t>
    </rPh>
    <rPh sb="18" eb="20">
      <t>フカ</t>
    </rPh>
    <rPh sb="20" eb="21">
      <t>リツ</t>
    </rPh>
    <rPh sb="22" eb="24">
      <t>キニュウ</t>
    </rPh>
    <phoneticPr fontId="3"/>
  </si>
  <si>
    <t>インバータやバルブ等による流量調整効果がある場合はその削減率を記入する。</t>
    <rPh sb="9" eb="10">
      <t>トウ</t>
    </rPh>
    <rPh sb="13" eb="15">
      <t>リュウリョウ</t>
    </rPh>
    <rPh sb="15" eb="17">
      <t>チョウセイ</t>
    </rPh>
    <rPh sb="17" eb="19">
      <t>コウカ</t>
    </rPh>
    <rPh sb="22" eb="24">
      <t>バアイ</t>
    </rPh>
    <rPh sb="27" eb="29">
      <t>サクゲン</t>
    </rPh>
    <rPh sb="29" eb="30">
      <t>リツ</t>
    </rPh>
    <rPh sb="31" eb="33">
      <t>キニュウ</t>
    </rPh>
    <phoneticPr fontId="3"/>
  </si>
  <si>
    <t>・インバータや流量制御等で低減されている場合はその数値（％）を記入する。</t>
    <rPh sb="7" eb="9">
      <t>リュウリョウ</t>
    </rPh>
    <rPh sb="9" eb="11">
      <t>セイギョ</t>
    </rPh>
    <rPh sb="11" eb="12">
      <t>トウ</t>
    </rPh>
    <rPh sb="13" eb="15">
      <t>テイゲン</t>
    </rPh>
    <rPh sb="20" eb="22">
      <t>バアイ</t>
    </rPh>
    <rPh sb="25" eb="27">
      <t>スウチ</t>
    </rPh>
    <rPh sb="31" eb="33">
      <t>キニュウ</t>
    </rPh>
    <phoneticPr fontId="3"/>
  </si>
  <si>
    <t>　もよい。</t>
    <phoneticPr fontId="3"/>
  </si>
  <si>
    <t>　事由の説明を記載する。</t>
    <rPh sb="1" eb="3">
      <t>ジユウ</t>
    </rPh>
    <rPh sb="4" eb="6">
      <t>セツメイ</t>
    </rPh>
    <rPh sb="7" eb="9">
      <t>キサイ</t>
    </rPh>
    <phoneticPr fontId="3"/>
  </si>
  <si>
    <t>＊規定負荷率における全損失値</t>
    <rPh sb="1" eb="3">
      <t>キテイ</t>
    </rPh>
    <rPh sb="3" eb="5">
      <t>フカ</t>
    </rPh>
    <rPh sb="5" eb="6">
      <t>リツ</t>
    </rPh>
    <rPh sb="10" eb="11">
      <t>ゼン</t>
    </rPh>
    <rPh sb="11" eb="13">
      <t>ソンシツ</t>
    </rPh>
    <rPh sb="13" eb="14">
      <t>チ</t>
    </rPh>
    <phoneticPr fontId="3"/>
  </si>
  <si>
    <t>LPGの産気率はGHPではプロパン502m³/kg、　ブタン355m³/kg、　その他482m³/kgを引用。ボイラ他シートではその他482m³/kgを引用</t>
    <rPh sb="58" eb="59">
      <t>ホカ</t>
    </rPh>
    <rPh sb="66" eb="67">
      <t>タ</t>
    </rPh>
    <rPh sb="76" eb="78">
      <t>インヨウ</t>
    </rPh>
    <phoneticPr fontId="3"/>
  </si>
  <si>
    <t>エネルギー種別</t>
    <rPh sb="5" eb="7">
      <t>シュベツ</t>
    </rPh>
    <phoneticPr fontId="4"/>
  </si>
  <si>
    <t>エネルギー種類</t>
    <rPh sb="5" eb="7">
      <t>シュルイ</t>
    </rPh>
    <rPh sb="6" eb="7">
      <t>シュルイ</t>
    </rPh>
    <phoneticPr fontId="4"/>
  </si>
  <si>
    <t>エネルギー種類</t>
    <rPh sb="5" eb="7">
      <t>シュルイ</t>
    </rPh>
    <phoneticPr fontId="3"/>
  </si>
  <si>
    <t>対象のエネルギー種別を選択し、種類を記入する。</t>
    <rPh sb="0" eb="2">
      <t>タイショウ</t>
    </rPh>
    <rPh sb="8" eb="10">
      <t>シュベツ</t>
    </rPh>
    <rPh sb="11" eb="13">
      <t>センタク</t>
    </rPh>
    <rPh sb="15" eb="17">
      <t>シュルイ</t>
    </rPh>
    <rPh sb="18" eb="20">
      <t>キニュウ</t>
    </rPh>
    <phoneticPr fontId="3"/>
  </si>
  <si>
    <t>を選択する。（誤記入に注意）</t>
    <rPh sb="1" eb="3">
      <t>センタク</t>
    </rPh>
    <rPh sb="7" eb="10">
      <t>ゴキニュウ</t>
    </rPh>
    <rPh sb="11" eb="13">
      <t>チュウイ</t>
    </rPh>
    <phoneticPr fontId="3"/>
  </si>
  <si>
    <t>エネルギー種類により単位が異なるので、適切な単位</t>
    <rPh sb="5" eb="7">
      <t>シュルイ</t>
    </rPh>
    <rPh sb="10" eb="12">
      <t>タンイ</t>
    </rPh>
    <rPh sb="13" eb="14">
      <t>コト</t>
    </rPh>
    <rPh sb="19" eb="21">
      <t>テキセツ</t>
    </rPh>
    <rPh sb="22" eb="24">
      <t>タンイ</t>
    </rPh>
    <phoneticPr fontId="3"/>
  </si>
  <si>
    <t>・更新前の燃料種別⇒種類を選択し、定格の燃料消費量を記入する。LPGにはm³とｋｇ購入</t>
    <rPh sb="1" eb="3">
      <t>コウシン</t>
    </rPh>
    <rPh sb="3" eb="4">
      <t>マエ</t>
    </rPh>
    <rPh sb="5" eb="7">
      <t>ネンリョウ</t>
    </rPh>
    <rPh sb="7" eb="9">
      <t>シュベツ</t>
    </rPh>
    <rPh sb="10" eb="12">
      <t>シュルイ</t>
    </rPh>
    <rPh sb="13" eb="15">
      <t>センタク</t>
    </rPh>
    <rPh sb="17" eb="19">
      <t>テイカク</t>
    </rPh>
    <rPh sb="20" eb="22">
      <t>ネンリョウ</t>
    </rPh>
    <rPh sb="22" eb="25">
      <t>ショウヒリョウ</t>
    </rPh>
    <rPh sb="26" eb="28">
      <t>キニュウ</t>
    </rPh>
    <rPh sb="41" eb="43">
      <t>コウニュウ</t>
    </rPh>
    <phoneticPr fontId="3"/>
  </si>
  <si>
    <t xml:space="preserve">  での選択があるので注意する。消費量値は表示された単位の通り記入する。</t>
    <rPh sb="16" eb="18">
      <t>ショウヒ</t>
    </rPh>
    <rPh sb="18" eb="19">
      <t>リョウ</t>
    </rPh>
    <rPh sb="19" eb="20">
      <t>チ</t>
    </rPh>
    <rPh sb="21" eb="23">
      <t>ヒョウジ</t>
    </rPh>
    <rPh sb="26" eb="28">
      <t>タンイ</t>
    </rPh>
    <rPh sb="29" eb="30">
      <t>トオ</t>
    </rPh>
    <rPh sb="31" eb="33">
      <t>キニュウ</t>
    </rPh>
    <phoneticPr fontId="3"/>
  </si>
  <si>
    <t>その他</t>
    <rPh sb="2" eb="3">
      <t>タ</t>
    </rPh>
    <phoneticPr fontId="3"/>
  </si>
  <si>
    <t>設備種類</t>
    <rPh sb="0" eb="2">
      <t>セツビ</t>
    </rPh>
    <rPh sb="2" eb="4">
      <t>シュルイ</t>
    </rPh>
    <phoneticPr fontId="3"/>
  </si>
  <si>
    <r>
      <t xml:space="preserve">効率*
</t>
    </r>
    <r>
      <rPr>
        <sz val="8"/>
        <color theme="1"/>
        <rFont val="ＭＳ Ｐゴシック"/>
        <family val="3"/>
        <charset val="128"/>
      </rPr>
      <t>（任意記入の効率値が優先）</t>
    </r>
    <rPh sb="0" eb="2">
      <t>コウリツ</t>
    </rPh>
    <rPh sb="5" eb="7">
      <t>ニンイ</t>
    </rPh>
    <rPh sb="7" eb="9">
      <t>キニュウ</t>
    </rPh>
    <rPh sb="10" eb="12">
      <t>コウリツ</t>
    </rPh>
    <rPh sb="12" eb="13">
      <t>チ</t>
    </rPh>
    <rPh sb="14" eb="16">
      <t>ユウセン</t>
    </rPh>
    <phoneticPr fontId="4"/>
  </si>
  <si>
    <t>*任意記載の効率は根拠資料が必要</t>
    <rPh sb="1" eb="3">
      <t>ニンイ</t>
    </rPh>
    <rPh sb="3" eb="5">
      <t>キサイ</t>
    </rPh>
    <rPh sb="6" eb="8">
      <t>コウリツ</t>
    </rPh>
    <rPh sb="9" eb="11">
      <t>コンキョ</t>
    </rPh>
    <rPh sb="11" eb="13">
      <t>シリョウ</t>
    </rPh>
    <rPh sb="14" eb="16">
      <t>ヒツヨウ</t>
    </rPh>
    <phoneticPr fontId="3"/>
  </si>
  <si>
    <t>・更新対象設備の種類を選択する。"その他"を選択した場合は３．出力判定の特記事項欄に</t>
    <rPh sb="1" eb="3">
      <t>コウシン</t>
    </rPh>
    <rPh sb="3" eb="5">
      <t>タイショウ</t>
    </rPh>
    <rPh sb="5" eb="7">
      <t>セツビ</t>
    </rPh>
    <rPh sb="8" eb="10">
      <t>シュルイ</t>
    </rPh>
    <rPh sb="11" eb="13">
      <t>センタク</t>
    </rPh>
    <rPh sb="19" eb="20">
      <t>タ</t>
    </rPh>
    <rPh sb="22" eb="24">
      <t>センタク</t>
    </rPh>
    <rPh sb="26" eb="28">
      <t>バアイ</t>
    </rPh>
    <rPh sb="31" eb="33">
      <t>シュツリョク</t>
    </rPh>
    <rPh sb="33" eb="35">
      <t>ハンテイ</t>
    </rPh>
    <rPh sb="36" eb="38">
      <t>トッキ</t>
    </rPh>
    <rPh sb="38" eb="40">
      <t>ジコウ</t>
    </rPh>
    <rPh sb="40" eb="41">
      <t>ラン</t>
    </rPh>
    <phoneticPr fontId="3"/>
  </si>
  <si>
    <t>　設備の説明を記入する。</t>
    <rPh sb="1" eb="3">
      <t>セツビ</t>
    </rPh>
    <rPh sb="4" eb="6">
      <t>セツメイ</t>
    </rPh>
    <rPh sb="7" eb="9">
      <t>キニュウ</t>
    </rPh>
    <phoneticPr fontId="3"/>
  </si>
  <si>
    <t>・更新前・後のそれぞれの定格出力値をカタログや銘板などから記入する。効率値を任意記載</t>
    <rPh sb="1" eb="3">
      <t>コウシン</t>
    </rPh>
    <rPh sb="3" eb="4">
      <t>マエ</t>
    </rPh>
    <rPh sb="5" eb="6">
      <t>ゴ</t>
    </rPh>
    <rPh sb="12" eb="14">
      <t>テイカク</t>
    </rPh>
    <rPh sb="14" eb="16">
      <t>シュツリョク</t>
    </rPh>
    <rPh sb="16" eb="17">
      <t>チ</t>
    </rPh>
    <rPh sb="23" eb="25">
      <t>メイバン</t>
    </rPh>
    <rPh sb="29" eb="31">
      <t>キニュウ</t>
    </rPh>
    <rPh sb="34" eb="36">
      <t>コウリツ</t>
    </rPh>
    <rPh sb="36" eb="37">
      <t>チ</t>
    </rPh>
    <rPh sb="38" eb="40">
      <t>ニンイ</t>
    </rPh>
    <rPh sb="40" eb="42">
      <t>キサイ</t>
    </rPh>
    <phoneticPr fontId="3"/>
  </si>
  <si>
    <t>　する場合は根拠資料を提示する。</t>
    <rPh sb="3" eb="5">
      <t>バアイ</t>
    </rPh>
    <rPh sb="6" eb="8">
      <t>コンキョ</t>
    </rPh>
    <rPh sb="8" eb="10">
      <t>シリョウ</t>
    </rPh>
    <rPh sb="11" eb="13">
      <t>テイジ</t>
    </rPh>
    <phoneticPr fontId="3"/>
  </si>
  <si>
    <t>・更新対象設備の一般名称を選択する。"その他"を選択した場合は３．出力判定の特記</t>
    <rPh sb="1" eb="3">
      <t>コウシン</t>
    </rPh>
    <rPh sb="3" eb="5">
      <t>タイショウ</t>
    </rPh>
    <rPh sb="5" eb="7">
      <t>セツビ</t>
    </rPh>
    <rPh sb="8" eb="10">
      <t>イッパン</t>
    </rPh>
    <rPh sb="10" eb="12">
      <t>メイショウ</t>
    </rPh>
    <rPh sb="13" eb="15">
      <t>センタク</t>
    </rPh>
    <rPh sb="21" eb="22">
      <t>タ</t>
    </rPh>
    <rPh sb="24" eb="26">
      <t>センタク</t>
    </rPh>
    <rPh sb="28" eb="30">
      <t>バアイ</t>
    </rPh>
    <rPh sb="33" eb="35">
      <t>シュツリョク</t>
    </rPh>
    <rPh sb="35" eb="37">
      <t>ハンテイ</t>
    </rPh>
    <rPh sb="38" eb="40">
      <t>トッキ</t>
    </rPh>
    <phoneticPr fontId="3"/>
  </si>
  <si>
    <t>　事項欄に設備の説明を記入する。</t>
    <rPh sb="5" eb="7">
      <t>セツビ</t>
    </rPh>
    <rPh sb="8" eb="10">
      <t>セツメイ</t>
    </rPh>
    <rPh sb="11" eb="13">
      <t>キニュウ</t>
    </rPh>
    <phoneticPr fontId="3"/>
  </si>
  <si>
    <t>・使用エネルギーの種類、定格消費量値、補助電力（欄が白くない場合は記入不要）を記入</t>
    <rPh sb="1" eb="3">
      <t>シヨウ</t>
    </rPh>
    <rPh sb="9" eb="11">
      <t>シュルイ</t>
    </rPh>
    <rPh sb="12" eb="14">
      <t>テイカク</t>
    </rPh>
    <rPh sb="14" eb="17">
      <t>ショウヒリョウ</t>
    </rPh>
    <rPh sb="17" eb="18">
      <t>チ</t>
    </rPh>
    <rPh sb="19" eb="21">
      <t>ホジョ</t>
    </rPh>
    <rPh sb="21" eb="23">
      <t>デンリョク</t>
    </rPh>
    <rPh sb="24" eb="25">
      <t>ラン</t>
    </rPh>
    <rPh sb="26" eb="27">
      <t>シロ</t>
    </rPh>
    <rPh sb="30" eb="32">
      <t>バアイ</t>
    </rPh>
    <rPh sb="33" eb="35">
      <t>キニュウ</t>
    </rPh>
    <rPh sb="35" eb="37">
      <t>フヨウ</t>
    </rPh>
    <rPh sb="39" eb="41">
      <t>キニュウ</t>
    </rPh>
    <phoneticPr fontId="3"/>
  </si>
  <si>
    <t>　する。</t>
    <phoneticPr fontId="3"/>
  </si>
  <si>
    <t>＊低減率の根拠資料が必要です。</t>
    <rPh sb="1" eb="3">
      <t>テイゲン</t>
    </rPh>
    <rPh sb="3" eb="4">
      <t>リツ</t>
    </rPh>
    <rPh sb="5" eb="7">
      <t>コンキョ</t>
    </rPh>
    <rPh sb="7" eb="9">
      <t>シリョウ</t>
    </rPh>
    <rPh sb="10" eb="12">
      <t>ヒツヨウ</t>
    </rPh>
    <phoneticPr fontId="3"/>
  </si>
  <si>
    <t>合計</t>
    <rPh sb="0" eb="2">
      <t>ゴウケイ</t>
    </rPh>
    <phoneticPr fontId="3"/>
  </si>
  <si>
    <t xml:space="preserve">　超過すると、出力判定に警告が表示される。 </t>
    <rPh sb="7" eb="9">
      <t>シュツリョク</t>
    </rPh>
    <rPh sb="9" eb="11">
      <t>ハンテイ</t>
    </rPh>
    <rPh sb="12" eb="14">
      <t>ケイコク</t>
    </rPh>
    <phoneticPr fontId="3"/>
  </si>
  <si>
    <t>　････該当のセルが赤く表示される。</t>
    <phoneticPr fontId="3"/>
  </si>
  <si>
    <t>＊潜熱回収型の未選択</t>
    <rPh sb="1" eb="3">
      <t>センネツ</t>
    </rPh>
    <rPh sb="3" eb="6">
      <t>カイシュウガタ</t>
    </rPh>
    <rPh sb="7" eb="8">
      <t>ミ</t>
    </rPh>
    <rPh sb="8" eb="10">
      <t>センタク</t>
    </rPh>
    <phoneticPr fontId="3"/>
  </si>
  <si>
    <t>潜熱回収の有無＊</t>
    <rPh sb="0" eb="2">
      <t>センネツ</t>
    </rPh>
    <rPh sb="2" eb="4">
      <t>カイシュウ</t>
    </rPh>
    <rPh sb="5" eb="7">
      <t>ウム</t>
    </rPh>
    <phoneticPr fontId="3"/>
  </si>
  <si>
    <t>（停電時）最大出力</t>
    <rPh sb="1" eb="3">
      <t>テイデン</t>
    </rPh>
    <rPh sb="3" eb="4">
      <t>ジ</t>
    </rPh>
    <rPh sb="5" eb="7">
      <t>サイダイ</t>
    </rPh>
    <rPh sb="7" eb="9">
      <t>シュツリョク</t>
    </rPh>
    <phoneticPr fontId="3"/>
  </si>
  <si>
    <t>（民間事業者）</t>
  </si>
  <si>
    <t>所在地　</t>
  </si>
  <si>
    <t>団体名　</t>
  </si>
  <si>
    <t>役職名・代表者名　　　　　　　　　　　　　　　　　　</t>
    <rPh sb="2" eb="3">
      <t>メイ</t>
    </rPh>
    <phoneticPr fontId="4"/>
  </si>
  <si>
    <t>（リース事業者）</t>
  </si>
  <si>
    <t>役職名・代表者名　　　　　　　　　　　　　　　　</t>
    <rPh sb="2" eb="3">
      <t>メイ</t>
    </rPh>
    <phoneticPr fontId="4"/>
  </si>
  <si>
    <t>（別紙　CO₂削減量算定シート）</t>
    <rPh sb="1" eb="3">
      <t>ベッシ</t>
    </rPh>
    <rPh sb="7" eb="10">
      <t>サクゲンリョウ</t>
    </rPh>
    <rPh sb="10" eb="12">
      <t>サンテイ</t>
    </rPh>
    <phoneticPr fontId="4"/>
  </si>
  <si>
    <t>照明</t>
    <rPh sb="0" eb="2">
      <t>ショウメイ</t>
    </rPh>
    <phoneticPr fontId="15"/>
  </si>
  <si>
    <t>蛍光灯</t>
    <rPh sb="0" eb="3">
      <t>ケイコウトウ</t>
    </rPh>
    <phoneticPr fontId="15"/>
  </si>
  <si>
    <t>水銀灯</t>
    <rPh sb="0" eb="3">
      <t>スイギントウ</t>
    </rPh>
    <phoneticPr fontId="15"/>
  </si>
  <si>
    <t>LED</t>
    <phoneticPr fontId="15"/>
  </si>
  <si>
    <t>グループ*</t>
    <phoneticPr fontId="3"/>
  </si>
  <si>
    <t>按分比（0～1.0)</t>
    <rPh sb="0" eb="2">
      <t>アンブン</t>
    </rPh>
    <rPh sb="2" eb="3">
      <t>ヒ</t>
    </rPh>
    <phoneticPr fontId="3"/>
  </si>
  <si>
    <t>発熱出力</t>
    <rPh sb="0" eb="2">
      <t>ハツネツ</t>
    </rPh>
    <rPh sb="2" eb="4">
      <t>シュツリョク</t>
    </rPh>
    <phoneticPr fontId="3"/>
  </si>
  <si>
    <t>燃転した場合や複数の燃料種類がある場合</t>
    <phoneticPr fontId="3"/>
  </si>
  <si>
    <t>は削減量値や単位は正しく表示されない。</t>
  </si>
  <si>
    <t>対象に◎or○</t>
    <rPh sb="0" eb="2">
      <t>タイショウ</t>
    </rPh>
    <phoneticPr fontId="3"/>
  </si>
  <si>
    <t>＊グループで更新する場合、対象に同じ印をつける</t>
    <rPh sb="6" eb="8">
      <t>コウシン</t>
    </rPh>
    <rPh sb="10" eb="12">
      <t>バアイ</t>
    </rPh>
    <rPh sb="13" eb="15">
      <t>タイショウ</t>
    </rPh>
    <rPh sb="16" eb="17">
      <t>オナ</t>
    </rPh>
    <rPh sb="18" eb="19">
      <t>シルシ</t>
    </rPh>
    <phoneticPr fontId="3"/>
  </si>
  <si>
    <t>◎出力</t>
    <rPh sb="1" eb="3">
      <t>シュツリョク</t>
    </rPh>
    <phoneticPr fontId="3"/>
  </si>
  <si>
    <t>○出力</t>
    <rPh sb="1" eb="3">
      <t>シュツリョク</t>
    </rPh>
    <phoneticPr fontId="3"/>
  </si>
  <si>
    <t>・設備能力に対する負荷率を記入する。燃料実績から想定でもよい。</t>
    <rPh sb="1" eb="3">
      <t>セツビ</t>
    </rPh>
    <rPh sb="3" eb="5">
      <t>ノウリョク</t>
    </rPh>
    <rPh sb="6" eb="7">
      <t>タイ</t>
    </rPh>
    <rPh sb="9" eb="11">
      <t>フカ</t>
    </rPh>
    <rPh sb="11" eb="12">
      <t>リツ</t>
    </rPh>
    <rPh sb="13" eb="15">
      <t>キニュウ</t>
    </rPh>
    <rPh sb="18" eb="20">
      <t>ネンリョウ</t>
    </rPh>
    <rPh sb="20" eb="22">
      <t>ジッセキ</t>
    </rPh>
    <rPh sb="24" eb="26">
      <t>ソウテイ</t>
    </rPh>
    <phoneticPr fontId="3"/>
  </si>
  <si>
    <t>・更新前後の機種が1行で記入できない場合、グループとして同じ印をつけ、按分比を記入する。</t>
    <rPh sb="1" eb="3">
      <t>コウシン</t>
    </rPh>
    <rPh sb="3" eb="5">
      <t>ゼンゴ</t>
    </rPh>
    <rPh sb="6" eb="8">
      <t>キシュ</t>
    </rPh>
    <rPh sb="10" eb="11">
      <t>ギョウ</t>
    </rPh>
    <rPh sb="12" eb="14">
      <t>キニュウ</t>
    </rPh>
    <rPh sb="18" eb="20">
      <t>バアイ</t>
    </rPh>
    <rPh sb="28" eb="29">
      <t>オナ</t>
    </rPh>
    <rPh sb="30" eb="31">
      <t>シルシ</t>
    </rPh>
    <rPh sb="35" eb="37">
      <t>アンブン</t>
    </rPh>
    <rPh sb="37" eb="38">
      <t>ヒ</t>
    </rPh>
    <rPh sb="39" eb="41">
      <t>キニュウ</t>
    </rPh>
    <phoneticPr fontId="3"/>
  </si>
  <si>
    <t>　（◎、○で2グループまで設定可能）</t>
    <rPh sb="13" eb="15">
      <t>セッテイ</t>
    </rPh>
    <rPh sb="15" eb="17">
      <t>カノウ</t>
    </rPh>
    <phoneticPr fontId="3"/>
  </si>
  <si>
    <t>GHPは年式補正しない！</t>
    <rPh sb="4" eb="5">
      <t>ネン</t>
    </rPh>
    <rPh sb="5" eb="6">
      <t>シキ</t>
    </rPh>
    <rPh sb="6" eb="8">
      <t>ホセイ</t>
    </rPh>
    <phoneticPr fontId="3"/>
  </si>
  <si>
    <t>定格出力</t>
    <rPh sb="0" eb="2">
      <t>テイカク</t>
    </rPh>
    <rPh sb="2" eb="4">
      <t>シュツリョク</t>
    </rPh>
    <phoneticPr fontId="3"/>
  </si>
  <si>
    <t>種類</t>
    <rPh sb="0" eb="2">
      <t>シュルイ</t>
    </rPh>
    <phoneticPr fontId="3"/>
  </si>
  <si>
    <t>容量</t>
    <rPh sb="0" eb="2">
      <t>ヨウリョウ</t>
    </rPh>
    <phoneticPr fontId="3"/>
  </si>
  <si>
    <t>前</t>
    <rPh sb="0" eb="1">
      <t>マエ</t>
    </rPh>
    <phoneticPr fontId="3"/>
  </si>
  <si>
    <t>後</t>
    <rPh sb="0" eb="1">
      <t>アト</t>
    </rPh>
    <phoneticPr fontId="3"/>
  </si>
  <si>
    <t>ｴﾈﾙｷﾞｰ</t>
    <phoneticPr fontId="3"/>
  </si>
  <si>
    <t>更新前能力</t>
    <rPh sb="0" eb="2">
      <t>コウシン</t>
    </rPh>
    <rPh sb="2" eb="3">
      <t>マエ</t>
    </rPh>
    <rPh sb="3" eb="5">
      <t>ノウリョク</t>
    </rPh>
    <phoneticPr fontId="3"/>
  </si>
  <si>
    <t>更新後能力</t>
    <rPh sb="0" eb="2">
      <t>コウシン</t>
    </rPh>
    <rPh sb="2" eb="3">
      <t>ゴ</t>
    </rPh>
    <rPh sb="3" eb="5">
      <t>ノウリョク</t>
    </rPh>
    <phoneticPr fontId="3"/>
  </si>
  <si>
    <t>その他エネ</t>
    <rPh sb="2" eb="3">
      <t>タ</t>
    </rPh>
    <phoneticPr fontId="3"/>
  </si>
  <si>
    <t>補助電力有無</t>
    <rPh sb="0" eb="2">
      <t>ホジョ</t>
    </rPh>
    <rPh sb="2" eb="4">
      <t>デンリョク</t>
    </rPh>
    <rPh sb="4" eb="6">
      <t>ウム</t>
    </rPh>
    <phoneticPr fontId="3"/>
  </si>
  <si>
    <t>負荷率テーブル</t>
    <rPh sb="0" eb="2">
      <t>フカ</t>
    </rPh>
    <rPh sb="2" eb="3">
      <t>リツ</t>
    </rPh>
    <phoneticPr fontId="3"/>
  </si>
  <si>
    <t>赤字はR4年までの数値を変更（稼働率は無視）</t>
    <rPh sb="0" eb="2">
      <t>アカジ</t>
    </rPh>
    <rPh sb="5" eb="6">
      <t>ネン</t>
    </rPh>
    <rPh sb="9" eb="11">
      <t>スウチ</t>
    </rPh>
    <rPh sb="12" eb="14">
      <t>ヘンコウ</t>
    </rPh>
    <rPh sb="15" eb="17">
      <t>カドウ</t>
    </rPh>
    <rPh sb="17" eb="18">
      <t>リツ</t>
    </rPh>
    <rPh sb="19" eb="21">
      <t>ムシ</t>
    </rPh>
    <phoneticPr fontId="3"/>
  </si>
  <si>
    <t>更新前後のグループの対象機に同じ印をつけ、</t>
    <rPh sb="0" eb="2">
      <t>コウシン</t>
    </rPh>
    <rPh sb="2" eb="3">
      <t>マエ</t>
    </rPh>
    <rPh sb="3" eb="4">
      <t>アト</t>
    </rPh>
    <rPh sb="10" eb="12">
      <t>タイショウ</t>
    </rPh>
    <rPh sb="12" eb="13">
      <t>キ</t>
    </rPh>
    <phoneticPr fontId="3"/>
  </si>
  <si>
    <t>更新後の負担割合い合計1.0として比率を按分する。</t>
    <phoneticPr fontId="3"/>
  </si>
  <si>
    <t>更新前の定格効率～稼働時間（負荷率）の欄には数値を記入する。</t>
    <rPh sb="0" eb="2">
      <t>コウシン</t>
    </rPh>
    <rPh sb="2" eb="3">
      <t>マエ</t>
    </rPh>
    <rPh sb="4" eb="6">
      <t>テイカク</t>
    </rPh>
    <rPh sb="6" eb="8">
      <t>コウリツ</t>
    </rPh>
    <rPh sb="9" eb="11">
      <t>カドウ</t>
    </rPh>
    <rPh sb="11" eb="13">
      <t>ジカン</t>
    </rPh>
    <rPh sb="14" eb="16">
      <t>フカ</t>
    </rPh>
    <rPh sb="16" eb="17">
      <t>リツ</t>
    </rPh>
    <rPh sb="19" eb="20">
      <t>ラン</t>
    </rPh>
    <rPh sb="22" eb="24">
      <t>スウチ</t>
    </rPh>
    <rPh sb="25" eb="27">
      <t>キニュウ</t>
    </rPh>
    <phoneticPr fontId="3"/>
  </si>
  <si>
    <t>　の記入がないと結果が表示されない場合がある。その場合は、更新前の記入欄に効率値や稼働日数、稼働時間、負荷率値を記入する。</t>
    <rPh sb="2" eb="4">
      <t>キニュウ</t>
    </rPh>
    <rPh sb="8" eb="10">
      <t>ケッカ</t>
    </rPh>
    <rPh sb="11" eb="13">
      <t>ヒョウジ</t>
    </rPh>
    <rPh sb="17" eb="19">
      <t>バアイ</t>
    </rPh>
    <rPh sb="25" eb="27">
      <t>バアイ</t>
    </rPh>
    <rPh sb="29" eb="31">
      <t>コウシン</t>
    </rPh>
    <rPh sb="31" eb="32">
      <t>マエ</t>
    </rPh>
    <rPh sb="33" eb="35">
      <t>キニュウ</t>
    </rPh>
    <rPh sb="35" eb="36">
      <t>ラン</t>
    </rPh>
    <rPh sb="37" eb="39">
      <t>コウリツ</t>
    </rPh>
    <rPh sb="39" eb="40">
      <t>チ</t>
    </rPh>
    <rPh sb="41" eb="43">
      <t>カドウ</t>
    </rPh>
    <rPh sb="43" eb="45">
      <t>ニッスウ</t>
    </rPh>
    <rPh sb="46" eb="48">
      <t>カドウ</t>
    </rPh>
    <rPh sb="48" eb="50">
      <t>ジカン</t>
    </rPh>
    <rPh sb="51" eb="53">
      <t>フカ</t>
    </rPh>
    <rPh sb="53" eb="54">
      <t>リツ</t>
    </rPh>
    <rPh sb="54" eb="55">
      <t>チ</t>
    </rPh>
    <rPh sb="56" eb="58">
      <t>キニュウ</t>
    </rPh>
    <phoneticPr fontId="3"/>
  </si>
  <si>
    <t>記入する行は詰めないで空欄とする。</t>
    <rPh sb="0" eb="2">
      <t>キニュウ</t>
    </rPh>
    <rPh sb="4" eb="5">
      <t>ギョウ</t>
    </rPh>
    <rPh sb="6" eb="7">
      <t>ツ</t>
    </rPh>
    <rPh sb="11" eb="13">
      <t>クウラン</t>
    </rPh>
    <phoneticPr fontId="3"/>
  </si>
  <si>
    <t>設備種類</t>
    <rPh sb="0" eb="2">
      <t>セツビ</t>
    </rPh>
    <rPh sb="2" eb="4">
      <t>シュルイ</t>
    </rPh>
    <phoneticPr fontId="3"/>
  </si>
  <si>
    <t>容量判定</t>
    <rPh sb="0" eb="2">
      <t>ヨウリョウ</t>
    </rPh>
    <rPh sb="2" eb="4">
      <t>ハンテイ</t>
    </rPh>
    <phoneticPr fontId="3"/>
  </si>
  <si>
    <t>単位</t>
    <rPh sb="0" eb="2">
      <t>タンイ</t>
    </rPh>
    <phoneticPr fontId="3"/>
  </si>
  <si>
    <t>・更新後の機種は一部を除いて、更新前の稼働時間でエネルギー量を算出するため、同じ行の更新前の機種での稼働時間等</t>
    <rPh sb="1" eb="3">
      <t>コウシン</t>
    </rPh>
    <rPh sb="3" eb="4">
      <t>ゴ</t>
    </rPh>
    <rPh sb="5" eb="7">
      <t>キシュ</t>
    </rPh>
    <rPh sb="8" eb="10">
      <t>イチブ</t>
    </rPh>
    <rPh sb="11" eb="12">
      <t>ノゾ</t>
    </rPh>
    <rPh sb="15" eb="17">
      <t>コウシン</t>
    </rPh>
    <rPh sb="17" eb="18">
      <t>マエ</t>
    </rPh>
    <rPh sb="19" eb="21">
      <t>カドウ</t>
    </rPh>
    <rPh sb="21" eb="23">
      <t>ジカン</t>
    </rPh>
    <rPh sb="29" eb="30">
      <t>リョウ</t>
    </rPh>
    <rPh sb="31" eb="33">
      <t>サンシュツ</t>
    </rPh>
    <rPh sb="38" eb="39">
      <t>オナ</t>
    </rPh>
    <rPh sb="40" eb="41">
      <t>ギョウ</t>
    </rPh>
    <rPh sb="42" eb="44">
      <t>コウシン</t>
    </rPh>
    <rPh sb="44" eb="45">
      <t>マエ</t>
    </rPh>
    <rPh sb="46" eb="48">
      <t>キシュ</t>
    </rPh>
    <rPh sb="50" eb="52">
      <t>カドウ</t>
    </rPh>
    <rPh sb="52" eb="54">
      <t>ジカン</t>
    </rPh>
    <rPh sb="54" eb="55">
      <t>トウ</t>
    </rPh>
    <phoneticPr fontId="3"/>
  </si>
  <si>
    <t>更新後の年間燃料消費量 ＝ 発熱出力　÷　燃料の単位発熱量* ÷　更新後効率　、　　　　　発熱出力＝更新前定格燃料消費量×定格効率×燃料単位発熱量×年間稼働時間×負荷率</t>
    <rPh sb="0" eb="2">
      <t>コウシン</t>
    </rPh>
    <rPh sb="2" eb="3">
      <t>ゴ</t>
    </rPh>
    <rPh sb="6" eb="8">
      <t>ネンリョウ</t>
    </rPh>
    <rPh sb="8" eb="10">
      <t>ショウヒ</t>
    </rPh>
    <rPh sb="14" eb="16">
      <t>ハツネツ</t>
    </rPh>
    <rPh sb="16" eb="18">
      <t>シュツリョク</t>
    </rPh>
    <rPh sb="21" eb="23">
      <t>ネンリョウ</t>
    </rPh>
    <rPh sb="24" eb="26">
      <t>タンイ</t>
    </rPh>
    <rPh sb="26" eb="28">
      <t>ハツネツ</t>
    </rPh>
    <rPh sb="28" eb="29">
      <t>リョウ</t>
    </rPh>
    <rPh sb="33" eb="35">
      <t>コウシン</t>
    </rPh>
    <rPh sb="35" eb="36">
      <t>ゴ</t>
    </rPh>
    <rPh sb="36" eb="38">
      <t>コウリツ</t>
    </rPh>
    <rPh sb="45" eb="47">
      <t>ハツネツ</t>
    </rPh>
    <rPh sb="47" eb="49">
      <t>シュツリョク</t>
    </rPh>
    <rPh sb="50" eb="52">
      <t>コウシン</t>
    </rPh>
    <rPh sb="52" eb="53">
      <t>マエ</t>
    </rPh>
    <rPh sb="53" eb="55">
      <t>テイカク</t>
    </rPh>
    <rPh sb="55" eb="57">
      <t>ネンリョウ</t>
    </rPh>
    <rPh sb="57" eb="60">
      <t>ショウヒリョウ</t>
    </rPh>
    <rPh sb="61" eb="63">
      <t>テイカク</t>
    </rPh>
    <rPh sb="63" eb="65">
      <t>コウリツ</t>
    </rPh>
    <rPh sb="66" eb="68">
      <t>ネンリョウ</t>
    </rPh>
    <rPh sb="68" eb="70">
      <t>タンイ</t>
    </rPh>
    <rPh sb="70" eb="72">
      <t>ハツネツ</t>
    </rPh>
    <rPh sb="72" eb="73">
      <t>リョウ</t>
    </rPh>
    <rPh sb="74" eb="76">
      <t>ネンカン</t>
    </rPh>
    <rPh sb="76" eb="78">
      <t>カドウ</t>
    </rPh>
    <rPh sb="78" eb="80">
      <t>ジカン</t>
    </rPh>
    <rPh sb="81" eb="83">
      <t>フカ</t>
    </rPh>
    <rPh sb="83" eb="84">
      <t>リツ</t>
    </rPh>
    <phoneticPr fontId="4"/>
  </si>
  <si>
    <t>年間CO₂排出量　＝　年間電力消費量　×　電力CO₂排出係数　＋（年間消費ガス量　×ガスＣＯ₂排出係数）</t>
    <rPh sb="0" eb="1">
      <t>ネン</t>
    </rPh>
    <rPh sb="1" eb="2">
      <t>カン</t>
    </rPh>
    <rPh sb="5" eb="7">
      <t>ハイシュツ</t>
    </rPh>
    <rPh sb="7" eb="8">
      <t>リョウ</t>
    </rPh>
    <rPh sb="11" eb="12">
      <t>ネン</t>
    </rPh>
    <rPh sb="12" eb="13">
      <t>カン</t>
    </rPh>
    <rPh sb="13" eb="15">
      <t>デンリョク</t>
    </rPh>
    <rPh sb="15" eb="18">
      <t>ショウヒリョウ</t>
    </rPh>
    <rPh sb="33" eb="35">
      <t>ネンカン</t>
    </rPh>
    <rPh sb="35" eb="37">
      <t>ショウヒ</t>
    </rPh>
    <rPh sb="39" eb="40">
      <t>リョウ</t>
    </rPh>
    <rPh sb="47" eb="49">
      <t>ハイシュツ</t>
    </rPh>
    <rPh sb="49" eb="51">
      <t>ケイスウ</t>
    </rPh>
    <phoneticPr fontId="4"/>
  </si>
  <si>
    <t>（ＣＯ₂排出削減設備導入事業）</t>
    <phoneticPr fontId="4"/>
  </si>
  <si>
    <t>　埼玉県民間事業者ＣＯ２排出削減設備導入補助金　交付申請書</t>
    <rPh sb="1" eb="3">
      <t>サイタマ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</si>
</sst>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0_ ;[Red]\-#,##0\ "/>
    <numFmt numFmtId="177" formatCode="#,##0.0_ ;[Red]\-#,##0.0\ "/>
    <numFmt numFmtId="178" formatCode="0.0%"/>
    <numFmt numFmtId="179" formatCode="0.0"/>
    <numFmt numFmtId="180" formatCode="0.0_ "/>
    <numFmt numFmtId="181" formatCode="0.0_);[Red]\(0.0\)"/>
    <numFmt numFmtId="182" formatCode="0.0_ ;[Red]\-0.0\ "/>
    <numFmt numFmtId="183" formatCode="#,##0.0_ "/>
    <numFmt numFmtId="184" formatCode="#,##0.0_);[Red]\(#,##0.0\)"/>
    <numFmt numFmtId="185" formatCode="#,##0.00_ ;[Red]\-#,##0.00\ "/>
    <numFmt numFmtId="186" formatCode="0_ "/>
    <numFmt numFmtId="187" formatCode="0.000000"/>
    <numFmt numFmtId="188" formatCode="#,##0.0000_ "/>
    <numFmt numFmtId="189" formatCode="#,##0.00_ "/>
    <numFmt numFmtId="190" formatCode="#,##0.000_ "/>
    <numFmt numFmtId="191" formatCode="#,##0.000000_ "/>
    <numFmt numFmtId="192" formatCode="0.00_ "/>
    <numFmt numFmtId="193" formatCode="0_);[Red]\(0\)"/>
    <numFmt numFmtId="194" formatCode="#,##0_);[Red]\(#,##0\)"/>
    <numFmt numFmtId="195" formatCode="#,##0.000;[Red]\-#,##0.000"/>
    <numFmt numFmtId="196" formatCode="0.0000"/>
    <numFmt numFmtId="197" formatCode="0.000"/>
    <numFmt numFmtId="198" formatCode="#,##0.0;[Red]\-#,##0.0"/>
    <numFmt numFmtId="199" formatCode="#"/>
  </numFmts>
  <fonts count="71">
    <font>
      <sz val="11"/>
      <color theme="1"/>
      <name val="ＭＳ Ｐゴシック"/>
      <family val="2"/>
      <charset val="128"/>
    </font>
    <font>
      <sz val="11"/>
      <color theme="1"/>
      <name val="ＭＳ Ｐゴシック"/>
      <family val="2"/>
      <charset val="128"/>
    </font>
    <font>
      <b/>
      <sz val="18"/>
      <color theme="1"/>
      <name val="游ゴシック"/>
      <family val="3"/>
      <charset val="128"/>
      <scheme val="minor"/>
    </font>
    <font>
      <sz val="6"/>
      <name val="ＭＳ Ｐゴシック"/>
      <family val="2"/>
      <charset val="128"/>
    </font>
    <font>
      <sz val="6"/>
      <name val="游ゴシック"/>
      <family val="3"/>
      <charset val="128"/>
      <scheme val="minor"/>
    </font>
    <font>
      <sz val="11"/>
      <color theme="7"/>
      <name val="游ゴシック"/>
      <family val="2"/>
      <scheme val="minor"/>
    </font>
    <font>
      <b/>
      <sz val="11"/>
      <color theme="1"/>
      <name val="游ゴシック"/>
      <family val="3"/>
      <charset val="128"/>
      <scheme val="minor"/>
    </font>
    <font>
      <sz val="11"/>
      <color rgb="FFFF0000"/>
      <name val="游ゴシック"/>
      <family val="3"/>
      <charset val="128"/>
      <scheme val="minor"/>
    </font>
    <font>
      <sz val="11"/>
      <color rgb="FFFF0000"/>
      <name val="游ゴシック"/>
      <family val="2"/>
      <scheme val="minor"/>
    </font>
    <font>
      <sz val="1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6"/>
      <name val="游ゴシック"/>
      <family val="2"/>
      <charset val="128"/>
      <scheme val="minor"/>
    </font>
    <font>
      <sz val="11"/>
      <name val="ＭＳ Ｐゴシック"/>
      <family val="3"/>
      <charset val="128"/>
    </font>
    <font>
      <b/>
      <sz val="16"/>
      <name val="ＭＳ Ｐゴシック"/>
      <family val="3"/>
      <charset val="128"/>
    </font>
    <font>
      <sz val="6"/>
      <name val="ＭＳ Ｐゴシック"/>
      <family val="3"/>
      <charset val="128"/>
    </font>
    <font>
      <sz val="11"/>
      <color theme="1"/>
      <name val="游ゴシック"/>
      <family val="2"/>
      <charset val="128"/>
      <scheme val="minor"/>
    </font>
    <font>
      <b/>
      <sz val="11"/>
      <name val="ＭＳ Ｐゴシック"/>
      <family val="3"/>
      <charset val="128"/>
    </font>
    <font>
      <b/>
      <sz val="9"/>
      <name val="ＭＳ Ｐゴシック"/>
      <family val="3"/>
      <charset val="128"/>
    </font>
    <font>
      <sz val="8"/>
      <name val="ＭＳ Ｐゴシック"/>
      <family val="3"/>
      <charset val="128"/>
    </font>
    <font>
      <sz val="11"/>
      <color theme="1"/>
      <name val="游ゴシック"/>
      <family val="2"/>
      <scheme val="minor"/>
    </font>
    <font>
      <b/>
      <sz val="10"/>
      <color theme="1"/>
      <name val="ＭＳ Ｐゴシック"/>
      <family val="3"/>
      <charset val="128"/>
    </font>
    <font>
      <b/>
      <sz val="10"/>
      <color theme="1"/>
      <name val="ＭＳ Ｐ明朝"/>
      <family val="1"/>
      <charset val="128"/>
    </font>
    <font>
      <sz val="11"/>
      <color rgb="FFFF0000"/>
      <name val="ＭＳ Ｐゴシック"/>
      <family val="2"/>
      <charset val="128"/>
    </font>
    <font>
      <sz val="11"/>
      <color rgb="FFFF0000"/>
      <name val="ＭＳ Ｐゴシック"/>
      <family val="3"/>
      <charset val="128"/>
    </font>
    <font>
      <i/>
      <sz val="11"/>
      <name val="游ゴシック"/>
      <family val="3"/>
      <charset val="128"/>
      <scheme val="minor"/>
    </font>
    <font>
      <sz val="12"/>
      <color theme="1"/>
      <name val="ＭＳ Ｐゴシック"/>
      <family val="2"/>
      <charset val="128"/>
    </font>
    <font>
      <sz val="12"/>
      <color theme="1"/>
      <name val="ＭＳ Ｐゴシック"/>
      <family val="3"/>
      <charset val="128"/>
    </font>
    <font>
      <sz val="11"/>
      <color rgb="FF000000"/>
      <name val="Calibri"/>
      <family val="2"/>
    </font>
    <font>
      <sz val="11"/>
      <color rgb="FF000000"/>
      <name val="游ゴシック"/>
      <family val="3"/>
      <charset val="128"/>
    </font>
    <font>
      <sz val="10"/>
      <color theme="1"/>
      <name val="ＭＳ Ｐゴシック"/>
      <family val="2"/>
      <charset val="128"/>
    </font>
    <font>
      <i/>
      <sz val="11"/>
      <name val="ＭＳ Ｐゴシック"/>
      <family val="3"/>
      <charset val="128"/>
    </font>
    <font>
      <b/>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b/>
      <sz val="10"/>
      <color rgb="FFFF0000"/>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6"/>
      <color theme="1"/>
      <name val="ＭＳ Ｐゴシック"/>
      <family val="2"/>
      <charset val="128"/>
    </font>
    <font>
      <i/>
      <sz val="8"/>
      <color theme="1"/>
      <name val="游ゴシック"/>
      <family val="3"/>
      <charset val="128"/>
      <scheme val="minor"/>
    </font>
    <font>
      <sz val="11"/>
      <color theme="1"/>
      <name val="ＭＳ Ｐゴシック"/>
      <family val="3"/>
      <charset val="128"/>
    </font>
    <font>
      <sz val="9"/>
      <color theme="1"/>
      <name val="ＭＳ Ｐゴシック"/>
      <family val="3"/>
      <charset val="128"/>
    </font>
    <font>
      <sz val="8"/>
      <color theme="1"/>
      <name val="ＭＳ Ｐゴシック"/>
      <family val="3"/>
      <charset val="128"/>
    </font>
    <font>
      <vertAlign val="subscript"/>
      <sz val="9"/>
      <color theme="1"/>
      <name val="ＭＳ Ｐゴシック"/>
      <family val="3"/>
      <charset val="128"/>
    </font>
    <font>
      <b/>
      <sz val="11"/>
      <color theme="1"/>
      <name val="ＭＳ Ｐゴシック"/>
      <family val="3"/>
      <charset val="128"/>
    </font>
    <font>
      <i/>
      <sz val="11"/>
      <color theme="1"/>
      <name val="ＭＳ Ｐゴシック"/>
      <family val="3"/>
      <charset val="128"/>
    </font>
    <font>
      <b/>
      <sz val="10"/>
      <color rgb="FFFF0000"/>
      <name val="ＭＳ Ｐゴシック"/>
      <family val="3"/>
      <charset val="128"/>
    </font>
    <font>
      <sz val="10"/>
      <color theme="1"/>
      <name val="ＭＳ Ｐゴシック"/>
      <family val="3"/>
      <charset val="128"/>
    </font>
    <font>
      <sz val="10"/>
      <color rgb="FFFF0000"/>
      <name val="ＭＳ Ｐゴシック"/>
      <family val="3"/>
      <charset val="128"/>
    </font>
    <font>
      <b/>
      <sz val="6"/>
      <color rgb="FFFF0000"/>
      <name val="ＭＳ Ｐゴシック"/>
      <family val="3"/>
      <charset val="128"/>
    </font>
    <font>
      <sz val="8"/>
      <name val="游ゴシック"/>
      <family val="2"/>
      <charset val="128"/>
      <scheme val="minor"/>
    </font>
    <font>
      <b/>
      <sz val="18"/>
      <color theme="1"/>
      <name val="ＭＳ Ｐゴシック"/>
      <family val="3"/>
      <charset val="128"/>
    </font>
    <font>
      <sz val="11"/>
      <color theme="7"/>
      <name val="ＭＳ Ｐゴシック"/>
      <family val="3"/>
      <charset val="128"/>
    </font>
    <font>
      <sz val="10"/>
      <color rgb="FFFF0000"/>
      <name val="游ゴシック"/>
      <family val="3"/>
      <charset val="128"/>
      <scheme val="minor"/>
    </font>
    <font>
      <sz val="9"/>
      <color theme="1"/>
      <name val="ＭＳ Ｐゴシック"/>
      <family val="2"/>
      <charset val="128"/>
    </font>
    <font>
      <sz val="8"/>
      <color theme="1"/>
      <name val="ＭＳ Ｐゴシック"/>
      <family val="2"/>
      <charset val="128"/>
    </font>
    <font>
      <sz val="11"/>
      <color rgb="FF00B0F0"/>
      <name val="ＭＳ Ｐゴシック"/>
      <family val="3"/>
      <charset val="128"/>
    </font>
    <font>
      <sz val="11"/>
      <color rgb="FF000000"/>
      <name val="ＭＳ ゴシック"/>
      <family val="3"/>
      <charset val="128"/>
    </font>
    <font>
      <sz val="11"/>
      <color rgb="FF000000"/>
      <name val="Calibri"/>
      <family val="3"/>
      <charset val="128"/>
    </font>
    <font>
      <sz val="7"/>
      <color theme="1"/>
      <name val="ＭＳ Ｐゴシック"/>
      <family val="3"/>
      <charset val="128"/>
    </font>
    <font>
      <sz val="11"/>
      <name val="ＭＳ Ｐゴシック"/>
      <family val="2"/>
      <charset val="128"/>
    </font>
    <font>
      <sz val="11"/>
      <color theme="1"/>
      <name val="游ゴシック"/>
      <family val="3"/>
      <charset val="128"/>
    </font>
    <font>
      <sz val="11"/>
      <name val="游ゴシック"/>
      <family val="3"/>
      <charset val="128"/>
    </font>
    <font>
      <sz val="10"/>
      <color theme="1"/>
      <name val="游ゴシック"/>
      <family val="3"/>
      <charset val="128"/>
    </font>
    <font>
      <b/>
      <sz val="12"/>
      <color theme="1"/>
      <name val="游ゴシック"/>
      <family val="3"/>
      <charset val="128"/>
    </font>
    <font>
      <sz val="14"/>
      <color theme="1"/>
      <name val="游ゴシック"/>
      <family val="3"/>
      <charset val="128"/>
    </font>
    <font>
      <sz val="9"/>
      <name val="ＭＳ Ｐゴシック"/>
      <family val="3"/>
      <charset val="128"/>
    </font>
    <font>
      <sz val="7"/>
      <name val="ＭＳ Ｐゴシック"/>
      <family val="3"/>
      <charset val="128"/>
    </font>
    <font>
      <sz val="9"/>
      <color indexed="81"/>
      <name val="MS P ゴシック"/>
      <family val="3"/>
      <charset val="128"/>
    </font>
    <font>
      <b/>
      <sz val="10"/>
      <name val="游ゴシック"/>
      <family val="3"/>
      <charset val="128"/>
      <scheme val="minor"/>
    </font>
  </fonts>
  <fills count="18">
    <fill>
      <patternFill patternType="none"/>
    </fill>
    <fill>
      <patternFill patternType="gray125"/>
    </fill>
    <fill>
      <patternFill patternType="solid">
        <fgColor theme="3"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5" tint="0.599963377788628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8" tint="0.59999389629810485"/>
        <bgColor indexed="64"/>
      </patternFill>
    </fill>
    <fill>
      <patternFill patternType="solid">
        <fgColor theme="0"/>
        <bgColor indexed="64"/>
      </patternFill>
    </fill>
  </fills>
  <borders count="7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uble">
        <color indexed="64"/>
      </left>
      <right/>
      <top style="thin">
        <color indexed="64"/>
      </top>
      <bottom/>
      <diagonal/>
    </border>
    <border>
      <left style="double">
        <color indexed="64"/>
      </left>
      <right/>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auto="1"/>
      </left>
      <right/>
      <top style="thin">
        <color auto="1"/>
      </top>
      <bottom style="medium">
        <color auto="1"/>
      </bottom>
      <diagonal style="thin">
        <color auto="1"/>
      </diagonal>
    </border>
    <border diagonalUp="1">
      <left/>
      <right style="thin">
        <color indexed="64"/>
      </right>
      <top style="thin">
        <color indexed="64"/>
      </top>
      <bottom style="medium">
        <color indexed="64"/>
      </bottom>
      <diagonal style="thin">
        <color indexed="64"/>
      </diagonal>
    </border>
    <border diagonalUp="1">
      <left style="double">
        <color indexed="64"/>
      </left>
      <right style="thin">
        <color indexed="64"/>
      </right>
      <top style="thin">
        <color indexed="64"/>
      </top>
      <bottom style="medium">
        <color indexed="64"/>
      </bottom>
      <diagonal style="thin">
        <color indexed="64"/>
      </diagonal>
    </border>
    <border>
      <left style="thin">
        <color indexed="64"/>
      </left>
      <right style="thin">
        <color auto="1"/>
      </right>
      <top/>
      <bottom style="medium">
        <color auto="1"/>
      </bottom>
      <diagonal/>
    </border>
  </borders>
  <cellStyleXfs count="1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0" borderId="0">
      <alignment vertical="center"/>
    </xf>
    <xf numFmtId="0" fontId="16" fillId="0" borderId="0">
      <alignment vertical="center"/>
    </xf>
    <xf numFmtId="38" fontId="13" fillId="0" borderId="0" applyFont="0" applyFill="0" applyBorder="0" applyAlignment="0" applyProtection="0">
      <alignment vertical="center"/>
    </xf>
    <xf numFmtId="0" fontId="20" fillId="0" borderId="0"/>
    <xf numFmtId="9" fontId="20" fillId="0" borderId="0" applyFont="0" applyFill="0" applyBorder="0" applyAlignment="0" applyProtection="0">
      <alignment vertical="center"/>
    </xf>
    <xf numFmtId="0" fontId="20" fillId="0" borderId="0"/>
    <xf numFmtId="9" fontId="20"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1147">
    <xf numFmtId="0" fontId="0" fillId="0" borderId="0" xfId="0">
      <alignment vertical="center"/>
    </xf>
    <xf numFmtId="0" fontId="0" fillId="0" borderId="0" xfId="0" applyAlignment="1" applyProtection="1"/>
    <xf numFmtId="0" fontId="0" fillId="0" borderId="0" xfId="0" applyFill="1" applyBorder="1" applyAlignment="1"/>
    <xf numFmtId="0" fontId="0" fillId="0" borderId="0" xfId="0" applyFill="1" applyBorder="1" applyAlignment="1" applyProtection="1">
      <alignment horizontal="center"/>
      <protection locked="0"/>
    </xf>
    <xf numFmtId="0" fontId="0" fillId="0" borderId="0" xfId="0" applyFill="1" applyBorder="1" applyAlignment="1" applyProtection="1">
      <alignment shrinkToFit="1"/>
      <protection locked="0"/>
    </xf>
    <xf numFmtId="0" fontId="5" fillId="0" borderId="0" xfId="0" applyFont="1" applyFill="1" applyBorder="1" applyAlignment="1"/>
    <xf numFmtId="0" fontId="0" fillId="0" borderId="0" xfId="0" applyAlignment="1" applyProtection="1">
      <alignment horizontal="center"/>
    </xf>
    <xf numFmtId="0" fontId="0" fillId="2" borderId="3" xfId="0" applyFill="1" applyBorder="1" applyAlignment="1">
      <alignment horizontal="center" vertical="center"/>
    </xf>
    <xf numFmtId="9" fontId="0" fillId="2" borderId="3" xfId="2" applyFont="1" applyFill="1" applyBorder="1" applyAlignment="1">
      <alignment horizontal="center" vertical="center"/>
    </xf>
    <xf numFmtId="0" fontId="0" fillId="2" borderId="3" xfId="0" applyFill="1" applyBorder="1" applyAlignment="1" applyProtection="1">
      <alignment horizontal="center" wrapText="1"/>
    </xf>
    <xf numFmtId="0" fontId="0" fillId="0" borderId="0" xfId="0" applyFill="1" applyBorder="1" applyAlignment="1">
      <alignment horizontal="left" vertical="top"/>
    </xf>
    <xf numFmtId="0" fontId="0" fillId="0" borderId="0" xfId="0" applyAlignment="1"/>
    <xf numFmtId="0" fontId="8" fillId="0" borderId="0" xfId="0" applyFont="1" applyAlignment="1" applyProtection="1"/>
    <xf numFmtId="0" fontId="2" fillId="0" borderId="0" xfId="0" applyFont="1" applyAlignment="1"/>
    <xf numFmtId="0" fontId="0" fillId="0" borderId="0" xfId="0" applyFill="1" applyBorder="1" applyAlignment="1" applyProtection="1">
      <protection locked="0"/>
    </xf>
    <xf numFmtId="0" fontId="8" fillId="0" borderId="0" xfId="0" applyFont="1" applyAlignment="1"/>
    <xf numFmtId="0" fontId="0" fillId="2" borderId="3" xfId="0" applyFill="1" applyBorder="1" applyAlignment="1" applyProtection="1"/>
    <xf numFmtId="0" fontId="0" fillId="2" borderId="4" xfId="0" applyFill="1" applyBorder="1" applyAlignment="1" applyProtection="1">
      <alignment vertical="center"/>
    </xf>
    <xf numFmtId="0" fontId="0" fillId="2" borderId="3" xfId="0" applyFill="1" applyBorder="1" applyAlignment="1" applyProtection="1">
      <alignment horizontal="left"/>
    </xf>
    <xf numFmtId="0" fontId="0" fillId="2" borderId="1" xfId="0" applyFill="1" applyBorder="1" applyAlignment="1" applyProtection="1">
      <alignment vertical="center"/>
    </xf>
    <xf numFmtId="0" fontId="0" fillId="2" borderId="3" xfId="0" applyFill="1" applyBorder="1" applyAlignment="1" applyProtection="1">
      <alignment vertical="center"/>
    </xf>
    <xf numFmtId="0" fontId="0" fillId="2" borderId="3" xfId="0" applyFill="1" applyBorder="1" applyAlignment="1" applyProtection="1">
      <alignment horizontal="center" vertical="top" wrapText="1"/>
    </xf>
    <xf numFmtId="0" fontId="0" fillId="2" borderId="3" xfId="0" applyFill="1" applyBorder="1" applyAlignment="1" applyProtection="1">
      <alignment shrinkToFit="1"/>
    </xf>
    <xf numFmtId="0" fontId="14" fillId="0" borderId="0" xfId="3" applyFont="1" applyAlignment="1" applyProtection="1">
      <alignment vertical="top"/>
    </xf>
    <xf numFmtId="0" fontId="13" fillId="0" borderId="0" xfId="3" applyFont="1" applyAlignment="1" applyProtection="1">
      <alignment vertical="center"/>
    </xf>
    <xf numFmtId="0" fontId="13" fillId="0" borderId="0" xfId="3" applyFont="1" applyFill="1" applyAlignment="1" applyProtection="1">
      <alignment vertical="center"/>
    </xf>
    <xf numFmtId="0" fontId="17" fillId="7" borderId="3" xfId="3" applyFont="1" applyFill="1" applyBorder="1" applyAlignment="1" applyProtection="1">
      <alignment vertical="center"/>
    </xf>
    <xf numFmtId="0" fontId="18" fillId="7" borderId="3" xfId="3" applyFont="1" applyFill="1" applyBorder="1" applyAlignment="1" applyProtection="1">
      <alignment vertical="center" wrapText="1" shrinkToFit="1"/>
    </xf>
    <xf numFmtId="0" fontId="17" fillId="7" borderId="3" xfId="3" applyFont="1" applyFill="1" applyBorder="1" applyAlignment="1" applyProtection="1">
      <alignment vertical="center" wrapText="1" shrinkToFit="1"/>
    </xf>
    <xf numFmtId="0" fontId="17" fillId="7" borderId="3" xfId="3" applyFont="1" applyFill="1" applyBorder="1" applyAlignment="1" applyProtection="1">
      <alignment vertical="center" shrinkToFit="1"/>
    </xf>
    <xf numFmtId="0" fontId="17" fillId="7" borderId="3" xfId="3" applyFont="1" applyFill="1" applyBorder="1" applyAlignment="1" applyProtection="1">
      <alignment horizontal="center" vertical="center" wrapText="1"/>
    </xf>
    <xf numFmtId="187" fontId="17" fillId="7" borderId="3" xfId="3" applyNumberFormat="1" applyFont="1" applyFill="1" applyBorder="1" applyAlignment="1" applyProtection="1">
      <alignment horizontal="center" vertical="center" wrapText="1"/>
    </xf>
    <xf numFmtId="0" fontId="13" fillId="0" borderId="3" xfId="3" applyFont="1" applyBorder="1" applyAlignment="1" applyProtection="1">
      <alignment vertical="center" shrinkToFit="1"/>
    </xf>
    <xf numFmtId="0" fontId="0" fillId="0" borderId="3" xfId="5" applyNumberFormat="1" applyFont="1" applyFill="1" applyBorder="1" applyAlignment="1" applyProtection="1">
      <alignment horizontal="center" vertical="center" shrinkToFit="1"/>
    </xf>
    <xf numFmtId="0" fontId="15" fillId="0" borderId="3" xfId="5" applyNumberFormat="1" applyFont="1" applyBorder="1" applyAlignment="1" applyProtection="1">
      <alignment horizontal="center" vertical="center" wrapText="1" shrinkToFit="1"/>
    </xf>
    <xf numFmtId="187" fontId="13" fillId="0" borderId="3" xfId="5" applyNumberFormat="1" applyFont="1" applyBorder="1" applyAlignment="1" applyProtection="1">
      <alignment horizontal="center" vertical="center" wrapText="1" shrinkToFit="1"/>
    </xf>
    <xf numFmtId="0" fontId="15" fillId="0" borderId="3" xfId="5" applyNumberFormat="1" applyFont="1" applyFill="1" applyBorder="1" applyAlignment="1" applyProtection="1">
      <alignment horizontal="center" vertical="center" wrapText="1" shrinkToFit="1"/>
    </xf>
    <xf numFmtId="187" fontId="13" fillId="0" borderId="3" xfId="5" applyNumberFormat="1" applyFont="1" applyFill="1" applyBorder="1" applyAlignment="1" applyProtection="1">
      <alignment horizontal="center" vertical="center" wrapText="1" shrinkToFit="1"/>
    </xf>
    <xf numFmtId="0" fontId="13" fillId="0" borderId="3" xfId="3" applyFont="1" applyBorder="1" applyAlignment="1" applyProtection="1">
      <alignment vertical="center"/>
    </xf>
    <xf numFmtId="0" fontId="19" fillId="0" borderId="3" xfId="5" applyNumberFormat="1" applyFont="1" applyFill="1" applyBorder="1" applyAlignment="1" applyProtection="1">
      <alignment horizontal="center" vertical="center" wrapText="1" shrinkToFit="1"/>
    </xf>
    <xf numFmtId="0" fontId="20" fillId="0" borderId="0" xfId="6"/>
    <xf numFmtId="192" fontId="20" fillId="0" borderId="0" xfId="6" applyNumberFormat="1"/>
    <xf numFmtId="178" fontId="0" fillId="0" borderId="0" xfId="7" applyNumberFormat="1" applyFont="1" applyAlignment="1"/>
    <xf numFmtId="180" fontId="20" fillId="0" borderId="0" xfId="6" applyNumberFormat="1"/>
    <xf numFmtId="186" fontId="20" fillId="0" borderId="0" xfId="6" applyNumberFormat="1"/>
    <xf numFmtId="178" fontId="20" fillId="0" borderId="0" xfId="6" applyNumberFormat="1"/>
    <xf numFmtId="193" fontId="20" fillId="0" borderId="0" xfId="6" applyNumberFormat="1"/>
    <xf numFmtId="0" fontId="20" fillId="0" borderId="0" xfId="6" applyAlignment="1">
      <alignment horizontal="center" vertical="center"/>
    </xf>
    <xf numFmtId="0" fontId="20" fillId="2" borderId="3" xfId="6" applyFill="1" applyBorder="1" applyAlignment="1">
      <alignment horizontal="center" vertical="center"/>
    </xf>
    <xf numFmtId="194" fontId="20" fillId="2" borderId="3" xfId="6" applyNumberFormat="1" applyFill="1" applyBorder="1" applyAlignment="1">
      <alignment horizontal="center" vertical="center"/>
    </xf>
    <xf numFmtId="194" fontId="20" fillId="0" borderId="0" xfId="6" applyNumberFormat="1" applyAlignment="1">
      <alignment horizontal="center"/>
    </xf>
    <xf numFmtId="0" fontId="20" fillId="0" borderId="3" xfId="6" applyBorder="1" applyAlignment="1">
      <alignment horizontal="center" vertical="center"/>
    </xf>
    <xf numFmtId="180" fontId="20" fillId="0" borderId="3" xfId="6" applyNumberFormat="1" applyBorder="1"/>
    <xf numFmtId="194" fontId="20" fillId="0" borderId="3" xfId="6" applyNumberFormat="1" applyBorder="1"/>
    <xf numFmtId="194" fontId="20" fillId="0" borderId="0" xfId="6" applyNumberFormat="1"/>
    <xf numFmtId="194" fontId="20" fillId="0" borderId="17" xfId="6" applyNumberFormat="1" applyBorder="1"/>
    <xf numFmtId="0" fontId="0" fillId="2" borderId="3" xfId="0" applyFill="1" applyBorder="1" applyAlignment="1" applyProtection="1">
      <alignment horizontal="center" shrinkToFit="1"/>
    </xf>
    <xf numFmtId="0" fontId="21" fillId="0" borderId="0" xfId="0" applyFont="1">
      <alignment vertical="center"/>
    </xf>
    <xf numFmtId="0" fontId="22" fillId="0" borderId="0" xfId="0" applyFont="1">
      <alignment vertical="center"/>
    </xf>
    <xf numFmtId="0" fontId="0" fillId="0" borderId="3" xfId="0" applyBorder="1">
      <alignment vertical="center"/>
    </xf>
    <xf numFmtId="0" fontId="0" fillId="0" borderId="3" xfId="0" applyBorder="1" applyAlignment="1">
      <alignment horizontal="center" vertical="center"/>
    </xf>
    <xf numFmtId="180" fontId="0" fillId="0" borderId="3" xfId="0" applyNumberFormat="1" applyBorder="1" applyAlignment="1">
      <alignment horizontal="center" vertical="center"/>
    </xf>
    <xf numFmtId="0" fontId="0" fillId="2" borderId="1" xfId="0" applyFill="1" applyBorder="1" applyAlignment="1" applyProtection="1">
      <alignment horizontal="center" vertical="top" wrapText="1"/>
    </xf>
    <xf numFmtId="0" fontId="0" fillId="2" borderId="3" xfId="0" applyFill="1" applyBorder="1" applyAlignment="1" applyProtection="1">
      <alignment horizontal="center"/>
    </xf>
    <xf numFmtId="0" fontId="0" fillId="2" borderId="1" xfId="0" applyFill="1" applyBorder="1" applyAlignment="1" applyProtection="1">
      <alignment horizontal="center"/>
    </xf>
    <xf numFmtId="0" fontId="0" fillId="2" borderId="3"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1" xfId="0" applyFill="1" applyBorder="1" applyAlignment="1" applyProtection="1">
      <alignment horizontal="center" wrapText="1"/>
    </xf>
    <xf numFmtId="0" fontId="20" fillId="0" borderId="0" xfId="8" applyAlignment="1" applyProtection="1">
      <alignment vertical="center"/>
      <protection locked="0"/>
    </xf>
    <xf numFmtId="0" fontId="2" fillId="0" borderId="0" xfId="0" applyFont="1" applyAlignment="1" applyProtection="1">
      <protection locked="0"/>
    </xf>
    <xf numFmtId="0" fontId="0" fillId="0" borderId="0" xfId="0" applyAlignment="1" applyProtection="1">
      <protection locked="0"/>
    </xf>
    <xf numFmtId="0" fontId="5" fillId="0" borderId="0" xfId="0" applyFont="1" applyFill="1" applyBorder="1" applyAlignment="1" applyProtection="1">
      <protection locked="0"/>
    </xf>
    <xf numFmtId="0" fontId="0" fillId="0" borderId="0" xfId="0" applyProtection="1">
      <alignment vertical="center"/>
      <protection locked="0"/>
    </xf>
    <xf numFmtId="0" fontId="0" fillId="0" borderId="0" xfId="0" applyAlignment="1" applyProtection="1">
      <alignment horizontal="center"/>
      <protection locked="0"/>
    </xf>
    <xf numFmtId="0" fontId="0" fillId="0" borderId="0" xfId="0" applyBorder="1" applyAlignment="1" applyProtection="1">
      <protection locked="0"/>
    </xf>
    <xf numFmtId="0" fontId="7" fillId="0" borderId="0" xfId="0" applyFont="1" applyFill="1" applyAlignment="1" applyProtection="1">
      <protection locked="0"/>
    </xf>
    <xf numFmtId="0" fontId="8" fillId="0" borderId="0" xfId="0" applyFont="1" applyAlignment="1" applyProtection="1">
      <protection locked="0"/>
    </xf>
    <xf numFmtId="178" fontId="0" fillId="0" borderId="3" xfId="0" applyNumberFormat="1" applyBorder="1" applyAlignment="1" applyProtection="1">
      <protection locked="0"/>
    </xf>
    <xf numFmtId="0" fontId="20" fillId="0" borderId="0" xfId="8" applyProtection="1">
      <protection locked="0"/>
    </xf>
    <xf numFmtId="9" fontId="20" fillId="0" borderId="0" xfId="8" applyNumberFormat="1" applyProtection="1">
      <protection locked="0"/>
    </xf>
    <xf numFmtId="0" fontId="20" fillId="0" borderId="3" xfId="8" applyBorder="1" applyProtection="1">
      <protection locked="0"/>
    </xf>
    <xf numFmtId="9" fontId="0" fillId="0" borderId="3" xfId="9" applyFont="1" applyFill="1" applyBorder="1" applyAlignment="1" applyProtection="1">
      <protection locked="0"/>
    </xf>
    <xf numFmtId="9" fontId="20" fillId="0" borderId="3" xfId="8" applyNumberFormat="1" applyBorder="1" applyProtection="1">
      <protection locked="0"/>
    </xf>
    <xf numFmtId="178" fontId="0" fillId="0" borderId="3" xfId="9" applyNumberFormat="1" applyFont="1" applyFill="1" applyBorder="1" applyAlignment="1" applyProtection="1">
      <protection locked="0"/>
    </xf>
    <xf numFmtId="178" fontId="20" fillId="0" borderId="3" xfId="8" applyNumberFormat="1" applyBorder="1" applyProtection="1">
      <protection locked="0"/>
    </xf>
    <xf numFmtId="0" fontId="20" fillId="0" borderId="3" xfId="8" applyBorder="1" applyAlignment="1" applyProtection="1">
      <alignment vertical="center"/>
      <protection locked="0"/>
    </xf>
    <xf numFmtId="9" fontId="20" fillId="0" borderId="3" xfId="8" applyNumberFormat="1" applyBorder="1" applyAlignment="1" applyProtection="1">
      <alignment vertical="center"/>
      <protection locked="0"/>
    </xf>
    <xf numFmtId="9" fontId="20" fillId="8" borderId="24" xfId="8" applyNumberFormat="1" applyFill="1" applyBorder="1" applyProtection="1">
      <protection locked="0"/>
    </xf>
    <xf numFmtId="9" fontId="20" fillId="0" borderId="25" xfId="8" applyNumberFormat="1" applyBorder="1" applyProtection="1">
      <protection locked="0"/>
    </xf>
    <xf numFmtId="9" fontId="20" fillId="0" borderId="26" xfId="8" applyNumberFormat="1" applyBorder="1" applyProtection="1">
      <protection locked="0"/>
    </xf>
    <xf numFmtId="9" fontId="20" fillId="8" borderId="27" xfId="8" applyNumberFormat="1" applyFill="1" applyBorder="1" applyProtection="1">
      <protection locked="0"/>
    </xf>
    <xf numFmtId="9" fontId="20" fillId="0" borderId="10" xfId="8" applyNumberFormat="1" applyBorder="1" applyProtection="1">
      <protection locked="0"/>
    </xf>
    <xf numFmtId="9" fontId="20" fillId="0" borderId="28" xfId="8" applyNumberFormat="1" applyBorder="1" applyProtection="1">
      <protection locked="0"/>
    </xf>
    <xf numFmtId="9" fontId="20" fillId="0" borderId="7" xfId="8" applyNumberFormat="1" applyBorder="1" applyProtection="1">
      <protection locked="0"/>
    </xf>
    <xf numFmtId="178" fontId="20" fillId="0" borderId="8" xfId="8" applyNumberFormat="1" applyBorder="1" applyProtection="1">
      <protection locked="0"/>
    </xf>
    <xf numFmtId="0" fontId="20" fillId="0" borderId="0" xfId="8" applyFill="1" applyAlignment="1" applyProtection="1">
      <alignment vertical="center"/>
      <protection locked="0"/>
    </xf>
    <xf numFmtId="9" fontId="20" fillId="0" borderId="11" xfId="8" applyNumberFormat="1" applyBorder="1" applyProtection="1">
      <protection locked="0"/>
    </xf>
    <xf numFmtId="178" fontId="20" fillId="0" borderId="12" xfId="8" applyNumberFormat="1" applyBorder="1" applyProtection="1">
      <protection locked="0"/>
    </xf>
    <xf numFmtId="178" fontId="20" fillId="0" borderId="13" xfId="8" applyNumberFormat="1" applyBorder="1" applyProtection="1">
      <protection locked="0"/>
    </xf>
    <xf numFmtId="0" fontId="20" fillId="0" borderId="0" xfId="8" applyAlignment="1" applyProtection="1">
      <alignment horizontal="right" vertical="center"/>
      <protection locked="0"/>
    </xf>
    <xf numFmtId="0" fontId="0" fillId="0" borderId="3" xfId="0" applyBorder="1" applyAlignment="1" applyProtection="1">
      <protection locked="0"/>
    </xf>
    <xf numFmtId="0" fontId="6" fillId="8" borderId="3" xfId="0" applyFont="1" applyFill="1" applyBorder="1" applyAlignment="1" applyProtection="1">
      <protection locked="0"/>
    </xf>
    <xf numFmtId="178" fontId="0" fillId="0" borderId="3" xfId="9" applyNumberFormat="1" applyFont="1" applyBorder="1" applyAlignment="1" applyProtection="1">
      <protection locked="0"/>
    </xf>
    <xf numFmtId="0" fontId="0" fillId="9" borderId="3" xfId="0" applyFill="1" applyBorder="1" applyAlignment="1" applyProtection="1">
      <alignment horizontal="center"/>
      <protection locked="0"/>
    </xf>
    <xf numFmtId="178" fontId="0" fillId="9" borderId="3" xfId="0" applyNumberFormat="1" applyFill="1" applyBorder="1" applyAlignment="1" applyProtection="1">
      <protection locked="0"/>
    </xf>
    <xf numFmtId="9" fontId="0" fillId="0" borderId="3" xfId="9" applyFont="1" applyBorder="1" applyAlignment="1" applyProtection="1">
      <protection locked="0"/>
    </xf>
    <xf numFmtId="0" fontId="0" fillId="0" borderId="0" xfId="0" applyProtection="1">
      <alignment vertical="center"/>
    </xf>
    <xf numFmtId="0" fontId="26" fillId="0" borderId="0" xfId="0" applyFont="1" applyAlignment="1" applyProtection="1">
      <protection locked="0"/>
    </xf>
    <xf numFmtId="0" fontId="28" fillId="0" borderId="0" xfId="0" applyFont="1" applyAlignment="1">
      <alignment horizontal="left" vertical="center"/>
    </xf>
    <xf numFmtId="0" fontId="26" fillId="0" borderId="0" xfId="0" applyFont="1" applyAlignment="1" applyProtection="1">
      <alignment vertical="center"/>
      <protection locked="0"/>
    </xf>
    <xf numFmtId="0" fontId="26" fillId="0" borderId="0" xfId="0" applyFont="1" applyProtection="1">
      <alignment vertical="center"/>
      <protection locked="0"/>
    </xf>
    <xf numFmtId="0" fontId="0" fillId="2" borderId="4" xfId="0" applyFill="1" applyBorder="1" applyAlignment="1" applyProtection="1">
      <alignment vertical="top"/>
    </xf>
    <xf numFmtId="0" fontId="0" fillId="2" borderId="2" xfId="0" applyFill="1" applyBorder="1" applyAlignment="1" applyProtection="1">
      <alignment vertical="top"/>
    </xf>
    <xf numFmtId="9" fontId="0" fillId="2" borderId="3" xfId="7" applyFont="1" applyFill="1" applyBorder="1" applyAlignment="1" applyProtection="1">
      <alignment horizontal="center" vertical="center"/>
    </xf>
    <xf numFmtId="0" fontId="25" fillId="4" borderId="3" xfId="0" applyFont="1" applyFill="1" applyBorder="1" applyAlignment="1" applyProtection="1">
      <alignment horizontal="center"/>
    </xf>
    <xf numFmtId="0" fontId="0" fillId="2" borderId="4" xfId="0" applyFill="1" applyBorder="1" applyAlignment="1" applyProtection="1">
      <alignment horizontal="centerContinuous"/>
    </xf>
    <xf numFmtId="0" fontId="0" fillId="2" borderId="22" xfId="0" applyFill="1" applyBorder="1" applyAlignment="1" applyProtection="1">
      <alignment horizontal="centerContinuous"/>
    </xf>
    <xf numFmtId="0" fontId="0" fillId="2" borderId="3" xfId="0" applyNumberFormat="1" applyFill="1" applyBorder="1" applyAlignment="1" applyProtection="1">
      <alignment horizontal="center" vertical="top" wrapText="1"/>
    </xf>
    <xf numFmtId="0" fontId="0" fillId="2" borderId="39" xfId="0" applyFill="1" applyBorder="1" applyAlignment="1" applyProtection="1">
      <alignment horizontal="center" vertical="top" wrapText="1"/>
    </xf>
    <xf numFmtId="0" fontId="0" fillId="2" borderId="23" xfId="0" applyFill="1" applyBorder="1" applyAlignment="1" applyProtection="1">
      <alignment horizontal="center" vertical="top" wrapText="1"/>
    </xf>
    <xf numFmtId="0" fontId="0" fillId="2" borderId="38" xfId="0" applyFill="1" applyBorder="1" applyAlignment="1" applyProtection="1">
      <alignment horizontal="center"/>
    </xf>
    <xf numFmtId="0" fontId="0" fillId="2" borderId="38" xfId="0" applyFill="1" applyBorder="1" applyAlignment="1" applyProtection="1">
      <alignment horizontal="center" wrapText="1"/>
    </xf>
    <xf numFmtId="0" fontId="0" fillId="2" borderId="23" xfId="0" applyFill="1" applyBorder="1" applyAlignment="1" applyProtection="1">
      <alignment horizontal="center"/>
    </xf>
    <xf numFmtId="0" fontId="0" fillId="2" borderId="3" xfId="0" applyFill="1" applyBorder="1" applyAlignment="1" applyProtection="1">
      <alignment horizontal="center" vertical="center" wrapText="1"/>
    </xf>
    <xf numFmtId="0" fontId="0" fillId="2" borderId="2" xfId="0" applyFill="1" applyBorder="1" applyAlignment="1" applyProtection="1">
      <alignment horizontal="centerContinuous"/>
    </xf>
    <xf numFmtId="0" fontId="0" fillId="2" borderId="3" xfId="0" applyFill="1" applyBorder="1" applyAlignment="1" applyProtection="1">
      <alignment horizontal="center" vertical="center" shrinkToFit="1"/>
    </xf>
    <xf numFmtId="0" fontId="39" fillId="2" borderId="3" xfId="0" applyFont="1" applyFill="1" applyBorder="1" applyAlignment="1" applyProtection="1">
      <alignment horizontal="center" vertical="center" wrapText="1" shrinkToFit="1"/>
    </xf>
    <xf numFmtId="0" fontId="0" fillId="2" borderId="3" xfId="0" applyFill="1" applyBorder="1" applyAlignment="1" applyProtection="1">
      <alignment horizontal="right" vertical="center" shrinkToFit="1"/>
    </xf>
    <xf numFmtId="0" fontId="0" fillId="2" borderId="10" xfId="0" applyFill="1" applyBorder="1" applyAlignment="1" applyProtection="1">
      <alignment vertical="center"/>
    </xf>
    <xf numFmtId="0" fontId="0" fillId="2" borderId="10" xfId="0" applyFill="1" applyBorder="1" applyAlignment="1" applyProtection="1">
      <alignment vertical="center" shrinkToFit="1"/>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3" xfId="0" applyFill="1" applyBorder="1" applyAlignment="1" applyProtection="1">
      <alignment horizontal="left" vertical="center" shrinkToFit="1"/>
    </xf>
    <xf numFmtId="0" fontId="13" fillId="4" borderId="3" xfId="0" applyFont="1" applyFill="1" applyBorder="1" applyAlignment="1" applyProtection="1">
      <alignment horizontal="left" shrinkToFit="1"/>
    </xf>
    <xf numFmtId="38" fontId="0" fillId="0" borderId="3" xfId="1" applyFont="1" applyBorder="1" applyAlignment="1" applyProtection="1">
      <alignment horizontal="right" vertical="center" shrinkToFit="1"/>
    </xf>
    <xf numFmtId="0" fontId="26" fillId="0" borderId="0" xfId="0" applyFont="1" applyAlignment="1" applyProtection="1">
      <alignment vertical="center"/>
    </xf>
    <xf numFmtId="0" fontId="11" fillId="0" borderId="0" xfId="10" applyProtection="1">
      <alignment vertical="center"/>
    </xf>
    <xf numFmtId="0" fontId="10" fillId="0" borderId="0" xfId="10" applyFont="1" applyBorder="1" applyAlignment="1" applyProtection="1">
      <alignment horizontal="center" vertical="center" shrinkToFit="1"/>
    </xf>
    <xf numFmtId="0" fontId="10" fillId="0" borderId="17" xfId="10" applyFont="1" applyBorder="1" applyAlignment="1" applyProtection="1">
      <alignment vertical="center" wrapText="1"/>
    </xf>
    <xf numFmtId="0" fontId="10" fillId="0" borderId="0" xfId="10" applyFont="1" applyBorder="1" applyAlignment="1" applyProtection="1">
      <alignment horizontal="left" vertical="center"/>
    </xf>
    <xf numFmtId="0" fontId="11" fillId="0" borderId="0" xfId="10" applyBorder="1" applyProtection="1">
      <alignment vertical="center"/>
    </xf>
    <xf numFmtId="0" fontId="34" fillId="0" borderId="0" xfId="10" applyFont="1" applyBorder="1" applyAlignment="1" applyProtection="1">
      <alignment horizontal="center" vertical="center" textRotation="255" wrapText="1" shrinkToFit="1"/>
    </xf>
    <xf numFmtId="0" fontId="36" fillId="0" borderId="0" xfId="10" applyFont="1" applyBorder="1" applyAlignment="1" applyProtection="1">
      <alignment vertical="center" shrinkToFit="1"/>
    </xf>
    <xf numFmtId="38" fontId="10" fillId="0" borderId="0" xfId="12" applyFont="1" applyBorder="1" applyAlignment="1" applyProtection="1">
      <alignment vertical="center"/>
    </xf>
    <xf numFmtId="195" fontId="10" fillId="0" borderId="0" xfId="12" applyNumberFormat="1" applyFont="1" applyBorder="1" applyAlignment="1" applyProtection="1">
      <alignment horizontal="right" vertical="center"/>
    </xf>
    <xf numFmtId="189" fontId="11" fillId="0" borderId="0" xfId="10" applyNumberFormat="1" applyBorder="1" applyProtection="1">
      <alignment vertical="center"/>
    </xf>
    <xf numFmtId="38" fontId="11" fillId="0" borderId="0" xfId="1" applyFont="1" applyBorder="1" applyProtection="1">
      <alignment vertical="center"/>
    </xf>
    <xf numFmtId="190" fontId="11" fillId="0" borderId="0" xfId="10" applyNumberFormat="1" applyBorder="1" applyProtection="1">
      <alignment vertical="center"/>
    </xf>
    <xf numFmtId="0" fontId="11" fillId="0" borderId="1" xfId="10" applyBorder="1" applyProtection="1">
      <alignment vertical="center"/>
    </xf>
    <xf numFmtId="0" fontId="11" fillId="0" borderId="2" xfId="10" applyBorder="1" applyProtection="1">
      <alignment vertical="center"/>
    </xf>
    <xf numFmtId="0" fontId="7" fillId="0" borderId="0" xfId="10" applyFont="1" applyBorder="1" applyProtection="1">
      <alignment vertical="center"/>
    </xf>
    <xf numFmtId="9" fontId="0" fillId="0" borderId="0" xfId="11" applyFont="1" applyBorder="1" applyProtection="1">
      <alignment vertical="center"/>
    </xf>
    <xf numFmtId="0" fontId="11" fillId="0" borderId="3" xfId="10" applyBorder="1" applyProtection="1">
      <alignment vertical="center"/>
    </xf>
    <xf numFmtId="0" fontId="11" fillId="0" borderId="0" xfId="10" applyBorder="1" applyAlignment="1" applyProtection="1">
      <alignment horizontal="right" vertical="center"/>
    </xf>
    <xf numFmtId="178" fontId="23" fillId="0" borderId="3" xfId="11" applyNumberFormat="1" applyFont="1" applyBorder="1" applyProtection="1">
      <alignment vertical="center"/>
    </xf>
    <xf numFmtId="178" fontId="0" fillId="0" borderId="3" xfId="11" applyNumberFormat="1" applyFont="1" applyBorder="1" applyProtection="1">
      <alignment vertical="center"/>
    </xf>
    <xf numFmtId="178" fontId="11" fillId="0" borderId="0" xfId="10" applyNumberFormat="1" applyBorder="1" applyProtection="1">
      <alignment vertical="center"/>
    </xf>
    <xf numFmtId="178" fontId="11" fillId="0" borderId="20" xfId="10" applyNumberFormat="1" applyBorder="1" applyProtection="1">
      <alignment vertical="center"/>
    </xf>
    <xf numFmtId="0" fontId="11" fillId="0" borderId="17" xfId="10" applyBorder="1" applyAlignment="1" applyProtection="1">
      <alignment horizontal="right" vertical="center"/>
    </xf>
    <xf numFmtId="0" fontId="11" fillId="0" borderId="17" xfId="10" applyBorder="1" applyProtection="1">
      <alignment vertical="center"/>
    </xf>
    <xf numFmtId="178" fontId="11" fillId="0" borderId="17" xfId="10" applyNumberFormat="1" applyBorder="1" applyProtection="1">
      <alignment vertical="center"/>
    </xf>
    <xf numFmtId="178" fontId="0" fillId="0" borderId="10" xfId="11" applyNumberFormat="1" applyFont="1" applyBorder="1" applyProtection="1">
      <alignment vertical="center"/>
    </xf>
    <xf numFmtId="38" fontId="0" fillId="0" borderId="3" xfId="12" applyFont="1" applyBorder="1" applyProtection="1">
      <alignment vertical="center"/>
    </xf>
    <xf numFmtId="0" fontId="0" fillId="0" borderId="21" xfId="0" applyBorder="1" applyAlignment="1" applyProtection="1">
      <alignment horizontal="right" vertical="center"/>
    </xf>
    <xf numFmtId="0" fontId="0" fillId="0" borderId="3" xfId="0" applyBorder="1" applyProtection="1">
      <alignment vertical="center"/>
    </xf>
    <xf numFmtId="0" fontId="0" fillId="0" borderId="0" xfId="0" applyAlignment="1" applyProtection="1">
      <alignment horizontal="right" vertical="center"/>
    </xf>
    <xf numFmtId="0" fontId="0" fillId="0" borderId="20" xfId="0" applyBorder="1" applyProtection="1">
      <alignment vertical="center"/>
    </xf>
    <xf numFmtId="0" fontId="0" fillId="0" borderId="17" xfId="0" applyBorder="1" applyProtection="1">
      <alignment vertical="center"/>
    </xf>
    <xf numFmtId="0" fontId="11" fillId="0" borderId="5" xfId="10" applyBorder="1" applyProtection="1">
      <alignment vertical="center"/>
    </xf>
    <xf numFmtId="0" fontId="11" fillId="0" borderId="19" xfId="10" applyBorder="1" applyProtection="1">
      <alignment vertical="center"/>
    </xf>
    <xf numFmtId="197" fontId="11" fillId="0" borderId="0" xfId="10" applyNumberFormat="1" applyBorder="1" applyProtection="1">
      <alignment vertical="center"/>
    </xf>
    <xf numFmtId="0" fontId="11" fillId="0" borderId="20" xfId="10" applyBorder="1" applyProtection="1">
      <alignment vertical="center"/>
    </xf>
    <xf numFmtId="0" fontId="11" fillId="0" borderId="21" xfId="10" applyBorder="1" applyProtection="1">
      <alignment vertical="center"/>
    </xf>
    <xf numFmtId="197" fontId="0" fillId="0" borderId="3" xfId="0" applyNumberFormat="1" applyBorder="1" applyProtection="1">
      <alignment vertical="center"/>
    </xf>
    <xf numFmtId="196" fontId="0" fillId="0" borderId="3" xfId="0" applyNumberFormat="1" applyBorder="1" applyProtection="1">
      <alignment vertical="center"/>
    </xf>
    <xf numFmtId="40" fontId="0" fillId="0" borderId="0" xfId="12" applyNumberFormat="1" applyFont="1" applyBorder="1" applyProtection="1">
      <alignment vertical="center"/>
    </xf>
    <xf numFmtId="40" fontId="0" fillId="0" borderId="20" xfId="12" applyNumberFormat="1" applyFont="1" applyBorder="1" applyProtection="1">
      <alignment vertical="center"/>
    </xf>
    <xf numFmtId="40" fontId="0" fillId="0" borderId="21" xfId="12" applyNumberFormat="1" applyFont="1" applyBorder="1" applyProtection="1">
      <alignment vertical="center"/>
    </xf>
    <xf numFmtId="0" fontId="10" fillId="0" borderId="15" xfId="10" applyFont="1" applyBorder="1" applyAlignment="1" applyProtection="1">
      <alignment horizontal="right" vertical="center"/>
    </xf>
    <xf numFmtId="0" fontId="10" fillId="0" borderId="15" xfId="10" applyFont="1" applyBorder="1" applyAlignment="1" applyProtection="1">
      <alignment vertical="center"/>
    </xf>
    <xf numFmtId="0" fontId="11" fillId="0" borderId="15" xfId="10" applyBorder="1" applyProtection="1">
      <alignment vertical="center"/>
    </xf>
    <xf numFmtId="0" fontId="11" fillId="0" borderId="0" xfId="10" applyBorder="1" applyAlignment="1" applyProtection="1">
      <alignment vertical="center"/>
    </xf>
    <xf numFmtId="38" fontId="37" fillId="0" borderId="0" xfId="12" applyFont="1" applyBorder="1" applyAlignment="1" applyProtection="1">
      <alignment vertical="center" shrinkToFit="1"/>
    </xf>
    <xf numFmtId="38" fontId="37" fillId="0" borderId="0" xfId="12" applyFont="1" applyBorder="1" applyAlignment="1" applyProtection="1">
      <alignment vertical="center"/>
    </xf>
    <xf numFmtId="0" fontId="10" fillId="0" borderId="0" xfId="10" applyFont="1" applyBorder="1" applyAlignment="1" applyProtection="1">
      <alignment horizontal="center" vertical="center"/>
    </xf>
    <xf numFmtId="0" fontId="10" fillId="0" borderId="0" xfId="10" applyFont="1" applyBorder="1" applyAlignment="1" applyProtection="1">
      <alignment horizontal="right" vertical="center"/>
    </xf>
    <xf numFmtId="180" fontId="11" fillId="0" borderId="0" xfId="10" applyNumberFormat="1" applyFont="1" applyBorder="1" applyAlignment="1" applyProtection="1">
      <alignment vertical="center"/>
    </xf>
    <xf numFmtId="186" fontId="11" fillId="0" borderId="0" xfId="10" applyNumberFormat="1" applyFont="1" applyBorder="1" applyAlignment="1" applyProtection="1">
      <alignment horizontal="right" vertical="center" shrinkToFit="1"/>
    </xf>
    <xf numFmtId="0" fontId="10" fillId="0" borderId="0" xfId="10" applyFont="1" applyProtection="1">
      <alignment vertical="center"/>
    </xf>
    <xf numFmtId="0" fontId="35" fillId="0" borderId="0" xfId="10" applyFont="1" applyBorder="1" applyProtection="1">
      <alignment vertical="center"/>
    </xf>
    <xf numFmtId="197" fontId="40" fillId="0" borderId="3" xfId="0" applyNumberFormat="1" applyFont="1" applyBorder="1" applyProtection="1">
      <alignment vertical="center"/>
    </xf>
    <xf numFmtId="196" fontId="40" fillId="0" borderId="3" xfId="0" applyNumberFormat="1" applyFont="1" applyBorder="1" applyProtection="1">
      <alignment vertical="center"/>
    </xf>
    <xf numFmtId="0" fontId="35" fillId="0" borderId="0" xfId="10" applyFont="1" applyProtection="1">
      <alignment vertical="center"/>
    </xf>
    <xf numFmtId="183" fontId="37" fillId="0" borderId="0" xfId="10" applyNumberFormat="1" applyFont="1" applyBorder="1" applyAlignment="1" applyProtection="1">
      <alignment vertical="center"/>
    </xf>
    <xf numFmtId="0" fontId="11" fillId="0" borderId="0" xfId="10" applyBorder="1" applyAlignment="1" applyProtection="1">
      <alignment vertical="center" shrinkToFit="1"/>
    </xf>
    <xf numFmtId="0" fontId="11" fillId="0" borderId="0" xfId="10" applyAlignment="1" applyProtection="1">
      <alignment vertical="center"/>
    </xf>
    <xf numFmtId="0" fontId="33" fillId="0" borderId="0" xfId="10" applyFont="1" applyBorder="1" applyAlignment="1" applyProtection="1">
      <alignment vertical="center" shrinkToFit="1"/>
    </xf>
    <xf numFmtId="0" fontId="37" fillId="0" borderId="0" xfId="10" applyFont="1" applyBorder="1" applyAlignment="1" applyProtection="1">
      <alignment vertical="center"/>
    </xf>
    <xf numFmtId="0" fontId="34" fillId="0" borderId="0" xfId="10" applyFont="1" applyBorder="1" applyProtection="1">
      <alignment vertical="center"/>
    </xf>
    <xf numFmtId="0" fontId="38" fillId="0" borderId="0" xfId="10" applyFont="1" applyBorder="1" applyProtection="1">
      <alignment vertical="center"/>
    </xf>
    <xf numFmtId="40" fontId="0" fillId="0" borderId="0" xfId="12" applyNumberFormat="1" applyFont="1" applyProtection="1">
      <alignment vertical="center"/>
    </xf>
    <xf numFmtId="0" fontId="6" fillId="0" borderId="0" xfId="10" applyFont="1" applyBorder="1" applyProtection="1">
      <alignment vertical="center"/>
    </xf>
    <xf numFmtId="0" fontId="6" fillId="0" borderId="20" xfId="10" applyFont="1" applyBorder="1" applyProtection="1">
      <alignment vertical="center"/>
    </xf>
    <xf numFmtId="0" fontId="6" fillId="0" borderId="21" xfId="10" applyFont="1" applyBorder="1" applyProtection="1">
      <alignment vertical="center"/>
    </xf>
    <xf numFmtId="40" fontId="0" fillId="0" borderId="6" xfId="12" applyNumberFormat="1" applyFont="1" applyBorder="1" applyProtection="1">
      <alignment vertical="center"/>
    </xf>
    <xf numFmtId="40" fontId="0" fillId="0" borderId="18" xfId="12" applyNumberFormat="1" applyFont="1" applyBorder="1" applyProtection="1">
      <alignment vertical="center"/>
    </xf>
    <xf numFmtId="0" fontId="36" fillId="0" borderId="0" xfId="10" applyFont="1" applyBorder="1" applyAlignment="1" applyProtection="1">
      <alignment horizontal="right" vertical="center"/>
    </xf>
    <xf numFmtId="38" fontId="10" fillId="0" borderId="0" xfId="12" applyFont="1" applyFill="1" applyBorder="1" applyAlignment="1" applyProtection="1">
      <alignment horizontal="right" vertical="center"/>
    </xf>
    <xf numFmtId="38" fontId="0" fillId="0" borderId="0" xfId="12" applyFont="1" applyFill="1" applyBorder="1" applyProtection="1">
      <alignment vertical="center"/>
    </xf>
    <xf numFmtId="0" fontId="11" fillId="0" borderId="0" xfId="10" applyBorder="1" applyAlignment="1" applyProtection="1">
      <alignment horizontal="center" vertical="center"/>
    </xf>
    <xf numFmtId="0" fontId="11" fillId="0" borderId="0" xfId="10" applyBorder="1" applyAlignment="1" applyProtection="1">
      <alignment horizontal="center" vertical="center" shrinkToFit="1"/>
    </xf>
    <xf numFmtId="0" fontId="11" fillId="0" borderId="0" xfId="10" applyBorder="1" applyAlignment="1" applyProtection="1">
      <alignment horizontal="left" vertical="center"/>
    </xf>
    <xf numFmtId="0" fontId="10" fillId="0" borderId="0" xfId="10" applyFont="1" applyBorder="1" applyAlignment="1" applyProtection="1">
      <alignment vertical="center" wrapText="1"/>
    </xf>
    <xf numFmtId="0" fontId="32" fillId="0" borderId="0" xfId="10" applyFont="1" applyFill="1" applyBorder="1" applyAlignment="1" applyProtection="1">
      <alignment vertical="center"/>
    </xf>
    <xf numFmtId="0" fontId="11" fillId="0" borderId="0" xfId="10" applyFill="1" applyBorder="1" applyAlignment="1" applyProtection="1">
      <alignment vertical="center" wrapText="1"/>
    </xf>
    <xf numFmtId="0" fontId="33" fillId="0" borderId="0" xfId="10" applyFont="1" applyFill="1" applyBorder="1" applyAlignment="1" applyProtection="1">
      <alignment vertical="center"/>
    </xf>
    <xf numFmtId="9" fontId="0" fillId="2" borderId="3" xfId="7" applyFont="1" applyFill="1" applyBorder="1" applyAlignment="1" applyProtection="1">
      <alignment horizontal="center" vertical="center" shrinkToFit="1"/>
    </xf>
    <xf numFmtId="38" fontId="0" fillId="0" borderId="3" xfId="1" applyFont="1" applyFill="1" applyBorder="1" applyAlignment="1" applyProtection="1">
      <alignment horizontal="right" vertical="center" shrinkToFit="1"/>
    </xf>
    <xf numFmtId="9" fontId="0" fillId="0" borderId="3" xfId="7" applyFont="1" applyBorder="1" applyAlignment="1" applyProtection="1">
      <alignment horizontal="right" vertical="center" shrinkToFit="1"/>
    </xf>
    <xf numFmtId="0" fontId="41" fillId="2" borderId="5" xfId="0" applyFont="1" applyFill="1" applyBorder="1" applyAlignment="1" applyProtection="1">
      <alignment vertical="center"/>
    </xf>
    <xf numFmtId="0" fontId="41" fillId="2" borderId="15" xfId="0" applyFont="1" applyFill="1" applyBorder="1" applyAlignment="1" applyProtection="1">
      <alignment vertical="center"/>
    </xf>
    <xf numFmtId="0" fontId="41" fillId="2" borderId="4" xfId="0" applyFont="1" applyFill="1" applyBorder="1" applyAlignment="1" applyProtection="1">
      <alignment vertical="center"/>
    </xf>
    <xf numFmtId="0" fontId="41" fillId="2" borderId="2" xfId="0" applyFont="1" applyFill="1" applyBorder="1" applyAlignment="1" applyProtection="1"/>
    <xf numFmtId="0" fontId="41" fillId="2" borderId="5" xfId="0" applyFont="1" applyFill="1" applyBorder="1" applyAlignment="1" applyProtection="1"/>
    <xf numFmtId="0" fontId="41" fillId="2" borderId="15" xfId="0" applyFont="1" applyFill="1" applyBorder="1" applyAlignment="1" applyProtection="1"/>
    <xf numFmtId="0" fontId="41" fillId="2" borderId="4" xfId="0" applyFont="1" applyFill="1" applyBorder="1" applyAlignment="1" applyProtection="1"/>
    <xf numFmtId="0" fontId="41" fillId="2" borderId="6" xfId="0" applyFont="1" applyFill="1" applyBorder="1" applyAlignment="1" applyProtection="1"/>
    <xf numFmtId="0" fontId="41" fillId="2" borderId="17" xfId="0" applyFont="1" applyFill="1" applyBorder="1" applyAlignment="1" applyProtection="1"/>
    <xf numFmtId="0" fontId="41" fillId="2" borderId="18" xfId="0" applyFont="1" applyFill="1" applyBorder="1" applyAlignment="1" applyProtection="1"/>
    <xf numFmtId="0" fontId="41" fillId="2" borderId="1" xfId="0" applyFont="1" applyFill="1" applyBorder="1" applyAlignment="1" applyProtection="1"/>
    <xf numFmtId="0" fontId="41" fillId="2" borderId="0" xfId="0" applyFont="1" applyFill="1" applyAlignment="1" applyProtection="1"/>
    <xf numFmtId="0" fontId="42" fillId="2" borderId="14" xfId="0" applyFont="1" applyFill="1" applyBorder="1" applyAlignment="1" applyProtection="1">
      <alignment horizontal="left" vertical="top" wrapText="1"/>
    </xf>
    <xf numFmtId="0" fontId="42" fillId="2" borderId="3" xfId="0" applyFont="1" applyFill="1" applyBorder="1" applyAlignment="1" applyProtection="1">
      <alignment horizontal="center" vertical="top" wrapText="1"/>
    </xf>
    <xf numFmtId="0" fontId="43" fillId="2" borderId="3" xfId="0" applyFont="1" applyFill="1" applyBorder="1" applyAlignment="1" applyProtection="1">
      <alignment horizontal="center" vertical="top" wrapText="1"/>
    </xf>
    <xf numFmtId="195" fontId="0" fillId="0" borderId="0" xfId="12" applyNumberFormat="1" applyFont="1" applyBorder="1" applyProtection="1">
      <alignment vertical="center"/>
    </xf>
    <xf numFmtId="195" fontId="45" fillId="0" borderId="0" xfId="1" applyNumberFormat="1" applyFont="1" applyProtection="1">
      <alignment vertical="center"/>
    </xf>
    <xf numFmtId="195" fontId="45" fillId="0" borderId="0" xfId="12" applyNumberFormat="1" applyFont="1" applyBorder="1" applyProtection="1">
      <alignment vertical="center"/>
    </xf>
    <xf numFmtId="40" fontId="45" fillId="0" borderId="0" xfId="12" applyNumberFormat="1" applyFont="1" applyBorder="1" applyProtection="1">
      <alignment vertical="center"/>
    </xf>
    <xf numFmtId="195" fontId="0" fillId="0" borderId="20" xfId="12" applyNumberFormat="1" applyFont="1" applyBorder="1" applyProtection="1">
      <alignment vertical="center"/>
    </xf>
    <xf numFmtId="195" fontId="0" fillId="0" borderId="21" xfId="12" applyNumberFormat="1" applyFont="1" applyBorder="1" applyProtection="1">
      <alignment vertical="center"/>
    </xf>
    <xf numFmtId="195" fontId="6" fillId="0" borderId="20" xfId="10" applyNumberFormat="1" applyFont="1" applyBorder="1" applyProtection="1">
      <alignment vertical="center"/>
    </xf>
    <xf numFmtId="195" fontId="6" fillId="0" borderId="21" xfId="10" applyNumberFormat="1" applyFont="1" applyBorder="1" applyProtection="1">
      <alignment vertical="center"/>
    </xf>
    <xf numFmtId="195" fontId="0" fillId="0" borderId="6" xfId="12" applyNumberFormat="1" applyFont="1" applyBorder="1" applyProtection="1">
      <alignment vertical="center"/>
    </xf>
    <xf numFmtId="195" fontId="0" fillId="0" borderId="18" xfId="12" applyNumberFormat="1" applyFont="1" applyBorder="1" applyProtection="1">
      <alignment vertical="center"/>
    </xf>
    <xf numFmtId="195" fontId="46" fillId="0" borderId="20" xfId="12" applyNumberFormat="1" applyFont="1" applyBorder="1" applyProtection="1">
      <alignment vertical="center"/>
    </xf>
    <xf numFmtId="195" fontId="46" fillId="0" borderId="21" xfId="12" applyNumberFormat="1" applyFont="1" applyBorder="1" applyProtection="1">
      <alignment vertical="center"/>
    </xf>
    <xf numFmtId="195" fontId="17" fillId="0" borderId="20" xfId="12" applyNumberFormat="1" applyFont="1" applyBorder="1" applyProtection="1">
      <alignment vertical="center"/>
    </xf>
    <xf numFmtId="195" fontId="17" fillId="0" borderId="21" xfId="12" applyNumberFormat="1" applyFont="1" applyBorder="1" applyProtection="1">
      <alignment vertical="center"/>
    </xf>
    <xf numFmtId="0" fontId="42" fillId="2" borderId="14" xfId="0" applyFont="1" applyFill="1" applyBorder="1" applyAlignment="1" applyProtection="1">
      <alignment horizontal="center" vertical="top" wrapText="1"/>
    </xf>
    <xf numFmtId="0" fontId="11" fillId="0" borderId="0" xfId="10" applyAlignment="1" applyProtection="1">
      <alignment horizontal="right" vertical="center"/>
    </xf>
    <xf numFmtId="0" fontId="47" fillId="0" borderId="0" xfId="10" applyFont="1" applyFill="1" applyBorder="1" applyAlignment="1" applyProtection="1">
      <alignment horizontal="right" vertical="center"/>
      <protection hidden="1"/>
    </xf>
    <xf numFmtId="0" fontId="41" fillId="0" borderId="0" xfId="10" applyFont="1" applyAlignment="1" applyProtection="1">
      <alignment vertical="center" shrinkToFit="1"/>
    </xf>
    <xf numFmtId="0" fontId="24" fillId="0" borderId="0" xfId="10" applyFont="1" applyAlignment="1" applyProtection="1">
      <alignment vertical="center" shrinkToFit="1"/>
      <protection hidden="1"/>
    </xf>
    <xf numFmtId="0" fontId="48" fillId="0" borderId="0" xfId="10" applyFont="1" applyFill="1" applyBorder="1" applyAlignment="1" applyProtection="1">
      <alignment vertical="center"/>
    </xf>
    <xf numFmtId="0" fontId="48" fillId="7" borderId="1" xfId="10" applyFont="1" applyFill="1" applyBorder="1" applyAlignment="1" applyProtection="1">
      <alignment vertical="center"/>
    </xf>
    <xf numFmtId="0" fontId="32" fillId="7" borderId="2" xfId="10" applyFont="1" applyFill="1" applyBorder="1" applyAlignment="1" applyProtection="1">
      <alignment vertical="center"/>
    </xf>
    <xf numFmtId="0" fontId="30" fillId="0" borderId="0" xfId="0" applyFont="1" applyFill="1" applyBorder="1" applyAlignment="1" applyProtection="1">
      <alignment horizontal="left" vertical="top" wrapText="1" shrinkToFit="1"/>
      <protection locked="0"/>
    </xf>
    <xf numFmtId="0" fontId="11" fillId="0" borderId="0" xfId="10" applyFill="1" applyBorder="1" applyProtection="1">
      <alignment vertical="center"/>
    </xf>
    <xf numFmtId="9" fontId="0" fillId="0" borderId="0" xfId="7" applyFont="1" applyFill="1" applyBorder="1" applyAlignment="1" applyProtection="1">
      <alignment horizontal="center" vertical="center" shrinkToFit="1"/>
    </xf>
    <xf numFmtId="9" fontId="0" fillId="0" borderId="0" xfId="7" applyFont="1" applyFill="1" applyBorder="1" applyAlignment="1" applyProtection="1">
      <alignment horizontal="right" vertical="center" shrinkToFit="1"/>
    </xf>
    <xf numFmtId="38" fontId="0" fillId="0" borderId="0" xfId="1" applyFont="1" applyFill="1" applyBorder="1" applyAlignment="1" applyProtection="1">
      <alignment horizontal="center" vertical="center" shrinkToFit="1"/>
    </xf>
    <xf numFmtId="0" fontId="49" fillId="0" borderId="0" xfId="10" applyFont="1" applyFill="1" applyBorder="1" applyAlignment="1" applyProtection="1">
      <alignment vertical="center"/>
      <protection hidden="1"/>
    </xf>
    <xf numFmtId="178" fontId="23" fillId="0" borderId="0" xfId="11" applyNumberFormat="1" applyFont="1" applyBorder="1" applyProtection="1">
      <alignment vertical="center"/>
    </xf>
    <xf numFmtId="178" fontId="0" fillId="0" borderId="0" xfId="11" applyNumberFormat="1" applyFont="1" applyBorder="1" applyProtection="1">
      <alignment vertical="center"/>
    </xf>
    <xf numFmtId="38" fontId="0" fillId="0" borderId="0" xfId="12" applyFont="1" applyBorder="1" applyProtection="1">
      <alignment vertical="center"/>
    </xf>
    <xf numFmtId="0" fontId="0" fillId="0" borderId="0" xfId="0" applyBorder="1" applyProtection="1">
      <alignment vertical="center"/>
    </xf>
    <xf numFmtId="0" fontId="0" fillId="0" borderId="0" xfId="0" applyBorder="1" applyAlignment="1" applyProtection="1">
      <alignment horizontal="right" vertical="center"/>
    </xf>
    <xf numFmtId="197" fontId="0" fillId="0" borderId="0" xfId="0" applyNumberFormat="1" applyBorder="1" applyProtection="1">
      <alignment vertical="center"/>
    </xf>
    <xf numFmtId="196" fontId="0" fillId="0" borderId="0" xfId="0" applyNumberFormat="1" applyBorder="1" applyProtection="1">
      <alignment vertical="center"/>
    </xf>
    <xf numFmtId="195" fontId="46" fillId="0" borderId="0" xfId="12" applyNumberFormat="1" applyFont="1" applyBorder="1" applyProtection="1">
      <alignment vertical="center"/>
    </xf>
    <xf numFmtId="195" fontId="17" fillId="0" borderId="0" xfId="12" applyNumberFormat="1" applyFont="1" applyBorder="1" applyProtection="1">
      <alignment vertical="center"/>
    </xf>
    <xf numFmtId="197" fontId="40" fillId="0" borderId="0" xfId="0" applyNumberFormat="1" applyFont="1" applyBorder="1" applyProtection="1">
      <alignment vertical="center"/>
    </xf>
    <xf numFmtId="196" fontId="40" fillId="0" borderId="0" xfId="0" applyNumberFormat="1" applyFont="1" applyBorder="1" applyProtection="1">
      <alignment vertical="center"/>
    </xf>
    <xf numFmtId="195" fontId="45" fillId="0" borderId="0" xfId="1" applyNumberFormat="1" applyFont="1" applyBorder="1" applyProtection="1">
      <alignment vertical="center"/>
    </xf>
    <xf numFmtId="195" fontId="6" fillId="0" borderId="0" xfId="10" applyNumberFormat="1" applyFont="1" applyBorder="1" applyProtection="1">
      <alignment vertical="center"/>
    </xf>
    <xf numFmtId="0" fontId="0" fillId="2" borderId="10" xfId="0" applyFill="1" applyBorder="1" applyAlignment="1" applyProtection="1">
      <alignment horizontal="center" vertical="center" shrinkToFit="1"/>
    </xf>
    <xf numFmtId="0" fontId="0" fillId="0" borderId="14" xfId="0" applyBorder="1">
      <alignment vertical="center"/>
    </xf>
    <xf numFmtId="179" fontId="51" fillId="0" borderId="3" xfId="0" applyNumberFormat="1" applyFont="1" applyBorder="1">
      <alignment vertical="center"/>
    </xf>
    <xf numFmtId="0" fontId="51" fillId="0" borderId="3" xfId="0" applyFont="1" applyBorder="1">
      <alignment vertical="center"/>
    </xf>
    <xf numFmtId="0" fontId="0" fillId="0" borderId="16" xfId="0" applyBorder="1">
      <alignment vertical="center"/>
    </xf>
    <xf numFmtId="0" fontId="0" fillId="0" borderId="10" xfId="0" applyBorder="1">
      <alignment vertical="center"/>
    </xf>
    <xf numFmtId="0" fontId="0" fillId="0" borderId="3" xfId="0" quotePrefix="1" applyBorder="1" applyAlignment="1">
      <alignment horizontal="right" vertical="center"/>
    </xf>
    <xf numFmtId="0" fontId="0" fillId="0" borderId="1" xfId="0" applyBorder="1">
      <alignment vertical="center"/>
    </xf>
    <xf numFmtId="179" fontId="41" fillId="0" borderId="3" xfId="10" applyNumberFormat="1" applyFont="1" applyBorder="1" applyProtection="1">
      <alignment vertical="center"/>
    </xf>
    <xf numFmtId="179" fontId="41" fillId="0" borderId="3" xfId="0" applyNumberFormat="1" applyFont="1" applyBorder="1">
      <alignment vertical="center"/>
    </xf>
    <xf numFmtId="0" fontId="41" fillId="0" borderId="3" xfId="10" applyFont="1" applyBorder="1" applyProtection="1">
      <alignment vertical="center"/>
    </xf>
    <xf numFmtId="185" fontId="9" fillId="10" borderId="3" xfId="0" applyNumberFormat="1" applyFont="1"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xf>
    <xf numFmtId="0" fontId="0" fillId="0" borderId="15" xfId="0" applyFill="1" applyBorder="1" applyAlignment="1" applyProtection="1">
      <alignment horizontal="center" vertical="center" shrinkToFit="1"/>
    </xf>
    <xf numFmtId="38" fontId="0" fillId="0" borderId="15" xfId="1" applyFont="1" applyFill="1" applyBorder="1" applyAlignment="1" applyProtection="1">
      <alignment horizontal="center" vertical="center" shrinkToFit="1"/>
    </xf>
    <xf numFmtId="0" fontId="0" fillId="0" borderId="15" xfId="0" applyFill="1" applyBorder="1" applyAlignment="1" applyProtection="1">
      <alignment vertical="center" shrinkToFit="1"/>
    </xf>
    <xf numFmtId="38" fontId="0" fillId="0" borderId="15" xfId="1" applyFont="1" applyFill="1" applyBorder="1" applyAlignment="1" applyProtection="1">
      <alignment vertical="center"/>
    </xf>
    <xf numFmtId="0" fontId="41" fillId="0" borderId="0" xfId="10" applyFont="1" applyFill="1" applyBorder="1" applyAlignment="1" applyProtection="1">
      <alignment vertical="center"/>
    </xf>
    <xf numFmtId="0" fontId="0" fillId="0" borderId="0" xfId="0" applyFill="1" applyBorder="1" applyAlignment="1" applyProtection="1">
      <alignment horizontal="center" vertical="center" shrinkToFit="1"/>
    </xf>
    <xf numFmtId="0" fontId="0" fillId="0" borderId="15" xfId="0" applyFill="1" applyBorder="1" applyAlignment="1" applyProtection="1">
      <alignment vertical="center" wrapText="1"/>
    </xf>
    <xf numFmtId="0" fontId="0" fillId="0" borderId="15" xfId="0" applyFill="1" applyBorder="1" applyAlignment="1" applyProtection="1">
      <alignment horizontal="center" vertical="center"/>
    </xf>
    <xf numFmtId="38" fontId="0" fillId="0" borderId="15" xfId="1" applyFont="1" applyFill="1" applyBorder="1" applyAlignment="1" applyProtection="1">
      <alignment horizontal="center"/>
    </xf>
    <xf numFmtId="0" fontId="0" fillId="0" borderId="0" xfId="0" applyFill="1" applyBorder="1" applyAlignment="1" applyProtection="1">
      <alignment vertical="center" shrinkToFit="1"/>
    </xf>
    <xf numFmtId="38" fontId="0" fillId="0" borderId="0" xfId="1" applyFont="1" applyFill="1" applyBorder="1" applyAlignment="1" applyProtection="1">
      <alignment vertical="center"/>
    </xf>
    <xf numFmtId="185" fontId="13" fillId="4" borderId="3" xfId="0" applyNumberFormat="1" applyFont="1" applyFill="1" applyBorder="1" applyAlignment="1" applyProtection="1">
      <alignment horizontal="center" vertical="center" shrinkToFit="1"/>
      <protection locked="0"/>
    </xf>
    <xf numFmtId="184" fontId="13" fillId="4" borderId="3" xfId="0" applyNumberFormat="1" applyFont="1" applyFill="1" applyBorder="1" applyAlignment="1" applyProtection="1">
      <alignment horizontal="center" vertical="center" shrinkToFit="1"/>
      <protection locked="0"/>
    </xf>
    <xf numFmtId="0" fontId="41" fillId="11" borderId="3" xfId="0" applyFont="1" applyFill="1" applyBorder="1" applyAlignment="1" applyProtection="1">
      <alignment horizontal="center" vertical="center" shrinkToFit="1"/>
      <protection locked="0"/>
    </xf>
    <xf numFmtId="184" fontId="13" fillId="4" borderId="3" xfId="1" applyNumberFormat="1" applyFont="1" applyFill="1" applyBorder="1" applyAlignment="1" applyProtection="1">
      <alignment horizontal="center" shrinkToFit="1"/>
      <protection locked="0"/>
    </xf>
    <xf numFmtId="38" fontId="0" fillId="0" borderId="9" xfId="1" applyFont="1" applyFill="1" applyBorder="1" applyAlignment="1" applyProtection="1">
      <alignment horizontal="right" vertical="center" shrinkToFit="1"/>
    </xf>
    <xf numFmtId="185" fontId="0" fillId="0" borderId="3" xfId="0" applyNumberFormat="1" applyFill="1" applyBorder="1" applyAlignment="1" applyProtection="1">
      <alignment horizontal="right" vertical="center" shrinkToFit="1"/>
    </xf>
    <xf numFmtId="0" fontId="13" fillId="4" borderId="3" xfId="0" applyFont="1" applyFill="1" applyBorder="1" applyAlignment="1" applyProtection="1">
      <alignment horizontal="right" shrinkToFit="1"/>
      <protection locked="0"/>
    </xf>
    <xf numFmtId="0" fontId="0" fillId="0" borderId="9" xfId="0" applyBorder="1" applyAlignment="1" applyProtection="1">
      <alignment horizontal="right" vertical="center" shrinkToFit="1"/>
    </xf>
    <xf numFmtId="184" fontId="0" fillId="0" borderId="3" xfId="0" applyNumberFormat="1" applyFill="1" applyBorder="1" applyAlignment="1" applyProtection="1">
      <alignment horizontal="right" vertical="center" shrinkToFit="1"/>
    </xf>
    <xf numFmtId="0" fontId="0" fillId="0" borderId="3" xfId="0" applyBorder="1" applyAlignment="1" applyProtection="1">
      <alignment horizontal="right" vertical="center" shrinkToFit="1"/>
    </xf>
    <xf numFmtId="177" fontId="0" fillId="0" borderId="3" xfId="0" applyNumberFormat="1" applyFill="1" applyBorder="1" applyAlignment="1" applyProtection="1">
      <alignment horizontal="right" vertical="center" shrinkToFit="1"/>
    </xf>
    <xf numFmtId="178" fontId="0" fillId="0" borderId="3" xfId="2" applyNumberFormat="1" applyFont="1" applyFill="1" applyBorder="1" applyAlignment="1" applyProtection="1">
      <alignment horizontal="right" vertical="center" shrinkToFit="1"/>
    </xf>
    <xf numFmtId="9" fontId="0" fillId="0" borderId="3" xfId="0" applyNumberFormat="1" applyFill="1" applyBorder="1" applyAlignment="1" applyProtection="1">
      <alignment horizontal="right" vertical="center" shrinkToFit="1"/>
    </xf>
    <xf numFmtId="0" fontId="0" fillId="0" borderId="3" xfId="0" applyFill="1" applyBorder="1" applyAlignment="1" applyProtection="1">
      <alignment horizontal="right" vertical="center" shrinkToFit="1"/>
    </xf>
    <xf numFmtId="182" fontId="0" fillId="0" borderId="3" xfId="0" applyNumberFormat="1" applyBorder="1" applyAlignment="1" applyProtection="1">
      <alignment horizontal="right" vertical="center" shrinkToFit="1"/>
    </xf>
    <xf numFmtId="0" fontId="0" fillId="0" borderId="9" xfId="0" applyBorder="1" applyAlignment="1" applyProtection="1">
      <alignment horizontal="right" vertical="center" wrapText="1" shrinkToFit="1"/>
    </xf>
    <xf numFmtId="0" fontId="0" fillId="0" borderId="9" xfId="0" applyFill="1" applyBorder="1" applyAlignment="1" applyProtection="1">
      <alignment horizontal="right" vertical="center" wrapText="1" shrinkToFit="1"/>
    </xf>
    <xf numFmtId="38" fontId="13" fillId="4" borderId="3" xfId="1" applyFont="1" applyFill="1" applyBorder="1" applyAlignment="1" applyProtection="1">
      <alignment horizontal="right" vertical="center" shrinkToFit="1"/>
      <protection locked="0"/>
    </xf>
    <xf numFmtId="177" fontId="13" fillId="4" borderId="3" xfId="0" applyNumberFormat="1" applyFont="1" applyFill="1" applyBorder="1" applyAlignment="1" applyProtection="1">
      <alignment horizontal="right" vertical="center" shrinkToFit="1"/>
      <protection locked="0"/>
    </xf>
    <xf numFmtId="178" fontId="13" fillId="4" borderId="3" xfId="2" applyNumberFormat="1" applyFont="1" applyFill="1" applyBorder="1" applyAlignment="1" applyProtection="1">
      <alignment horizontal="right" vertical="center" shrinkToFit="1"/>
      <protection locked="0"/>
    </xf>
    <xf numFmtId="9" fontId="13" fillId="4" borderId="3" xfId="0" applyNumberFormat="1" applyFont="1" applyFill="1" applyBorder="1" applyAlignment="1" applyProtection="1">
      <alignment horizontal="right" vertical="center" shrinkToFit="1"/>
      <protection locked="0"/>
    </xf>
    <xf numFmtId="38" fontId="13" fillId="0" borderId="3" xfId="1" applyFont="1" applyFill="1" applyBorder="1" applyAlignment="1" applyProtection="1">
      <alignment horizontal="right" vertical="center" shrinkToFit="1"/>
    </xf>
    <xf numFmtId="179" fontId="13" fillId="0" borderId="3" xfId="0" applyNumberFormat="1" applyFont="1" applyFill="1" applyBorder="1" applyAlignment="1" applyProtection="1">
      <alignment horizontal="right" vertical="center" shrinkToFit="1"/>
    </xf>
    <xf numFmtId="0" fontId="13" fillId="4" borderId="3" xfId="0" applyFont="1" applyFill="1" applyBorder="1" applyAlignment="1" applyProtection="1">
      <alignment horizontal="right" vertical="center" wrapText="1" shrinkToFit="1"/>
      <protection locked="0"/>
    </xf>
    <xf numFmtId="0" fontId="13" fillId="4" borderId="3" xfId="0" applyFont="1" applyFill="1" applyBorder="1" applyAlignment="1" applyProtection="1">
      <alignment horizontal="right" vertical="center" shrinkToFit="1"/>
      <protection locked="0"/>
    </xf>
    <xf numFmtId="184" fontId="13" fillId="4" borderId="3" xfId="1" applyNumberFormat="1" applyFont="1" applyFill="1" applyBorder="1" applyAlignment="1" applyProtection="1">
      <alignment horizontal="center" vertical="center" shrinkToFit="1"/>
      <protection locked="0"/>
    </xf>
    <xf numFmtId="0" fontId="11" fillId="0" borderId="0" xfId="10" applyAlignment="1" applyProtection="1">
      <alignment vertical="center" shrinkToFit="1"/>
    </xf>
    <xf numFmtId="0" fontId="41" fillId="0" borderId="0" xfId="0" applyFont="1" applyFill="1" applyBorder="1" applyAlignment="1" applyProtection="1">
      <alignment horizontal="center" vertical="center"/>
    </xf>
    <xf numFmtId="0" fontId="41" fillId="0" borderId="0" xfId="10" applyFont="1" applyFill="1" applyBorder="1" applyAlignment="1" applyProtection="1">
      <alignment vertical="center" shrinkToFit="1"/>
    </xf>
    <xf numFmtId="0" fontId="41" fillId="0" borderId="0" xfId="10" applyFont="1" applyFill="1" applyBorder="1" applyAlignment="1" applyProtection="1">
      <alignment vertical="center"/>
      <protection hidden="1"/>
    </xf>
    <xf numFmtId="38" fontId="13" fillId="4" borderId="3" xfId="1" applyFont="1" applyFill="1" applyBorder="1" applyAlignment="1" applyProtection="1">
      <alignment horizontal="right" vertical="center" shrinkToFit="1"/>
    </xf>
    <xf numFmtId="0" fontId="10" fillId="0" borderId="15" xfId="10" applyFont="1" applyFill="1" applyBorder="1" applyAlignment="1" applyProtection="1">
      <alignment horizontal="right" vertical="center"/>
    </xf>
    <xf numFmtId="179" fontId="13" fillId="4" borderId="3" xfId="0" applyNumberFormat="1" applyFont="1" applyFill="1" applyBorder="1" applyAlignment="1" applyProtection="1">
      <alignment horizontal="right" vertical="center" shrinkToFit="1"/>
    </xf>
    <xf numFmtId="0" fontId="41" fillId="2" borderId="1" xfId="0" applyFont="1" applyFill="1" applyBorder="1" applyAlignment="1" applyProtection="1">
      <alignment vertical="center"/>
    </xf>
    <xf numFmtId="184" fontId="0" fillId="10" borderId="3" xfId="0" applyNumberFormat="1" applyFill="1" applyBorder="1" applyAlignment="1" applyProtection="1">
      <alignment vertical="center" shrinkToFit="1"/>
      <protection locked="0"/>
    </xf>
    <xf numFmtId="0" fontId="0" fillId="10" borderId="3" xfId="0" applyFill="1" applyBorder="1" applyAlignment="1" applyProtection="1">
      <alignment vertical="center" shrinkToFit="1"/>
      <protection locked="0"/>
    </xf>
    <xf numFmtId="177" fontId="0" fillId="10" borderId="3" xfId="0" applyNumberFormat="1" applyFill="1" applyBorder="1" applyAlignment="1" applyProtection="1">
      <alignment vertical="center" shrinkToFit="1"/>
      <protection locked="0"/>
    </xf>
    <xf numFmtId="184" fontId="0" fillId="10" borderId="3" xfId="1" applyNumberFormat="1" applyFont="1" applyFill="1" applyBorder="1" applyAlignment="1" applyProtection="1">
      <alignment horizontal="center" vertical="center" shrinkToFit="1"/>
      <protection locked="0"/>
    </xf>
    <xf numFmtId="178" fontId="0" fillId="10" borderId="3" xfId="2" applyNumberFormat="1" applyFont="1" applyFill="1" applyBorder="1" applyAlignment="1" applyProtection="1">
      <alignment vertical="center" shrinkToFit="1"/>
      <protection locked="0"/>
    </xf>
    <xf numFmtId="38" fontId="0" fillId="10" borderId="3" xfId="1" applyFont="1" applyFill="1" applyBorder="1" applyAlignment="1" applyProtection="1">
      <alignment vertical="center" shrinkToFit="1"/>
      <protection locked="0"/>
    </xf>
    <xf numFmtId="9" fontId="0" fillId="10" borderId="3" xfId="0" applyNumberFormat="1" applyFill="1" applyBorder="1" applyAlignment="1" applyProtection="1">
      <alignment vertical="center" shrinkToFit="1"/>
      <protection locked="0"/>
    </xf>
    <xf numFmtId="38" fontId="0" fillId="0" borderId="3" xfId="1" applyFont="1" applyFill="1" applyBorder="1" applyAlignment="1" applyProtection="1">
      <alignment vertical="center" shrinkToFit="1"/>
    </xf>
    <xf numFmtId="38" fontId="0" fillId="10" borderId="3" xfId="1" applyFont="1" applyFill="1" applyBorder="1" applyAlignment="1" applyProtection="1">
      <alignment horizontal="right" vertical="center" shrinkToFit="1"/>
      <protection locked="0"/>
    </xf>
    <xf numFmtId="179" fontId="9" fillId="0" borderId="3" xfId="0" applyNumberFormat="1" applyFont="1" applyFill="1" applyBorder="1" applyAlignment="1" applyProtection="1">
      <alignment horizontal="right" vertical="center" shrinkToFit="1"/>
    </xf>
    <xf numFmtId="0" fontId="11" fillId="0" borderId="15" xfId="10" applyBorder="1" applyAlignment="1" applyProtection="1">
      <alignment vertical="center"/>
    </xf>
    <xf numFmtId="0" fontId="11" fillId="0" borderId="14" xfId="10" applyBorder="1" applyProtection="1">
      <alignment vertical="center"/>
    </xf>
    <xf numFmtId="9" fontId="0" fillId="0" borderId="3" xfId="2" applyFont="1" applyBorder="1">
      <alignment vertical="center"/>
    </xf>
    <xf numFmtId="0" fontId="11" fillId="0" borderId="16" xfId="10" applyBorder="1" applyProtection="1">
      <alignment vertical="center"/>
    </xf>
    <xf numFmtId="0" fontId="11" fillId="0" borderId="10" xfId="10" applyBorder="1" applyProtection="1">
      <alignment vertical="center"/>
    </xf>
    <xf numFmtId="0" fontId="30" fillId="10" borderId="3" xfId="0" applyFont="1" applyFill="1" applyBorder="1" applyAlignment="1" applyProtection="1">
      <alignment horizontal="left" vertical="center" shrinkToFit="1"/>
      <protection locked="0"/>
    </xf>
    <xf numFmtId="0" fontId="11" fillId="12" borderId="3" xfId="10" applyFill="1" applyBorder="1" applyAlignment="1" applyProtection="1">
      <alignment horizontal="left" vertical="center" indent="1" shrinkToFit="1"/>
    </xf>
    <xf numFmtId="0" fontId="30" fillId="12" borderId="3" xfId="0" applyFont="1" applyFill="1" applyBorder="1" applyAlignment="1" applyProtection="1">
      <alignment horizontal="left" vertical="center" indent="1" shrinkToFit="1"/>
      <protection locked="0"/>
    </xf>
    <xf numFmtId="0" fontId="11" fillId="12" borderId="14" xfId="10" applyFill="1" applyBorder="1" applyAlignment="1" applyProtection="1">
      <alignment horizontal="left" vertical="center" indent="1" shrinkToFit="1"/>
    </xf>
    <xf numFmtId="0" fontId="41" fillId="12" borderId="3" xfId="10" applyFont="1" applyFill="1" applyBorder="1" applyAlignment="1" applyProtection="1">
      <alignment horizontal="left" vertical="center" indent="1" shrinkToFit="1"/>
      <protection hidden="1"/>
    </xf>
    <xf numFmtId="0" fontId="11" fillId="12" borderId="10" xfId="10" applyFill="1" applyBorder="1" applyAlignment="1" applyProtection="1">
      <alignment horizontal="left" vertical="center" indent="1" shrinkToFit="1"/>
    </xf>
    <xf numFmtId="0" fontId="30" fillId="12" borderId="3" xfId="0" applyFont="1" applyFill="1" applyBorder="1" applyAlignment="1" applyProtection="1">
      <alignment horizontal="center" vertical="center" wrapText="1" shrinkToFit="1"/>
      <protection hidden="1"/>
    </xf>
    <xf numFmtId="0" fontId="11" fillId="0" borderId="3" xfId="10" applyFill="1" applyBorder="1" applyAlignment="1" applyProtection="1">
      <alignment vertical="center" shrinkToFit="1"/>
      <protection hidden="1"/>
    </xf>
    <xf numFmtId="0" fontId="13" fillId="4" borderId="3" xfId="0" applyFont="1" applyFill="1" applyBorder="1" applyAlignment="1" applyProtection="1">
      <alignment horizontal="left" vertical="center" shrinkToFit="1"/>
    </xf>
    <xf numFmtId="0" fontId="52" fillId="0" borderId="0" xfId="0" applyFont="1" applyAlignment="1" applyProtection="1"/>
    <xf numFmtId="0" fontId="41" fillId="0" borderId="0" xfId="0" applyFont="1" applyAlignment="1" applyProtection="1"/>
    <xf numFmtId="0" fontId="41" fillId="0" borderId="0" xfId="0" applyFont="1" applyFill="1" applyBorder="1" applyAlignment="1"/>
    <xf numFmtId="0" fontId="41" fillId="0" borderId="0" xfId="0" applyFont="1" applyFill="1" applyBorder="1" applyAlignment="1" applyProtection="1">
      <alignment shrinkToFit="1"/>
      <protection locked="0"/>
    </xf>
    <xf numFmtId="0" fontId="53" fillId="0" borderId="0" xfId="0" applyFont="1" applyFill="1" applyBorder="1" applyAlignment="1"/>
    <xf numFmtId="0" fontId="41" fillId="0" borderId="0" xfId="0" applyFont="1">
      <alignment vertical="center"/>
    </xf>
    <xf numFmtId="9" fontId="41" fillId="2" borderId="3" xfId="7" applyFont="1" applyFill="1" applyBorder="1" applyAlignment="1">
      <alignment horizontal="center" vertical="center"/>
    </xf>
    <xf numFmtId="0" fontId="41" fillId="0" borderId="0" xfId="0" applyFont="1" applyAlignment="1"/>
    <xf numFmtId="0" fontId="24" fillId="0" borderId="0" xfId="0" applyFont="1" applyFill="1" applyAlignment="1" applyProtection="1"/>
    <xf numFmtId="0" fontId="24" fillId="0" borderId="0" xfId="0" applyFont="1" applyAlignment="1" applyProtection="1"/>
    <xf numFmtId="0" fontId="41" fillId="2" borderId="1" xfId="0" applyFont="1" applyFill="1" applyBorder="1" applyAlignment="1"/>
    <xf numFmtId="0" fontId="41" fillId="2" borderId="4" xfId="0" applyFont="1" applyFill="1" applyBorder="1" applyAlignment="1"/>
    <xf numFmtId="0" fontId="41" fillId="2" borderId="2" xfId="0" applyFont="1" applyFill="1" applyBorder="1" applyAlignment="1"/>
    <xf numFmtId="0" fontId="41" fillId="2" borderId="3" xfId="0" applyFont="1" applyFill="1" applyBorder="1" applyAlignment="1">
      <alignment horizontal="left" vertical="top" wrapText="1"/>
    </xf>
    <xf numFmtId="0" fontId="41" fillId="2" borderId="3" xfId="0" applyNumberFormat="1" applyFont="1" applyFill="1" applyBorder="1" applyAlignment="1">
      <alignment horizontal="left" vertical="top" wrapText="1"/>
    </xf>
    <xf numFmtId="0" fontId="41" fillId="2" borderId="3" xfId="0" applyFont="1" applyFill="1" applyBorder="1" applyAlignment="1">
      <alignment horizontal="center" vertical="top" wrapText="1"/>
    </xf>
    <xf numFmtId="0" fontId="41" fillId="2" borderId="1" xfId="0" applyFont="1" applyFill="1" applyBorder="1" applyAlignment="1" applyProtection="1">
      <alignment horizontal="left" vertical="top" wrapText="1"/>
    </xf>
    <xf numFmtId="0" fontId="41" fillId="2" borderId="3" xfId="0" applyFont="1" applyFill="1" applyBorder="1" applyAlignment="1" applyProtection="1">
      <alignment horizontal="left" vertical="top" wrapText="1"/>
    </xf>
    <xf numFmtId="0" fontId="13" fillId="4" borderId="3" xfId="0" applyFont="1" applyFill="1" applyBorder="1" applyAlignment="1">
      <alignment vertical="center" shrinkToFit="1"/>
    </xf>
    <xf numFmtId="0" fontId="0" fillId="0" borderId="0" xfId="0" applyAlignment="1">
      <alignment vertical="center"/>
    </xf>
    <xf numFmtId="38" fontId="0" fillId="0" borderId="3" xfId="1" applyFont="1" applyBorder="1" applyAlignment="1">
      <alignment horizontal="right" shrinkToFit="1"/>
    </xf>
    <xf numFmtId="0" fontId="0" fillId="2" borderId="3" xfId="0" applyFill="1" applyBorder="1" applyAlignment="1">
      <alignment horizontal="center" vertical="center" shrinkToFit="1"/>
    </xf>
    <xf numFmtId="9" fontId="0" fillId="0" borderId="0" xfId="0" applyNumberFormat="1">
      <alignment vertical="center"/>
    </xf>
    <xf numFmtId="0" fontId="41" fillId="2" borderId="1" xfId="0" applyFont="1" applyFill="1" applyBorder="1" applyAlignment="1" applyProtection="1">
      <protection locked="0"/>
    </xf>
    <xf numFmtId="0" fontId="41" fillId="2" borderId="3" xfId="0" applyFont="1" applyFill="1" applyBorder="1" applyAlignment="1">
      <alignment horizontal="centerContinuous"/>
    </xf>
    <xf numFmtId="0" fontId="48" fillId="2" borderId="3" xfId="0" applyFont="1" applyFill="1" applyBorder="1" applyAlignment="1">
      <alignment horizontal="left" vertical="top" wrapText="1"/>
    </xf>
    <xf numFmtId="0" fontId="48" fillId="2" borderId="3" xfId="0" applyFont="1" applyFill="1" applyBorder="1" applyAlignment="1" applyProtection="1">
      <alignment horizontal="left" vertical="top" wrapText="1"/>
    </xf>
    <xf numFmtId="0" fontId="0" fillId="0" borderId="0" xfId="0" applyFill="1" applyBorder="1" applyAlignment="1">
      <alignment horizontal="left"/>
    </xf>
    <xf numFmtId="1" fontId="13" fillId="4" borderId="3" xfId="0" applyNumberFormat="1" applyFont="1" applyFill="1" applyBorder="1" applyAlignment="1" applyProtection="1">
      <alignment horizontal="right" vertical="center" shrinkToFit="1"/>
    </xf>
    <xf numFmtId="0" fontId="48" fillId="2" borderId="0" xfId="0" applyFont="1" applyFill="1" applyBorder="1" applyAlignment="1" applyProtection="1">
      <alignment horizontal="left" vertical="top" wrapText="1"/>
    </xf>
    <xf numFmtId="38" fontId="0" fillId="0" borderId="0" xfId="1" applyFont="1" applyAlignment="1">
      <alignment vertical="center"/>
    </xf>
    <xf numFmtId="0" fontId="0" fillId="2" borderId="19" xfId="0" applyFill="1" applyBorder="1" applyAlignment="1" applyProtection="1">
      <alignment horizontal="center" vertical="top" wrapText="1"/>
    </xf>
    <xf numFmtId="0" fontId="0" fillId="2" borderId="14" xfId="0" applyFill="1" applyBorder="1" applyAlignment="1" applyProtection="1">
      <alignment vertical="center" shrinkToFit="1"/>
    </xf>
    <xf numFmtId="0" fontId="0" fillId="0" borderId="3" xfId="0" applyBorder="1" applyAlignment="1" applyProtection="1">
      <alignment horizontal="right" vertical="center" wrapText="1" shrinkToFit="1"/>
    </xf>
    <xf numFmtId="0" fontId="41" fillId="0" borderId="3" xfId="10" applyFont="1" applyBorder="1" applyAlignment="1" applyProtection="1">
      <alignment vertical="center" shrinkToFit="1"/>
    </xf>
    <xf numFmtId="176" fontId="0" fillId="6" borderId="2" xfId="1" applyNumberFormat="1" applyFont="1" applyFill="1" applyBorder="1" applyAlignment="1" applyProtection="1">
      <alignment horizontal="center" vertical="center" shrinkToFit="1"/>
      <protection locked="0"/>
    </xf>
    <xf numFmtId="0" fontId="0" fillId="6" borderId="3" xfId="0" applyFill="1" applyBorder="1" applyAlignment="1" applyProtection="1">
      <alignment horizontal="center" vertical="center" shrinkToFit="1"/>
      <protection locked="0"/>
    </xf>
    <xf numFmtId="0" fontId="10" fillId="0" borderId="0" xfId="10" applyFont="1" applyBorder="1" applyAlignment="1" applyProtection="1">
      <alignment vertical="center"/>
    </xf>
    <xf numFmtId="177" fontId="54" fillId="0" borderId="0" xfId="10" applyNumberFormat="1" applyFont="1" applyBorder="1" applyAlignment="1" applyProtection="1">
      <alignment vertical="center" shrinkToFit="1"/>
    </xf>
    <xf numFmtId="184" fontId="13" fillId="4" borderId="3" xfId="1" applyNumberFormat="1" applyFont="1" applyFill="1" applyBorder="1" applyAlignment="1" applyProtection="1">
      <alignment horizontal="center" vertical="center" shrinkToFit="1"/>
    </xf>
    <xf numFmtId="184" fontId="0" fillId="10" borderId="3" xfId="1" applyNumberFormat="1" applyFont="1" applyFill="1" applyBorder="1" applyAlignment="1" applyProtection="1">
      <alignment horizontal="center" vertical="center" shrinkToFit="1"/>
    </xf>
    <xf numFmtId="0" fontId="0" fillId="2" borderId="2" xfId="0" applyFill="1" applyBorder="1" applyAlignment="1" applyProtection="1">
      <alignment horizontal="center" vertical="center"/>
    </xf>
    <xf numFmtId="0" fontId="0" fillId="2" borderId="1" xfId="0"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42" fillId="2" borderId="14" xfId="0" applyFont="1" applyFill="1" applyBorder="1" applyAlignment="1" applyProtection="1">
      <alignment horizontal="center" vertical="top" wrapText="1"/>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55" fillId="2" borderId="14" xfId="0" applyFont="1" applyFill="1" applyBorder="1" applyAlignment="1" applyProtection="1">
      <alignment vertical="center" wrapText="1" shrinkToFit="1"/>
    </xf>
    <xf numFmtId="38" fontId="0" fillId="0" borderId="3" xfId="1" applyFont="1" applyFill="1" applyBorder="1" applyAlignment="1" applyProtection="1">
      <alignment horizontal="right" vertical="center" shrinkToFit="1"/>
      <protection locked="0"/>
    </xf>
    <xf numFmtId="0" fontId="13" fillId="4" borderId="3" xfId="0" applyFont="1" applyFill="1" applyBorder="1" applyAlignment="1" applyProtection="1">
      <alignment horizontal="center" vertical="center" shrinkToFit="1"/>
      <protection locked="0"/>
    </xf>
    <xf numFmtId="0" fontId="0" fillId="0" borderId="3" xfId="0" applyBorder="1" applyAlignment="1" applyProtection="1">
      <alignment horizontal="right" vertical="center" shrinkToFit="1"/>
      <protection locked="0"/>
    </xf>
    <xf numFmtId="0" fontId="0" fillId="0" borderId="0" xfId="0" applyBorder="1">
      <alignment vertical="center"/>
    </xf>
    <xf numFmtId="184" fontId="0" fillId="0" borderId="3" xfId="1" applyNumberFormat="1" applyFont="1" applyFill="1" applyBorder="1" applyAlignment="1" applyProtection="1">
      <alignment horizontal="center" vertical="center" shrinkToFit="1"/>
      <protection locked="0"/>
    </xf>
    <xf numFmtId="178" fontId="0" fillId="0" borderId="3" xfId="2" applyNumberFormat="1" applyFont="1" applyFill="1" applyBorder="1" applyAlignment="1" applyProtection="1">
      <alignment vertical="center" shrinkToFit="1"/>
      <protection locked="0"/>
    </xf>
    <xf numFmtId="177" fontId="0" fillId="0" borderId="3" xfId="0" applyNumberFormat="1" applyFill="1" applyBorder="1" applyAlignment="1" applyProtection="1">
      <alignment vertical="center" shrinkToFit="1"/>
      <protection locked="0"/>
    </xf>
    <xf numFmtId="38" fontId="0" fillId="0" borderId="3" xfId="1" applyFont="1" applyFill="1" applyBorder="1" applyAlignment="1" applyProtection="1">
      <alignment vertical="center" shrinkToFit="1"/>
      <protection locked="0"/>
    </xf>
    <xf numFmtId="9" fontId="0" fillId="0" borderId="3" xfId="0" applyNumberFormat="1" applyFill="1" applyBorder="1" applyAlignment="1" applyProtection="1">
      <alignment vertical="center" shrinkToFit="1"/>
      <protection locked="0"/>
    </xf>
    <xf numFmtId="38" fontId="13" fillId="0" borderId="3" xfId="1" applyFont="1" applyFill="1" applyBorder="1" applyAlignment="1" applyProtection="1">
      <alignment horizontal="right" vertical="center" shrinkToFit="1"/>
      <protection locked="0"/>
    </xf>
    <xf numFmtId="0" fontId="34" fillId="0" borderId="17" xfId="10" applyFont="1" applyBorder="1" applyAlignment="1" applyProtection="1">
      <alignment vertical="center" wrapText="1"/>
    </xf>
    <xf numFmtId="0" fontId="56" fillId="2" borderId="10" xfId="0" applyFont="1" applyFill="1" applyBorder="1" applyAlignment="1" applyProtection="1">
      <alignment vertical="center" wrapText="1" shrinkToFit="1"/>
    </xf>
    <xf numFmtId="0" fontId="43" fillId="0" borderId="17" xfId="0" applyFont="1" applyBorder="1" applyAlignment="1">
      <alignment horizontal="left" vertical="center"/>
    </xf>
    <xf numFmtId="0" fontId="0" fillId="0" borderId="3" xfId="0" applyFill="1" applyBorder="1" applyAlignment="1" applyProtection="1">
      <alignment vertical="center" shrinkToFit="1"/>
      <protection locked="0"/>
    </xf>
    <xf numFmtId="0" fontId="0" fillId="0" borderId="3" xfId="0" applyFill="1" applyBorder="1" applyAlignment="1" applyProtection="1">
      <alignment horizontal="center" vertical="center" shrinkToFit="1"/>
      <protection locked="0"/>
    </xf>
    <xf numFmtId="184" fontId="0" fillId="0" borderId="3" xfId="0" applyNumberFormat="1" applyFill="1" applyBorder="1" applyAlignment="1" applyProtection="1">
      <alignment vertical="center" shrinkToFit="1"/>
      <protection locked="0"/>
    </xf>
    <xf numFmtId="185" fontId="9" fillId="0" borderId="3" xfId="0" applyNumberFormat="1" applyFont="1" applyFill="1" applyBorder="1" applyAlignment="1" applyProtection="1">
      <alignment horizontal="center" vertical="center" shrinkToFit="1"/>
      <protection locked="0"/>
    </xf>
    <xf numFmtId="38" fontId="0" fillId="5" borderId="3" xfId="1" applyFont="1" applyFill="1" applyBorder="1" applyAlignment="1" applyProtection="1">
      <alignment horizontal="right" vertical="center" shrinkToFit="1"/>
    </xf>
    <xf numFmtId="179" fontId="13" fillId="5" borderId="3" xfId="0" applyNumberFormat="1" applyFont="1" applyFill="1" applyBorder="1" applyAlignment="1" applyProtection="1">
      <alignment horizontal="right" vertical="center" shrinkToFit="1"/>
    </xf>
    <xf numFmtId="38" fontId="13" fillId="5" borderId="3" xfId="1" applyFont="1" applyFill="1" applyBorder="1" applyAlignment="1" applyProtection="1">
      <alignment horizontal="right" vertical="center" shrinkToFit="1"/>
    </xf>
    <xf numFmtId="38" fontId="0" fillId="5" borderId="3" xfId="1" applyFont="1" applyFill="1" applyBorder="1" applyAlignment="1" applyProtection="1">
      <alignment vertical="center" shrinkToFit="1"/>
    </xf>
    <xf numFmtId="0" fontId="41" fillId="0" borderId="17" xfId="0" applyFont="1" applyBorder="1" applyAlignment="1">
      <alignment horizontal="left" vertical="center"/>
    </xf>
    <xf numFmtId="0" fontId="41" fillId="2" borderId="3" xfId="10" applyFont="1" applyFill="1" applyBorder="1" applyAlignment="1" applyProtection="1">
      <alignment vertical="center" shrinkToFit="1"/>
    </xf>
    <xf numFmtId="0" fontId="11" fillId="5" borderId="3" xfId="10" applyFill="1" applyBorder="1" applyAlignment="1" applyProtection="1">
      <alignment vertical="center" shrinkToFit="1"/>
      <protection hidden="1"/>
    </xf>
    <xf numFmtId="0" fontId="30" fillId="13" borderId="3" xfId="0" applyFont="1" applyFill="1" applyBorder="1" applyAlignment="1" applyProtection="1">
      <alignment horizontal="left" vertical="center" shrinkToFit="1"/>
      <protection locked="0"/>
    </xf>
    <xf numFmtId="176" fontId="0" fillId="5" borderId="3" xfId="1" applyNumberFormat="1" applyFont="1" applyFill="1" applyBorder="1" applyAlignment="1" applyProtection="1">
      <alignment horizontal="right" vertical="center"/>
    </xf>
    <xf numFmtId="9" fontId="0" fillId="5" borderId="3" xfId="7" applyFont="1" applyFill="1" applyBorder="1" applyAlignment="1" applyProtection="1">
      <alignment horizontal="right"/>
    </xf>
    <xf numFmtId="177" fontId="0" fillId="5" borderId="3" xfId="0" applyNumberFormat="1" applyFill="1" applyBorder="1" applyAlignment="1" applyProtection="1">
      <alignment horizontal="right" vertical="center"/>
    </xf>
    <xf numFmtId="177" fontId="0" fillId="5" borderId="14" xfId="1" applyNumberFormat="1" applyFont="1" applyFill="1" applyBorder="1" applyAlignment="1" applyProtection="1">
      <alignment horizontal="right"/>
    </xf>
    <xf numFmtId="177" fontId="0" fillId="5" borderId="14" xfId="0" applyNumberFormat="1" applyFill="1" applyBorder="1" applyAlignment="1" applyProtection="1">
      <alignment horizontal="right" vertical="center"/>
    </xf>
    <xf numFmtId="9" fontId="0" fillId="5" borderId="14" xfId="7" applyFont="1" applyFill="1" applyBorder="1" applyAlignment="1" applyProtection="1">
      <alignment horizontal="right"/>
    </xf>
    <xf numFmtId="9" fontId="0" fillId="5" borderId="3" xfId="7" applyFont="1" applyFill="1" applyBorder="1" applyAlignment="1" applyProtection="1">
      <alignment horizontal="right" vertical="center" shrinkToFit="1"/>
    </xf>
    <xf numFmtId="9" fontId="0" fillId="5" borderId="14" xfId="7" applyFont="1" applyFill="1" applyBorder="1" applyAlignment="1" applyProtection="1">
      <alignment horizontal="right" vertical="center" shrinkToFit="1"/>
    </xf>
    <xf numFmtId="9" fontId="0" fillId="5" borderId="14" xfId="7" applyFont="1" applyFill="1" applyBorder="1" applyAlignment="1" applyProtection="1">
      <alignment vertical="center" shrinkToFit="1"/>
    </xf>
    <xf numFmtId="176" fontId="0" fillId="5" borderId="3" xfId="1" applyNumberFormat="1" applyFont="1" applyFill="1" applyBorder="1" applyAlignment="1">
      <alignment vertical="center"/>
    </xf>
    <xf numFmtId="176" fontId="0" fillId="5" borderId="3" xfId="1" applyNumberFormat="1" applyFont="1" applyFill="1" applyBorder="1" applyAlignment="1">
      <alignment vertical="center" wrapText="1"/>
    </xf>
    <xf numFmtId="9" fontId="0" fillId="5" borderId="3" xfId="2" applyFont="1" applyFill="1" applyBorder="1" applyAlignment="1">
      <alignment vertical="center"/>
    </xf>
    <xf numFmtId="177" fontId="0" fillId="5" borderId="3" xfId="0" applyNumberFormat="1" applyFill="1" applyBorder="1" applyAlignment="1">
      <alignment vertical="center"/>
    </xf>
    <xf numFmtId="177" fontId="0" fillId="5" borderId="3" xfId="0" applyNumberFormat="1" applyFill="1" applyBorder="1" applyAlignment="1">
      <alignment vertical="center" wrapText="1"/>
    </xf>
    <xf numFmtId="177" fontId="0" fillId="5" borderId="3" xfId="1" applyNumberFormat="1" applyFont="1" applyFill="1" applyBorder="1" applyAlignment="1" applyProtection="1">
      <alignment vertical="center"/>
    </xf>
    <xf numFmtId="177" fontId="0" fillId="5" borderId="3" xfId="1" applyNumberFormat="1" applyFont="1" applyFill="1" applyBorder="1" applyAlignment="1" applyProtection="1">
      <alignment horizontal="right" vertical="center"/>
    </xf>
    <xf numFmtId="9" fontId="0" fillId="0" borderId="3" xfId="2" applyNumberFormat="1" applyFont="1" applyFill="1" applyBorder="1" applyAlignment="1" applyProtection="1">
      <alignment vertical="center" shrinkToFit="1"/>
      <protection locked="0"/>
    </xf>
    <xf numFmtId="0" fontId="46" fillId="2" borderId="18" xfId="0" applyFont="1" applyFill="1" applyBorder="1" applyAlignment="1" applyProtection="1">
      <alignment horizontal="center"/>
    </xf>
    <xf numFmtId="0" fontId="2" fillId="0" borderId="0" xfId="0" applyFont="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3" xfId="0" applyFill="1" applyBorder="1">
      <alignment vertical="center"/>
    </xf>
    <xf numFmtId="0" fontId="42" fillId="2" borderId="14" xfId="0" applyFont="1" applyFill="1" applyBorder="1" applyAlignment="1" applyProtection="1">
      <alignment horizontal="center" vertical="top" wrapText="1"/>
    </xf>
    <xf numFmtId="0" fontId="0" fillId="0" borderId="51" xfId="0" applyFill="1" applyBorder="1">
      <alignment vertical="center"/>
    </xf>
    <xf numFmtId="0" fontId="41" fillId="2" borderId="3" xfId="0" applyFont="1" applyFill="1" applyBorder="1" applyAlignment="1" applyProtection="1">
      <alignment horizontal="center" vertical="center" shrinkToFit="1"/>
    </xf>
    <xf numFmtId="0" fontId="41" fillId="2" borderId="3" xfId="0" applyFont="1" applyFill="1" applyBorder="1" applyAlignment="1">
      <alignment horizontal="center" vertical="center" shrinkToFit="1"/>
    </xf>
    <xf numFmtId="0" fontId="41" fillId="2" borderId="1" xfId="0" applyFont="1" applyFill="1" applyBorder="1" applyAlignment="1" applyProtection="1">
      <alignment horizontal="center" vertical="center" shrinkToFit="1"/>
    </xf>
    <xf numFmtId="0" fontId="41" fillId="2" borderId="23" xfId="0" applyFont="1" applyFill="1" applyBorder="1" applyAlignment="1" applyProtection="1">
      <alignment horizontal="center" vertical="center" shrinkToFit="1"/>
    </xf>
    <xf numFmtId="0" fontId="13" fillId="4" borderId="3" xfId="0" applyFont="1" applyFill="1" applyBorder="1" applyAlignment="1" applyProtection="1">
      <alignment horizontal="center" vertical="center" shrinkToFit="1"/>
    </xf>
    <xf numFmtId="179" fontId="13" fillId="0" borderId="3" xfId="0" applyNumberFormat="1" applyFont="1" applyFill="1" applyBorder="1" applyAlignment="1">
      <alignment horizontal="center" vertical="center" shrinkToFit="1"/>
    </xf>
    <xf numFmtId="0" fontId="41" fillId="2" borderId="10" xfId="0" applyFont="1" applyFill="1" applyBorder="1" applyAlignment="1" applyProtection="1">
      <alignment horizontal="center" vertical="center" shrinkToFit="1"/>
    </xf>
    <xf numFmtId="0" fontId="41" fillId="0" borderId="9" xfId="0" applyFont="1" applyBorder="1" applyAlignment="1">
      <alignment horizontal="center" vertical="center" shrinkToFit="1"/>
    </xf>
    <xf numFmtId="181" fontId="41" fillId="0" borderId="3" xfId="0" applyNumberFormat="1" applyFont="1" applyBorder="1" applyAlignment="1">
      <alignment horizontal="center" vertical="center" shrinkToFit="1"/>
    </xf>
    <xf numFmtId="0" fontId="41" fillId="2" borderId="23" xfId="0" applyFont="1" applyFill="1" applyBorder="1" applyAlignment="1" applyProtection="1">
      <alignment horizontal="left" vertical="top" wrapText="1"/>
    </xf>
    <xf numFmtId="38" fontId="13" fillId="4" borderId="3" xfId="1" applyFont="1" applyFill="1" applyBorder="1" applyAlignment="1">
      <alignment horizontal="center" vertical="center" shrinkToFit="1"/>
    </xf>
    <xf numFmtId="38" fontId="41" fillId="3" borderId="3" xfId="1" applyFont="1" applyFill="1" applyBorder="1" applyAlignment="1" applyProtection="1">
      <alignment horizontal="center" vertical="center" shrinkToFit="1"/>
      <protection locked="0"/>
    </xf>
    <xf numFmtId="0" fontId="41" fillId="2" borderId="3" xfId="0" applyFont="1" applyFill="1" applyBorder="1" applyAlignment="1">
      <alignment shrinkToFit="1"/>
    </xf>
    <xf numFmtId="38" fontId="13" fillId="5" borderId="3" xfId="1" applyFont="1" applyFill="1" applyBorder="1" applyAlignment="1" applyProtection="1">
      <alignment horizontal="center" vertical="center" shrinkToFit="1"/>
    </xf>
    <xf numFmtId="181" fontId="41" fillId="5" borderId="1" xfId="0" applyNumberFormat="1" applyFont="1" applyFill="1" applyBorder="1" applyAlignment="1" applyProtection="1">
      <alignment horizontal="center" vertical="center" shrinkToFit="1"/>
    </xf>
    <xf numFmtId="182" fontId="41" fillId="5" borderId="6" xfId="0" applyNumberFormat="1" applyFont="1" applyFill="1" applyBorder="1" applyAlignment="1" applyProtection="1">
      <alignment horizontal="center" vertical="center" shrinkToFit="1"/>
    </xf>
    <xf numFmtId="182" fontId="41" fillId="5" borderId="1" xfId="0" applyNumberFormat="1" applyFont="1" applyFill="1" applyBorder="1" applyAlignment="1" applyProtection="1">
      <alignment horizontal="center" vertical="center" shrinkToFit="1"/>
    </xf>
    <xf numFmtId="176" fontId="41" fillId="5" borderId="23" xfId="1" applyNumberFormat="1" applyFont="1" applyFill="1" applyBorder="1" applyAlignment="1">
      <alignment horizontal="center" vertical="center" shrinkToFit="1"/>
    </xf>
    <xf numFmtId="177" fontId="41" fillId="5" borderId="3" xfId="0" applyNumberFormat="1" applyFont="1" applyFill="1" applyBorder="1" applyAlignment="1">
      <alignment horizontal="center" vertical="center" shrinkToFit="1"/>
    </xf>
    <xf numFmtId="0" fontId="41" fillId="0" borderId="3" xfId="0" applyFont="1" applyFill="1" applyBorder="1" applyAlignment="1" applyProtection="1">
      <alignment horizontal="center" vertical="center" shrinkToFit="1"/>
      <protection locked="0"/>
    </xf>
    <xf numFmtId="180" fontId="41" fillId="0" borderId="3" xfId="0" applyNumberFormat="1" applyFont="1" applyFill="1" applyBorder="1" applyAlignment="1" applyProtection="1">
      <alignment horizontal="center" vertical="center" shrinkToFit="1"/>
      <protection locked="0"/>
    </xf>
    <xf numFmtId="2" fontId="41" fillId="0" borderId="23" xfId="0" applyNumberFormat="1" applyFont="1" applyFill="1" applyBorder="1" applyAlignment="1" applyProtection="1">
      <alignment horizontal="center" vertical="center" shrinkToFit="1"/>
      <protection locked="0"/>
    </xf>
    <xf numFmtId="38" fontId="41" fillId="0" borderId="3" xfId="1" applyFont="1" applyFill="1" applyBorder="1" applyAlignment="1" applyProtection="1">
      <alignment horizontal="center" vertical="center" shrinkToFit="1"/>
      <protection locked="0"/>
    </xf>
    <xf numFmtId="178" fontId="41" fillId="5" borderId="3" xfId="0" applyNumberFormat="1" applyFont="1" applyFill="1" applyBorder="1" applyAlignment="1">
      <alignment horizontal="center" vertical="center" shrinkToFit="1"/>
    </xf>
    <xf numFmtId="38" fontId="13" fillId="4" borderId="3" xfId="1" applyFont="1" applyFill="1" applyBorder="1" applyAlignment="1" applyProtection="1">
      <alignment horizontal="center" vertical="center" shrinkToFit="1"/>
    </xf>
    <xf numFmtId="179" fontId="13" fillId="4" borderId="1" xfId="0" applyNumberFormat="1" applyFont="1" applyFill="1" applyBorder="1" applyAlignment="1" applyProtection="1">
      <alignment horizontal="center" vertical="center" shrinkToFit="1"/>
    </xf>
    <xf numFmtId="182" fontId="13" fillId="4" borderId="1" xfId="0" applyNumberFormat="1" applyFont="1" applyFill="1" applyBorder="1" applyAlignment="1" applyProtection="1">
      <alignment horizontal="center" vertical="center" shrinkToFit="1"/>
    </xf>
    <xf numFmtId="176" fontId="13" fillId="4" borderId="23" xfId="1" applyNumberFormat="1" applyFont="1" applyFill="1" applyBorder="1" applyAlignment="1" applyProtection="1">
      <alignment horizontal="center" vertical="center" shrinkToFit="1"/>
    </xf>
    <xf numFmtId="177" fontId="13" fillId="4" borderId="3" xfId="0" applyNumberFormat="1" applyFont="1" applyFill="1" applyBorder="1" applyAlignment="1" applyProtection="1">
      <alignment horizontal="center" vertical="center" shrinkToFit="1"/>
    </xf>
    <xf numFmtId="0" fontId="59" fillId="0" borderId="0" xfId="0" applyFont="1" applyAlignment="1">
      <alignment horizontal="left" vertical="center"/>
    </xf>
    <xf numFmtId="0" fontId="0" fillId="5" borderId="29" xfId="0" applyFill="1" applyBorder="1" applyAlignment="1" applyProtection="1">
      <alignment horizontal="right" vertical="center"/>
    </xf>
    <xf numFmtId="0" fontId="0" fillId="5" borderId="30" xfId="0" applyFill="1" applyBorder="1" applyProtection="1">
      <alignment vertical="center"/>
    </xf>
    <xf numFmtId="0" fontId="0" fillId="5" borderId="32" xfId="0" applyFill="1" applyBorder="1" applyAlignment="1" applyProtection="1">
      <alignment horizontal="right" vertical="center"/>
    </xf>
    <xf numFmtId="0" fontId="0" fillId="5" borderId="33" xfId="0" applyFill="1" applyBorder="1" applyProtection="1">
      <alignment vertical="center"/>
    </xf>
    <xf numFmtId="0" fontId="0" fillId="5" borderId="35" xfId="0" applyFill="1" applyBorder="1" applyAlignment="1" applyProtection="1">
      <alignment horizontal="right" vertical="center"/>
    </xf>
    <xf numFmtId="0" fontId="0" fillId="5" borderId="36" xfId="0" applyFill="1" applyBorder="1" applyProtection="1">
      <alignment vertical="center"/>
    </xf>
    <xf numFmtId="0" fontId="0" fillId="5" borderId="29" xfId="0" applyFill="1" applyBorder="1" applyProtection="1">
      <alignment vertical="center"/>
    </xf>
    <xf numFmtId="0" fontId="0" fillId="5" borderId="31" xfId="0" applyFill="1" applyBorder="1" applyProtection="1">
      <alignment vertical="center"/>
    </xf>
    <xf numFmtId="0" fontId="0" fillId="5" borderId="32" xfId="0" applyFill="1" applyBorder="1" applyProtection="1">
      <alignment vertical="center"/>
    </xf>
    <xf numFmtId="0" fontId="0" fillId="5" borderId="34" xfId="0" applyFill="1" applyBorder="1" applyProtection="1">
      <alignment vertical="center"/>
    </xf>
    <xf numFmtId="0" fontId="0" fillId="5" borderId="35" xfId="0" applyFill="1" applyBorder="1" applyProtection="1">
      <alignment vertical="center"/>
    </xf>
    <xf numFmtId="0" fontId="0" fillId="5" borderId="37" xfId="0" applyFill="1" applyBorder="1" applyProtection="1">
      <alignment vertical="center"/>
    </xf>
    <xf numFmtId="9" fontId="41" fillId="5" borderId="3" xfId="7" applyFont="1" applyFill="1" applyBorder="1" applyAlignment="1">
      <alignment horizontal="right" vertical="center"/>
    </xf>
    <xf numFmtId="0" fontId="41" fillId="2" borderId="14" xfId="0" applyFont="1" applyFill="1" applyBorder="1" applyAlignment="1">
      <alignment horizontal="left" vertical="top" wrapText="1"/>
    </xf>
    <xf numFmtId="0" fontId="41" fillId="2" borderId="10" xfId="0" applyFont="1" applyFill="1" applyBorder="1" applyAlignment="1">
      <alignment horizontal="center" vertical="center" shrinkToFit="1"/>
    </xf>
    <xf numFmtId="0" fontId="0" fillId="0" borderId="48" xfId="0" applyBorder="1" applyAlignment="1">
      <alignment vertical="center"/>
    </xf>
    <xf numFmtId="0" fontId="0" fillId="0" borderId="49" xfId="0" applyBorder="1" applyAlignment="1">
      <alignment vertical="center"/>
    </xf>
    <xf numFmtId="0" fontId="0" fillId="0" borderId="51" xfId="0" applyBorder="1" applyAlignment="1">
      <alignment vertical="center"/>
    </xf>
    <xf numFmtId="0" fontId="0" fillId="0" borderId="0"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42" fillId="2" borderId="14" xfId="0" applyFont="1" applyFill="1" applyBorder="1" applyAlignment="1" applyProtection="1">
      <alignment vertical="top" wrapText="1"/>
    </xf>
    <xf numFmtId="178" fontId="13" fillId="4" borderId="3" xfId="1" applyNumberFormat="1" applyFont="1" applyFill="1" applyBorder="1" applyAlignment="1" applyProtection="1">
      <alignment horizontal="right" vertical="center" shrinkToFit="1"/>
    </xf>
    <xf numFmtId="178" fontId="13" fillId="5" borderId="3" xfId="1" applyNumberFormat="1" applyFont="1" applyFill="1" applyBorder="1" applyAlignment="1" applyProtection="1">
      <alignment horizontal="right" vertical="center" shrinkToFit="1"/>
    </xf>
    <xf numFmtId="178" fontId="13" fillId="5" borderId="3" xfId="0" applyNumberFormat="1" applyFont="1" applyFill="1" applyBorder="1" applyAlignment="1" applyProtection="1">
      <alignment horizontal="right" vertical="center" shrinkToFit="1"/>
    </xf>
    <xf numFmtId="178" fontId="13" fillId="4" borderId="3" xfId="0" applyNumberFormat="1" applyFont="1" applyFill="1" applyBorder="1" applyAlignment="1" applyProtection="1">
      <alignment horizontal="right" vertical="center" shrinkToFit="1"/>
    </xf>
    <xf numFmtId="176" fontId="13" fillId="0" borderId="3" xfId="0" applyNumberFormat="1" applyFont="1" applyFill="1" applyBorder="1" applyAlignment="1" applyProtection="1">
      <alignment horizontal="center" vertical="center" shrinkToFit="1"/>
      <protection locked="0"/>
    </xf>
    <xf numFmtId="178" fontId="0" fillId="5" borderId="3" xfId="2" applyNumberFormat="1" applyFont="1" applyFill="1" applyBorder="1" applyAlignment="1" applyProtection="1">
      <alignment vertical="center"/>
    </xf>
    <xf numFmtId="0" fontId="0" fillId="2" borderId="3" xfId="0" applyFont="1" applyFill="1" applyBorder="1" applyAlignment="1" applyProtection="1">
      <alignment horizontal="center" vertical="center" wrapText="1" shrinkToFit="1"/>
    </xf>
    <xf numFmtId="0" fontId="42" fillId="2" borderId="3" xfId="0" applyFont="1" applyFill="1" applyBorder="1" applyAlignment="1" applyProtection="1">
      <alignment horizontal="center" vertical="center" wrapText="1"/>
    </xf>
    <xf numFmtId="0" fontId="26" fillId="0" borderId="0" xfId="0" applyFont="1" applyFill="1" applyAlignment="1" applyProtection="1">
      <alignment vertical="center"/>
      <protection locked="0"/>
    </xf>
    <xf numFmtId="0" fontId="59" fillId="0" borderId="0" xfId="0" applyFont="1" applyFill="1" applyAlignment="1">
      <alignment horizontal="left" vertical="center"/>
    </xf>
    <xf numFmtId="0" fontId="11" fillId="0" borderId="0" xfId="10" applyFill="1" applyProtection="1">
      <alignment vertical="center"/>
    </xf>
    <xf numFmtId="0" fontId="28" fillId="0" borderId="0" xfId="0" applyFont="1" applyFill="1" applyAlignment="1">
      <alignment horizontal="left" vertical="center"/>
    </xf>
    <xf numFmtId="0" fontId="0" fillId="0" borderId="0" xfId="0" applyFill="1" applyAlignment="1" applyProtection="1">
      <protection locked="0"/>
    </xf>
    <xf numFmtId="178" fontId="13" fillId="0" borderId="3" xfId="0" applyNumberFormat="1" applyFont="1" applyFill="1" applyBorder="1" applyAlignment="1" applyProtection="1">
      <alignment horizontal="right" vertical="center" shrinkToFit="1"/>
      <protection locked="0"/>
    </xf>
    <xf numFmtId="0" fontId="48" fillId="0" borderId="0" xfId="10" applyFont="1" applyBorder="1" applyAlignment="1" applyProtection="1">
      <alignment vertical="center"/>
    </xf>
    <xf numFmtId="186" fontId="0" fillId="0" borderId="3" xfId="2" applyNumberFormat="1" applyFont="1" applyFill="1" applyBorder="1" applyAlignment="1" applyProtection="1">
      <alignment vertical="center" shrinkToFit="1"/>
      <protection locked="0"/>
    </xf>
    <xf numFmtId="180" fontId="0" fillId="0" borderId="3" xfId="2" applyNumberFormat="1" applyFont="1" applyFill="1" applyBorder="1" applyAlignment="1" applyProtection="1">
      <alignment vertical="center" shrinkToFit="1"/>
      <protection locked="0"/>
    </xf>
    <xf numFmtId="0" fontId="41" fillId="2" borderId="5" xfId="0" applyFont="1" applyFill="1" applyBorder="1" applyAlignment="1"/>
    <xf numFmtId="0" fontId="41" fillId="2" borderId="15" xfId="0" applyFont="1" applyFill="1" applyBorder="1" applyAlignment="1"/>
    <xf numFmtId="0" fontId="41" fillId="2" borderId="15" xfId="0" applyFont="1" applyFill="1" applyBorder="1" applyAlignment="1">
      <alignment horizontal="center"/>
    </xf>
    <xf numFmtId="0" fontId="41" fillId="2" borderId="14" xfId="0" applyFont="1" applyFill="1" applyBorder="1" applyAlignment="1" applyProtection="1">
      <alignment vertical="center" wrapText="1"/>
    </xf>
    <xf numFmtId="0" fontId="41" fillId="2" borderId="16" xfId="0" applyFont="1" applyFill="1" applyBorder="1" applyAlignment="1" applyProtection="1">
      <alignment vertical="center" wrapText="1"/>
    </xf>
    <xf numFmtId="0" fontId="41" fillId="2" borderId="10" xfId="0" applyFont="1" applyFill="1" applyBorder="1" applyAlignment="1" applyProtection="1">
      <alignment vertical="center" wrapText="1"/>
    </xf>
    <xf numFmtId="0" fontId="41" fillId="2" borderId="6" xfId="0" applyFont="1" applyFill="1" applyBorder="1" applyAlignment="1"/>
    <xf numFmtId="0" fontId="41" fillId="2" borderId="17" xfId="0" applyFont="1" applyFill="1" applyBorder="1" applyAlignment="1"/>
    <xf numFmtId="0" fontId="41" fillId="2" borderId="17" xfId="0" applyFont="1" applyFill="1" applyBorder="1" applyAlignment="1">
      <alignment horizontal="center"/>
    </xf>
    <xf numFmtId="0" fontId="41" fillId="2" borderId="18" xfId="0" applyFont="1" applyFill="1" applyBorder="1" applyAlignment="1"/>
    <xf numFmtId="0" fontId="41" fillId="2" borderId="56" xfId="0" applyFont="1" applyFill="1" applyBorder="1" applyAlignment="1"/>
    <xf numFmtId="0" fontId="41" fillId="2" borderId="57" xfId="0" applyFont="1" applyFill="1" applyBorder="1" applyAlignment="1"/>
    <xf numFmtId="0" fontId="41" fillId="2" borderId="56" xfId="0" applyFont="1" applyFill="1" applyBorder="1" applyAlignment="1" applyProtection="1"/>
    <xf numFmtId="0" fontId="41" fillId="2" borderId="19" xfId="0" applyFont="1" applyFill="1" applyBorder="1" applyAlignment="1"/>
    <xf numFmtId="0" fontId="41" fillId="2" borderId="57" xfId="0" applyFont="1" applyFill="1" applyBorder="1" applyAlignment="1" applyProtection="1"/>
    <xf numFmtId="0" fontId="41" fillId="2" borderId="39" xfId="0" applyFont="1" applyFill="1" applyBorder="1" applyAlignment="1">
      <alignment horizontal="left" vertical="top" wrapText="1"/>
    </xf>
    <xf numFmtId="0" fontId="41" fillId="2" borderId="38" xfId="0" applyFont="1" applyFill="1" applyBorder="1" applyAlignment="1">
      <alignment horizontal="center" vertical="center" shrinkToFit="1"/>
    </xf>
    <xf numFmtId="0" fontId="43" fillId="2" borderId="3" xfId="0" applyFont="1" applyFill="1" applyBorder="1" applyAlignment="1">
      <alignment horizontal="center" vertical="top" wrapText="1"/>
    </xf>
    <xf numFmtId="38" fontId="31" fillId="4" borderId="3" xfId="1" applyFont="1" applyFill="1" applyBorder="1" applyAlignment="1" applyProtection="1">
      <alignment horizontal="right" wrapText="1"/>
    </xf>
    <xf numFmtId="176" fontId="0" fillId="2" borderId="3" xfId="1" applyNumberFormat="1" applyFont="1" applyFill="1" applyBorder="1" applyAlignment="1" applyProtection="1">
      <alignment horizontal="center" vertical="center" shrinkToFit="1"/>
    </xf>
    <xf numFmtId="0" fontId="42" fillId="2" borderId="3" xfId="0" applyFont="1" applyFill="1" applyBorder="1" applyAlignment="1">
      <alignment horizontal="center" vertical="top" wrapText="1"/>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41" fillId="2" borderId="1" xfId="10" applyFont="1" applyFill="1" applyBorder="1" applyAlignment="1" applyProtection="1">
      <alignment vertical="center" wrapText="1"/>
    </xf>
    <xf numFmtId="0" fontId="41" fillId="2" borderId="0" xfId="0" applyFont="1" applyFill="1" applyBorder="1" applyAlignment="1" applyProtection="1"/>
    <xf numFmtId="0" fontId="41" fillId="2" borderId="1" xfId="0" applyFont="1" applyFill="1" applyBorder="1" applyAlignment="1" applyProtection="1">
      <alignment horizontal="center" vertical="center"/>
    </xf>
    <xf numFmtId="0" fontId="42" fillId="2" borderId="14" xfId="0" applyFont="1" applyFill="1" applyBorder="1" applyAlignment="1" applyProtection="1">
      <alignment horizontal="center" vertical="top" wrapText="1"/>
    </xf>
    <xf numFmtId="0" fontId="60" fillId="2" borderId="3" xfId="0" applyFont="1" applyFill="1" applyBorder="1" applyAlignment="1" applyProtection="1">
      <alignment horizontal="center" vertical="top" wrapText="1"/>
    </xf>
    <xf numFmtId="0" fontId="0" fillId="14" borderId="3" xfId="0" applyFill="1" applyBorder="1" applyAlignment="1" applyProtection="1">
      <alignment horizontal="center" vertical="center" shrinkToFit="1"/>
    </xf>
    <xf numFmtId="0" fontId="13" fillId="14" borderId="23" xfId="0" applyFont="1" applyFill="1" applyBorder="1" applyAlignment="1" applyProtection="1">
      <alignment horizontal="center" vertical="center" shrinkToFit="1"/>
    </xf>
    <xf numFmtId="0" fontId="13" fillId="15" borderId="3" xfId="0" applyFont="1" applyFill="1" applyBorder="1" applyAlignment="1" applyProtection="1">
      <alignment horizontal="center" vertical="center" shrinkToFit="1"/>
    </xf>
    <xf numFmtId="0" fontId="13" fillId="14" borderId="3" xfId="0" applyFont="1" applyFill="1" applyBorder="1" applyAlignment="1" applyProtection="1">
      <alignment horizontal="center" vertical="center" shrinkToFit="1"/>
    </xf>
    <xf numFmtId="38" fontId="13" fillId="14" borderId="3" xfId="1" applyFont="1" applyFill="1" applyBorder="1" applyAlignment="1" applyProtection="1">
      <alignment horizontal="right" vertical="center" shrinkToFit="1"/>
    </xf>
    <xf numFmtId="198" fontId="13" fillId="14" borderId="3" xfId="1" applyNumberFormat="1" applyFont="1" applyFill="1" applyBorder="1" applyAlignment="1" applyProtection="1">
      <alignment horizontal="right" vertical="center" shrinkToFit="1"/>
    </xf>
    <xf numFmtId="178" fontId="13" fillId="14" borderId="3" xfId="0" applyNumberFormat="1" applyFont="1" applyFill="1" applyBorder="1" applyAlignment="1" applyProtection="1">
      <alignment horizontal="right" vertical="center" shrinkToFit="1"/>
    </xf>
    <xf numFmtId="0" fontId="13" fillId="5" borderId="3" xfId="3" applyFont="1" applyFill="1" applyBorder="1" applyAlignment="1" applyProtection="1">
      <alignment vertical="center" shrinkToFit="1"/>
    </xf>
    <xf numFmtId="0" fontId="0" fillId="5" borderId="3" xfId="5" applyNumberFormat="1" applyFont="1" applyFill="1" applyBorder="1" applyAlignment="1" applyProtection="1">
      <alignment horizontal="center" vertical="center" shrinkToFit="1"/>
    </xf>
    <xf numFmtId="0" fontId="15" fillId="5" borderId="3" xfId="5" applyNumberFormat="1" applyFont="1" applyFill="1" applyBorder="1" applyAlignment="1" applyProtection="1">
      <alignment horizontal="center" vertical="center" wrapText="1" shrinkToFit="1"/>
    </xf>
    <xf numFmtId="187" fontId="13" fillId="5" borderId="3" xfId="5" applyNumberFormat="1" applyFont="1" applyFill="1" applyBorder="1" applyAlignment="1" applyProtection="1">
      <alignment horizontal="center" vertical="center" wrapText="1" shrinkToFit="1"/>
    </xf>
    <xf numFmtId="0" fontId="19" fillId="5" borderId="3" xfId="5" applyNumberFormat="1" applyFont="1" applyFill="1" applyBorder="1" applyAlignment="1" applyProtection="1">
      <alignment horizontal="center" vertical="center" wrapText="1" shrinkToFit="1"/>
    </xf>
    <xf numFmtId="179" fontId="0" fillId="16" borderId="3" xfId="0" applyNumberFormat="1" applyFill="1" applyBorder="1" applyAlignment="1" applyProtection="1">
      <alignment horizontal="center" vertical="center" shrinkToFit="1"/>
      <protection locked="0"/>
    </xf>
    <xf numFmtId="0" fontId="0" fillId="16" borderId="3" xfId="0" applyFill="1" applyBorder="1" applyAlignment="1" applyProtection="1">
      <alignment horizontal="center" vertical="center" shrinkToFit="1"/>
      <protection locked="0"/>
    </xf>
    <xf numFmtId="0" fontId="13" fillId="13" borderId="3" xfId="0" applyFont="1" applyFill="1" applyBorder="1" applyAlignment="1" applyProtection="1">
      <alignment horizontal="center" vertical="center" shrinkToFit="1"/>
    </xf>
    <xf numFmtId="9" fontId="41" fillId="16" borderId="3" xfId="7" applyFont="1" applyFill="1" applyBorder="1" applyAlignment="1" applyProtection="1">
      <alignment horizontal="center" vertical="center" shrinkToFit="1"/>
      <protection locked="0"/>
    </xf>
    <xf numFmtId="0" fontId="13" fillId="16" borderId="3" xfId="0" applyFont="1" applyFill="1" applyBorder="1" applyAlignment="1" applyProtection="1">
      <alignment horizontal="center" vertical="center" shrinkToFit="1"/>
      <protection locked="0"/>
    </xf>
    <xf numFmtId="9" fontId="41" fillId="16" borderId="3" xfId="2" applyFont="1" applyFill="1" applyBorder="1" applyAlignment="1" applyProtection="1">
      <alignment horizontal="center" vertical="center" shrinkToFit="1"/>
      <protection locked="0"/>
    </xf>
    <xf numFmtId="183" fontId="61" fillId="5" borderId="3" xfId="5" applyNumberFormat="1" applyFont="1" applyFill="1" applyBorder="1" applyAlignment="1" applyProtection="1">
      <alignment horizontal="right" vertical="center" shrinkToFit="1"/>
    </xf>
    <xf numFmtId="191" fontId="61" fillId="5" borderId="3" xfId="5" applyNumberFormat="1" applyFont="1" applyFill="1" applyBorder="1" applyAlignment="1" applyProtection="1">
      <alignment vertical="center" shrinkToFit="1"/>
    </xf>
    <xf numFmtId="0" fontId="0" fillId="0" borderId="0" xfId="0" applyAlignment="1">
      <alignment horizontal="right" vertical="center"/>
    </xf>
    <xf numFmtId="0" fontId="41" fillId="2" borderId="19" xfId="0" applyFont="1" applyFill="1" applyBorder="1" applyAlignment="1" applyProtection="1">
      <alignment vertical="center"/>
    </xf>
    <xf numFmtId="0" fontId="13" fillId="14" borderId="3" xfId="0" applyFont="1" applyFill="1" applyBorder="1" applyAlignment="1" applyProtection="1">
      <alignment horizontal="right" vertical="center" wrapText="1" shrinkToFit="1"/>
    </xf>
    <xf numFmtId="184" fontId="13" fillId="14" borderId="3" xfId="0" applyNumberFormat="1" applyFont="1" applyFill="1" applyBorder="1" applyAlignment="1" applyProtection="1">
      <alignment horizontal="center" vertical="center" shrinkToFit="1"/>
    </xf>
    <xf numFmtId="0" fontId="41" fillId="14" borderId="3" xfId="0" applyFont="1" applyFill="1" applyBorder="1" applyAlignment="1" applyProtection="1">
      <alignment horizontal="center" vertical="center" shrinkToFit="1"/>
    </xf>
    <xf numFmtId="0" fontId="13" fillId="14" borderId="3" xfId="0" applyFont="1" applyFill="1" applyBorder="1" applyAlignment="1" applyProtection="1">
      <alignment horizontal="right" vertical="center" shrinkToFit="1"/>
    </xf>
    <xf numFmtId="185" fontId="13" fillId="14" borderId="3" xfId="0" applyNumberFormat="1" applyFont="1" applyFill="1" applyBorder="1" applyAlignment="1" applyProtection="1">
      <alignment horizontal="center" vertical="center" shrinkToFit="1"/>
    </xf>
    <xf numFmtId="177" fontId="13" fillId="14" borderId="3" xfId="0" applyNumberFormat="1" applyFont="1" applyFill="1" applyBorder="1" applyAlignment="1" applyProtection="1">
      <alignment horizontal="right" vertical="center" shrinkToFit="1"/>
    </xf>
    <xf numFmtId="178" fontId="13" fillId="14" borderId="3" xfId="2" applyNumberFormat="1" applyFont="1" applyFill="1" applyBorder="1" applyAlignment="1" applyProtection="1">
      <alignment horizontal="right" vertical="center" shrinkToFit="1"/>
    </xf>
    <xf numFmtId="186" fontId="13" fillId="14" borderId="3" xfId="2" applyNumberFormat="1" applyFont="1" applyFill="1" applyBorder="1" applyAlignment="1" applyProtection="1">
      <alignment horizontal="right" vertical="center" shrinkToFit="1"/>
    </xf>
    <xf numFmtId="180" fontId="13" fillId="14" borderId="3" xfId="2" applyNumberFormat="1" applyFont="1" applyFill="1" applyBorder="1" applyAlignment="1" applyProtection="1">
      <alignment horizontal="right" vertical="center" shrinkToFit="1"/>
    </xf>
    <xf numFmtId="9" fontId="13" fillId="14" borderId="3" xfId="0" applyNumberFormat="1" applyFont="1" applyFill="1" applyBorder="1" applyAlignment="1" applyProtection="1">
      <alignment horizontal="right" vertical="center" shrinkToFit="1"/>
    </xf>
    <xf numFmtId="0" fontId="13" fillId="14" borderId="3" xfId="0" applyFont="1" applyFill="1" applyBorder="1" applyAlignment="1" applyProtection="1">
      <alignment horizontal="right" vertical="center" wrapText="1"/>
    </xf>
    <xf numFmtId="0" fontId="13" fillId="4" borderId="3" xfId="0" applyFont="1" applyFill="1" applyBorder="1" applyAlignment="1" applyProtection="1">
      <alignment horizontal="right" vertical="center" shrinkToFit="1"/>
    </xf>
    <xf numFmtId="0" fontId="13" fillId="14" borderId="3" xfId="0" applyNumberFormat="1" applyFont="1" applyFill="1" applyBorder="1" applyAlignment="1" applyProtection="1">
      <alignment horizontal="right" vertical="center" shrinkToFit="1"/>
    </xf>
    <xf numFmtId="179" fontId="19" fillId="13" borderId="3" xfId="0" applyNumberFormat="1" applyFont="1" applyFill="1" applyBorder="1" applyAlignment="1" applyProtection="1">
      <alignment horizontal="right" vertical="center" wrapText="1" shrinkToFit="1"/>
    </xf>
    <xf numFmtId="0" fontId="13" fillId="14" borderId="3" xfId="0" applyFont="1" applyFill="1" applyBorder="1" applyAlignment="1" applyProtection="1">
      <alignment horizontal="center" vertical="center" wrapText="1"/>
    </xf>
    <xf numFmtId="0" fontId="13" fillId="14" borderId="4" xfId="0" applyFont="1" applyFill="1" applyBorder="1" applyAlignment="1" applyProtection="1">
      <alignment horizontal="center" vertical="center" shrinkToFit="1"/>
    </xf>
    <xf numFmtId="178" fontId="13" fillId="4" borderId="3" xfId="0" applyNumberFormat="1" applyFont="1" applyFill="1" applyBorder="1" applyAlignment="1" applyProtection="1">
      <alignment horizontal="center" vertical="center" shrinkToFit="1"/>
    </xf>
    <xf numFmtId="186" fontId="0" fillId="14" borderId="3" xfId="2" applyNumberFormat="1" applyFont="1" applyFill="1" applyBorder="1" applyAlignment="1" applyProtection="1">
      <alignment vertical="center" shrinkToFit="1"/>
    </xf>
    <xf numFmtId="180" fontId="0" fillId="14" borderId="3" xfId="2" applyNumberFormat="1" applyFont="1" applyFill="1" applyBorder="1" applyAlignment="1" applyProtection="1">
      <alignment vertical="center" shrinkToFit="1"/>
    </xf>
    <xf numFmtId="0" fontId="41" fillId="14" borderId="3" xfId="0" applyNumberFormat="1" applyFont="1" applyFill="1" applyBorder="1" applyAlignment="1" applyProtection="1">
      <alignment horizontal="center" vertical="center" shrinkToFit="1"/>
    </xf>
    <xf numFmtId="9" fontId="13" fillId="13" borderId="3" xfId="0" applyNumberFormat="1" applyFont="1" applyFill="1" applyBorder="1" applyAlignment="1" applyProtection="1">
      <alignment horizontal="center" vertical="center" shrinkToFit="1"/>
    </xf>
    <xf numFmtId="0" fontId="30" fillId="13" borderId="3" xfId="0" applyFont="1" applyFill="1" applyBorder="1" applyAlignment="1" applyProtection="1">
      <alignment horizontal="center" vertical="center" shrinkToFit="1"/>
      <protection locked="0"/>
    </xf>
    <xf numFmtId="0" fontId="11" fillId="5" borderId="3" xfId="10" applyFill="1" applyBorder="1" applyAlignment="1" applyProtection="1">
      <alignment horizontal="center" vertical="center" shrinkToFit="1"/>
      <protection hidden="1"/>
    </xf>
    <xf numFmtId="38" fontId="41" fillId="5" borderId="3" xfId="1" applyFont="1" applyFill="1" applyBorder="1" applyAlignment="1" applyProtection="1">
      <alignment horizontal="right" vertical="center" shrinkToFit="1"/>
    </xf>
    <xf numFmtId="0" fontId="13" fillId="14" borderId="3" xfId="0" applyFont="1" applyFill="1" applyBorder="1" applyAlignment="1" applyProtection="1">
      <alignment horizontal="right" vertical="center"/>
    </xf>
    <xf numFmtId="38" fontId="41" fillId="4" borderId="3" xfId="1" applyFont="1" applyFill="1" applyBorder="1" applyAlignment="1" applyProtection="1">
      <alignment horizontal="right" vertical="center" shrinkToFit="1"/>
    </xf>
    <xf numFmtId="0" fontId="41" fillId="0" borderId="3" xfId="0" applyFont="1" applyFill="1" applyBorder="1" applyAlignment="1" applyProtection="1">
      <alignment vertical="center" shrinkToFit="1"/>
      <protection locked="0"/>
    </xf>
    <xf numFmtId="179" fontId="41" fillId="5" borderId="3" xfId="0" applyNumberFormat="1" applyFont="1" applyFill="1" applyBorder="1" applyAlignment="1" applyProtection="1">
      <alignment horizontal="right" vertical="center" shrinkToFit="1"/>
    </xf>
    <xf numFmtId="9" fontId="41" fillId="0" borderId="3" xfId="7" applyFont="1" applyFill="1" applyBorder="1" applyAlignment="1" applyProtection="1">
      <alignment horizontal="center" vertical="center" shrinkToFit="1"/>
      <protection locked="0"/>
    </xf>
    <xf numFmtId="9" fontId="13" fillId="14" borderId="3" xfId="0" applyNumberFormat="1" applyFont="1" applyFill="1" applyBorder="1" applyAlignment="1" applyProtection="1">
      <alignment horizontal="center" vertical="center" shrinkToFit="1"/>
    </xf>
    <xf numFmtId="0" fontId="31" fillId="14" borderId="3" xfId="0" applyFont="1" applyFill="1" applyBorder="1" applyAlignment="1" applyProtection="1">
      <alignment horizontal="center"/>
    </xf>
    <xf numFmtId="0" fontId="31" fillId="14" borderId="3" xfId="0" applyFont="1" applyFill="1" applyBorder="1" applyAlignment="1" applyProtection="1"/>
    <xf numFmtId="9" fontId="31" fillId="14" borderId="1" xfId="0" applyNumberFormat="1" applyFont="1" applyFill="1" applyBorder="1" applyAlignment="1" applyProtection="1">
      <alignment horizontal="center" wrapText="1"/>
    </xf>
    <xf numFmtId="0" fontId="31" fillId="14" borderId="23" xfId="0" applyFont="1" applyFill="1" applyBorder="1" applyAlignment="1" applyProtection="1">
      <alignment shrinkToFit="1"/>
    </xf>
    <xf numFmtId="0" fontId="31" fillId="14" borderId="2" xfId="0" applyFont="1" applyFill="1" applyBorder="1" applyAlignment="1" applyProtection="1">
      <alignment shrinkToFit="1"/>
    </xf>
    <xf numFmtId="178" fontId="31" fillId="4" borderId="3" xfId="0" applyNumberFormat="1" applyFont="1" applyFill="1" applyBorder="1" applyAlignment="1" applyProtection="1">
      <alignment horizontal="center"/>
    </xf>
    <xf numFmtId="38" fontId="31" fillId="4" borderId="3" xfId="1" applyFont="1" applyFill="1" applyBorder="1" applyAlignment="1" applyProtection="1"/>
    <xf numFmtId="179" fontId="31" fillId="4" borderId="4" xfId="0" applyNumberFormat="1" applyFont="1" applyFill="1" applyBorder="1" applyAlignment="1" applyProtection="1"/>
    <xf numFmtId="0" fontId="31" fillId="14" borderId="3" xfId="0" applyFont="1" applyFill="1" applyBorder="1" applyAlignment="1" applyProtection="1">
      <alignment horizontal="center" shrinkToFit="1"/>
    </xf>
    <xf numFmtId="9" fontId="31" fillId="4" borderId="3" xfId="0" applyNumberFormat="1" applyFont="1" applyFill="1" applyBorder="1" applyAlignment="1" applyProtection="1"/>
    <xf numFmtId="182" fontId="31" fillId="4" borderId="1" xfId="0" applyNumberFormat="1" applyFont="1" applyFill="1" applyBorder="1" applyAlignment="1" applyProtection="1">
      <alignment horizontal="right" wrapText="1"/>
    </xf>
    <xf numFmtId="176" fontId="31" fillId="4" borderId="23" xfId="1" applyNumberFormat="1" applyFont="1" applyFill="1" applyBorder="1" applyAlignment="1" applyProtection="1">
      <alignment horizontal="right"/>
    </xf>
    <xf numFmtId="176" fontId="31" fillId="4" borderId="3" xfId="1" applyNumberFormat="1" applyFont="1" applyFill="1" applyBorder="1" applyAlignment="1" applyProtection="1">
      <alignment horizontal="right"/>
    </xf>
    <xf numFmtId="0" fontId="41" fillId="0" borderId="23" xfId="0" applyFont="1" applyFill="1" applyBorder="1" applyAlignment="1" applyProtection="1">
      <alignment shrinkToFit="1"/>
      <protection locked="0"/>
    </xf>
    <xf numFmtId="186" fontId="41" fillId="0" borderId="2" xfId="0" applyNumberFormat="1" applyFont="1" applyFill="1" applyBorder="1" applyAlignment="1" applyProtection="1">
      <alignment shrinkToFit="1"/>
      <protection locked="0"/>
    </xf>
    <xf numFmtId="2" fontId="41" fillId="0" borderId="23" xfId="0" applyNumberFormat="1" applyFont="1" applyFill="1" applyBorder="1" applyAlignment="1" applyProtection="1">
      <alignment shrinkToFit="1"/>
      <protection locked="0"/>
    </xf>
    <xf numFmtId="0" fontId="41" fillId="0" borderId="3" xfId="0" applyFont="1" applyFill="1" applyBorder="1" applyAlignment="1" applyProtection="1">
      <alignment horizontal="center" shrinkToFit="1"/>
      <protection locked="0"/>
    </xf>
    <xf numFmtId="9" fontId="13" fillId="0" borderId="3" xfId="0" applyNumberFormat="1" applyFont="1" applyFill="1" applyBorder="1" applyAlignment="1" applyProtection="1">
      <alignment horizontal="center" vertical="center" shrinkToFit="1"/>
      <protection locked="0"/>
    </xf>
    <xf numFmtId="38" fontId="41" fillId="0" borderId="3" xfId="1" applyFont="1" applyFill="1" applyBorder="1" applyAlignment="1" applyProtection="1">
      <alignment vertical="center" shrinkToFit="1"/>
      <protection locked="0"/>
    </xf>
    <xf numFmtId="198" fontId="41" fillId="0" borderId="3" xfId="1" applyNumberFormat="1" applyFont="1" applyFill="1" applyBorder="1" applyAlignment="1" applyProtection="1">
      <alignment horizontal="right" vertical="center" shrinkToFit="1"/>
      <protection locked="0"/>
    </xf>
    <xf numFmtId="9" fontId="41" fillId="0" borderId="3" xfId="0" applyNumberFormat="1" applyFont="1" applyFill="1" applyBorder="1" applyAlignment="1" applyProtection="1">
      <alignment horizontal="center" vertical="center" shrinkToFit="1"/>
      <protection locked="0"/>
    </xf>
    <xf numFmtId="38" fontId="41" fillId="0" borderId="3" xfId="1" applyFont="1" applyFill="1" applyBorder="1" applyAlignment="1" applyProtection="1">
      <alignment horizontal="right" vertical="center" shrinkToFit="1"/>
      <protection locked="0"/>
    </xf>
    <xf numFmtId="181" fontId="41" fillId="0" borderId="3" xfId="0" applyNumberFormat="1" applyFont="1" applyFill="1" applyBorder="1" applyAlignment="1" applyProtection="1">
      <alignment horizontal="center" vertical="center" shrinkToFit="1"/>
      <protection locked="0"/>
    </xf>
    <xf numFmtId="176" fontId="13" fillId="14" borderId="3" xfId="0" applyNumberFormat="1" applyFont="1" applyFill="1" applyBorder="1" applyAlignment="1" applyProtection="1">
      <alignment horizontal="center" vertical="center" shrinkToFit="1"/>
    </xf>
    <xf numFmtId="184" fontId="41" fillId="0" borderId="3" xfId="0" applyNumberFormat="1" applyFont="1" applyFill="1" applyBorder="1" applyAlignment="1" applyProtection="1">
      <alignment vertical="center" shrinkToFit="1"/>
      <protection locked="0"/>
    </xf>
    <xf numFmtId="185" fontId="41" fillId="0" borderId="3" xfId="0" applyNumberFormat="1" applyFont="1" applyFill="1" applyBorder="1" applyAlignment="1" applyProtection="1">
      <alignment vertical="center" shrinkToFit="1"/>
      <protection locked="0"/>
    </xf>
    <xf numFmtId="184" fontId="41" fillId="0" borderId="3" xfId="1" applyNumberFormat="1" applyFont="1" applyFill="1" applyBorder="1" applyAlignment="1" applyProtection="1">
      <alignment horizontal="right" vertical="center" shrinkToFit="1"/>
      <protection locked="0"/>
    </xf>
    <xf numFmtId="184" fontId="41" fillId="0" borderId="3" xfId="1" applyNumberFormat="1" applyFont="1" applyFill="1" applyBorder="1" applyAlignment="1" applyProtection="1">
      <alignment vertical="center" shrinkToFit="1"/>
      <protection locked="0"/>
    </xf>
    <xf numFmtId="9" fontId="13" fillId="13" borderId="3" xfId="2" applyFont="1" applyFill="1" applyBorder="1" applyAlignment="1" applyProtection="1">
      <alignment horizontal="center" vertical="center" shrinkToFit="1"/>
    </xf>
    <xf numFmtId="178" fontId="13" fillId="13" borderId="3" xfId="0" applyNumberFormat="1" applyFont="1" applyFill="1" applyBorder="1" applyAlignment="1" applyProtection="1">
      <alignment horizontal="center" vertical="center" shrinkToFit="1"/>
    </xf>
    <xf numFmtId="178" fontId="13" fillId="13" borderId="4" xfId="0" applyNumberFormat="1" applyFont="1" applyFill="1" applyBorder="1" applyAlignment="1" applyProtection="1">
      <alignment horizontal="center" vertical="center" shrinkToFit="1"/>
    </xf>
    <xf numFmtId="0" fontId="41" fillId="0" borderId="0" xfId="0" applyFont="1" applyAlignment="1">
      <alignment horizontal="right"/>
    </xf>
    <xf numFmtId="0" fontId="0" fillId="0" borderId="51" xfId="0" applyFill="1" applyBorder="1" applyAlignment="1">
      <alignment vertical="center"/>
    </xf>
    <xf numFmtId="0" fontId="0" fillId="0" borderId="0" xfId="0" applyAlignment="1">
      <alignment horizontal="left" vertical="center" indent="1"/>
    </xf>
    <xf numFmtId="184" fontId="13" fillId="14" borderId="3" xfId="0" applyNumberFormat="1" applyFont="1" applyFill="1" applyBorder="1" applyAlignment="1" applyProtection="1">
      <alignment horizontal="right" vertical="center" shrinkToFit="1"/>
    </xf>
    <xf numFmtId="185" fontId="13" fillId="14" borderId="3" xfId="0" applyNumberFormat="1" applyFont="1" applyFill="1" applyBorder="1" applyAlignment="1" applyProtection="1">
      <alignment horizontal="right" vertical="center" shrinkToFit="1"/>
    </xf>
    <xf numFmtId="184" fontId="13" fillId="14" borderId="3" xfId="1" applyNumberFormat="1" applyFont="1" applyFill="1" applyBorder="1" applyAlignment="1" applyProtection="1">
      <alignment horizontal="right" vertical="center" shrinkToFit="1"/>
    </xf>
    <xf numFmtId="38" fontId="41" fillId="5" borderId="3" xfId="1" applyFont="1" applyFill="1" applyBorder="1" applyAlignment="1" applyProtection="1">
      <alignment vertical="center" shrinkToFit="1"/>
    </xf>
    <xf numFmtId="9" fontId="13" fillId="0" borderId="1" xfId="0" applyNumberFormat="1" applyFont="1" applyFill="1" applyBorder="1" applyAlignment="1" applyProtection="1">
      <alignment horizontal="center" shrinkToFit="1"/>
      <protection locked="0"/>
    </xf>
    <xf numFmtId="180" fontId="41" fillId="0" borderId="3" xfId="0" applyNumberFormat="1" applyFont="1" applyFill="1" applyBorder="1" applyAlignment="1" applyProtection="1">
      <alignment shrinkToFit="1"/>
      <protection locked="0"/>
    </xf>
    <xf numFmtId="0" fontId="41" fillId="0" borderId="3" xfId="0" applyFont="1" applyFill="1" applyBorder="1" applyAlignment="1" applyProtection="1">
      <alignment shrinkToFit="1"/>
      <protection locked="0"/>
    </xf>
    <xf numFmtId="40" fontId="0" fillId="5" borderId="3" xfId="1" applyNumberFormat="1" applyFont="1" applyFill="1" applyBorder="1" applyAlignment="1" applyProtection="1">
      <alignment horizontal="right" vertical="center" shrinkToFit="1"/>
      <protection locked="0"/>
    </xf>
    <xf numFmtId="9" fontId="0" fillId="13" borderId="3" xfId="0" applyNumberFormat="1" applyFill="1" applyBorder="1" applyAlignment="1" applyProtection="1">
      <alignment vertical="center" shrinkToFit="1"/>
      <protection locked="0"/>
    </xf>
    <xf numFmtId="0" fontId="0" fillId="13" borderId="3" xfId="0" applyFill="1" applyBorder="1" applyAlignment="1" applyProtection="1">
      <alignment horizontal="center" vertical="center" shrinkToFit="1"/>
      <protection locked="0"/>
    </xf>
    <xf numFmtId="9" fontId="0" fillId="13" borderId="3" xfId="1" applyNumberFormat="1" applyFont="1" applyFill="1" applyBorder="1" applyAlignment="1" applyProtection="1">
      <alignment horizontal="right" vertical="center" shrinkToFit="1"/>
      <protection locked="0"/>
    </xf>
    <xf numFmtId="0" fontId="41" fillId="5" borderId="3" xfId="0" applyNumberFormat="1" applyFont="1" applyFill="1" applyBorder="1" applyAlignment="1" applyProtection="1">
      <alignment horizontal="center" vertical="center" shrinkToFit="1"/>
    </xf>
    <xf numFmtId="0" fontId="16" fillId="0" borderId="0" xfId="4" applyProtection="1">
      <alignment vertical="center"/>
    </xf>
    <xf numFmtId="0" fontId="41" fillId="0" borderId="0" xfId="4" applyFont="1" applyProtection="1">
      <alignment vertical="center"/>
    </xf>
    <xf numFmtId="187" fontId="16" fillId="0" borderId="0" xfId="4" applyNumberFormat="1" applyProtection="1">
      <alignment vertical="center"/>
    </xf>
    <xf numFmtId="183" fontId="0" fillId="0" borderId="3" xfId="5" applyNumberFormat="1" applyFont="1" applyFill="1" applyBorder="1" applyAlignment="1" applyProtection="1">
      <alignment horizontal="right" vertical="center" shrinkToFit="1"/>
    </xf>
    <xf numFmtId="188" fontId="0" fillId="0" borderId="3" xfId="5" applyNumberFormat="1" applyFont="1" applyFill="1" applyBorder="1" applyAlignment="1" applyProtection="1">
      <alignment vertical="center" shrinkToFit="1"/>
    </xf>
    <xf numFmtId="0" fontId="13" fillId="0" borderId="3" xfId="3" applyFont="1" applyBorder="1" applyProtection="1">
      <alignment vertical="center"/>
    </xf>
    <xf numFmtId="183" fontId="0" fillId="5" borderId="3" xfId="5" applyNumberFormat="1" applyFont="1" applyFill="1" applyBorder="1" applyAlignment="1" applyProtection="1">
      <alignment horizontal="right" vertical="center" shrinkToFit="1"/>
    </xf>
    <xf numFmtId="188" fontId="0" fillId="5" borderId="3" xfId="5" applyNumberFormat="1" applyFont="1" applyFill="1" applyBorder="1" applyAlignment="1" applyProtection="1">
      <alignment vertical="center" shrinkToFit="1"/>
    </xf>
    <xf numFmtId="0" fontId="13" fillId="5" borderId="3" xfId="3" applyFont="1" applyFill="1" applyBorder="1" applyProtection="1">
      <alignment vertical="center"/>
    </xf>
    <xf numFmtId="189" fontId="0" fillId="0" borderId="3" xfId="5" applyNumberFormat="1" applyFont="1" applyFill="1" applyBorder="1" applyAlignment="1" applyProtection="1">
      <alignment horizontal="right" vertical="center" shrinkToFit="1"/>
    </xf>
    <xf numFmtId="0" fontId="13" fillId="0" borderId="3" xfId="3" applyFont="1" applyFill="1" applyBorder="1" applyProtection="1">
      <alignment vertical="center"/>
    </xf>
    <xf numFmtId="190" fontId="0" fillId="0" borderId="3" xfId="5" applyNumberFormat="1" applyFont="1" applyFill="1" applyBorder="1" applyAlignment="1" applyProtection="1">
      <alignment vertical="center" shrinkToFit="1"/>
    </xf>
    <xf numFmtId="0" fontId="13" fillId="5" borderId="3" xfId="6" applyFont="1" applyFill="1" applyBorder="1" applyAlignment="1" applyProtection="1">
      <alignment vertical="center" wrapText="1" shrinkToFit="1"/>
    </xf>
    <xf numFmtId="189" fontId="61" fillId="5" borderId="3" xfId="5" applyNumberFormat="1" applyFont="1" applyFill="1" applyBorder="1" applyAlignment="1" applyProtection="1">
      <alignment horizontal="right" vertical="center" shrinkToFit="1"/>
    </xf>
    <xf numFmtId="189" fontId="23" fillId="5" borderId="3" xfId="5" applyNumberFormat="1" applyFont="1" applyFill="1" applyBorder="1" applyAlignment="1" applyProtection="1">
      <alignment horizontal="right" vertical="center" shrinkToFit="1"/>
    </xf>
    <xf numFmtId="0" fontId="16" fillId="0" borderId="0" xfId="4" applyProtection="1">
      <alignment vertical="center"/>
      <protection locked="0"/>
    </xf>
    <xf numFmtId="187" fontId="16" fillId="0" borderId="0" xfId="4" applyNumberFormat="1" applyProtection="1">
      <alignment vertical="center"/>
      <protection locked="0"/>
    </xf>
    <xf numFmtId="0" fontId="0" fillId="2" borderId="10" xfId="0" applyFill="1" applyBorder="1" applyAlignment="1" applyProtection="1"/>
    <xf numFmtId="0" fontId="41" fillId="0" borderId="10" xfId="0" applyFont="1" applyFill="1" applyBorder="1" applyAlignment="1" applyProtection="1">
      <alignment vertical="center" shrinkToFit="1"/>
      <protection locked="0"/>
    </xf>
    <xf numFmtId="0" fontId="41" fillId="0" borderId="10" xfId="0" applyFont="1" applyFill="1" applyBorder="1" applyAlignment="1" applyProtection="1">
      <alignment horizontal="center" vertical="center" shrinkToFit="1"/>
      <protection locked="0"/>
    </xf>
    <xf numFmtId="9" fontId="41" fillId="0" borderId="10" xfId="7" applyFont="1" applyFill="1" applyBorder="1" applyAlignment="1" applyProtection="1">
      <alignment horizontal="center" vertical="center" shrinkToFit="1"/>
      <protection locked="0"/>
    </xf>
    <xf numFmtId="184" fontId="41" fillId="0" borderId="10" xfId="0" applyNumberFormat="1" applyFont="1" applyFill="1" applyBorder="1" applyAlignment="1" applyProtection="1">
      <alignment vertical="center" shrinkToFit="1"/>
      <protection locked="0"/>
    </xf>
    <xf numFmtId="185" fontId="41" fillId="0" borderId="10" xfId="0" applyNumberFormat="1" applyFont="1" applyFill="1" applyBorder="1" applyAlignment="1" applyProtection="1">
      <alignment vertical="center" shrinkToFit="1"/>
      <protection locked="0"/>
    </xf>
    <xf numFmtId="38" fontId="41" fillId="0" borderId="10" xfId="1" applyFont="1" applyFill="1" applyBorder="1" applyAlignment="1" applyProtection="1">
      <alignment horizontal="right" vertical="center" shrinkToFit="1"/>
      <protection locked="0"/>
    </xf>
    <xf numFmtId="184" fontId="41" fillId="0" borderId="10" xfId="1" applyNumberFormat="1" applyFont="1" applyFill="1" applyBorder="1" applyAlignment="1" applyProtection="1">
      <alignment horizontal="right" vertical="center" shrinkToFit="1"/>
      <protection locked="0"/>
    </xf>
    <xf numFmtId="38" fontId="41" fillId="5" borderId="10" xfId="1" applyFont="1" applyFill="1" applyBorder="1" applyAlignment="1" applyProtection="1">
      <alignment horizontal="right" vertical="center" shrinkToFit="1"/>
    </xf>
    <xf numFmtId="179" fontId="41" fillId="5" borderId="10" xfId="0" applyNumberFormat="1" applyFont="1" applyFill="1" applyBorder="1" applyAlignment="1" applyProtection="1">
      <alignment horizontal="right" vertical="center" shrinkToFit="1"/>
    </xf>
    <xf numFmtId="184" fontId="41" fillId="0" borderId="10" xfId="1" applyNumberFormat="1" applyFont="1" applyFill="1" applyBorder="1" applyAlignment="1" applyProtection="1">
      <alignment vertical="center" shrinkToFit="1"/>
      <protection locked="0"/>
    </xf>
    <xf numFmtId="38" fontId="41" fillId="5" borderId="12" xfId="1" applyFont="1" applyFill="1" applyBorder="1" applyAlignment="1" applyProtection="1">
      <alignment horizontal="right" vertical="center" shrinkToFit="1"/>
    </xf>
    <xf numFmtId="179" fontId="41" fillId="5" borderId="12" xfId="0" applyNumberFormat="1" applyFont="1" applyFill="1" applyBorder="1" applyAlignment="1" applyProtection="1">
      <alignment horizontal="right" vertical="center" shrinkToFit="1"/>
    </xf>
    <xf numFmtId="38" fontId="41" fillId="5" borderId="67" xfId="1" applyFont="1" applyFill="1" applyBorder="1" applyAlignment="1" applyProtection="1">
      <alignment horizontal="right" vertical="center"/>
    </xf>
    <xf numFmtId="179" fontId="41" fillId="5" borderId="12" xfId="0" applyNumberFormat="1" applyFont="1" applyFill="1" applyBorder="1" applyAlignment="1" applyProtection="1">
      <alignment horizontal="right" vertical="center"/>
    </xf>
    <xf numFmtId="182" fontId="41" fillId="5" borderId="12" xfId="0" applyNumberFormat="1" applyFont="1" applyFill="1" applyBorder="1" applyAlignment="1" applyProtection="1">
      <alignment horizontal="right" vertical="center"/>
    </xf>
    <xf numFmtId="0" fontId="0" fillId="0" borderId="10" xfId="0" applyFill="1" applyBorder="1" applyAlignment="1" applyProtection="1">
      <alignment horizontal="center" vertical="center" shrinkToFit="1"/>
      <protection locked="0"/>
    </xf>
    <xf numFmtId="38" fontId="13" fillId="5" borderId="10" xfId="1" applyFont="1" applyFill="1" applyBorder="1" applyAlignment="1" applyProtection="1">
      <alignment horizontal="right" vertical="center" shrinkToFit="1"/>
    </xf>
    <xf numFmtId="38" fontId="41" fillId="5" borderId="10" xfId="1" applyFont="1" applyFill="1" applyBorder="1" applyAlignment="1" applyProtection="1">
      <alignment vertical="center" shrinkToFit="1"/>
    </xf>
    <xf numFmtId="179" fontId="13" fillId="5" borderId="10" xfId="0" applyNumberFormat="1" applyFont="1" applyFill="1" applyBorder="1" applyAlignment="1" applyProtection="1">
      <alignment horizontal="right" vertical="center" shrinkToFit="1"/>
    </xf>
    <xf numFmtId="38" fontId="41" fillId="5" borderId="67" xfId="1" applyFont="1" applyFill="1" applyBorder="1" applyAlignment="1" applyProtection="1">
      <alignment horizontal="right" vertical="center" shrinkToFit="1"/>
    </xf>
    <xf numFmtId="38" fontId="13" fillId="5" borderId="12" xfId="1" applyFont="1" applyFill="1" applyBorder="1" applyAlignment="1" applyProtection="1">
      <alignment horizontal="right" vertical="center" shrinkToFit="1"/>
    </xf>
    <xf numFmtId="182" fontId="41" fillId="5" borderId="12" xfId="0" applyNumberFormat="1" applyFont="1" applyFill="1" applyBorder="1" applyAlignment="1" applyProtection="1">
      <alignment horizontal="right" vertical="center" shrinkToFit="1"/>
    </xf>
    <xf numFmtId="0" fontId="41" fillId="0" borderId="10" xfId="0" applyFont="1" applyFill="1" applyBorder="1" applyAlignment="1" applyProtection="1">
      <alignment shrinkToFit="1"/>
      <protection locked="0"/>
    </xf>
    <xf numFmtId="9" fontId="13" fillId="0" borderId="6" xfId="0" applyNumberFormat="1" applyFont="1" applyFill="1" applyBorder="1" applyAlignment="1" applyProtection="1">
      <alignment horizontal="center" shrinkToFit="1"/>
      <protection locked="0"/>
    </xf>
    <xf numFmtId="0" fontId="41" fillId="0" borderId="38" xfId="0" applyFont="1" applyFill="1" applyBorder="1" applyAlignment="1" applyProtection="1">
      <alignment shrinkToFit="1"/>
      <protection locked="0"/>
    </xf>
    <xf numFmtId="186" fontId="41" fillId="0" borderId="18" xfId="0" applyNumberFormat="1" applyFont="1" applyFill="1" applyBorder="1" applyAlignment="1" applyProtection="1">
      <alignment shrinkToFit="1"/>
      <protection locked="0"/>
    </xf>
    <xf numFmtId="180" fontId="41" fillId="0" borderId="10" xfId="0" applyNumberFormat="1" applyFont="1" applyFill="1" applyBorder="1" applyAlignment="1" applyProtection="1">
      <alignment shrinkToFit="1"/>
      <protection locked="0"/>
    </xf>
    <xf numFmtId="2" fontId="41" fillId="0" borderId="38" xfId="0" applyNumberFormat="1" applyFont="1" applyFill="1" applyBorder="1" applyAlignment="1" applyProtection="1">
      <alignment shrinkToFit="1"/>
      <protection locked="0"/>
    </xf>
    <xf numFmtId="0" fontId="41" fillId="0" borderId="10" xfId="0" applyFont="1" applyFill="1" applyBorder="1" applyAlignment="1" applyProtection="1">
      <alignment horizontal="center" shrinkToFit="1"/>
      <protection locked="0"/>
    </xf>
    <xf numFmtId="0" fontId="0" fillId="2" borderId="12" xfId="0" applyFill="1" applyBorder="1" applyAlignment="1" applyProtection="1">
      <alignment horizontal="left" vertical="center" shrinkToFit="1"/>
    </xf>
    <xf numFmtId="0" fontId="0" fillId="2" borderId="12" xfId="0" applyFill="1" applyBorder="1" applyAlignment="1" applyProtection="1">
      <alignment vertical="center" shrinkToFit="1"/>
    </xf>
    <xf numFmtId="0" fontId="41" fillId="5" borderId="67" xfId="0" applyFont="1" applyFill="1" applyBorder="1" applyAlignment="1" applyProtection="1">
      <alignment horizontal="right" vertical="center"/>
    </xf>
    <xf numFmtId="0" fontId="41" fillId="5" borderId="12" xfId="0" applyFont="1" applyFill="1" applyBorder="1" applyAlignment="1" applyProtection="1">
      <alignment horizontal="right" vertical="center"/>
    </xf>
    <xf numFmtId="184" fontId="41" fillId="5" borderId="12" xfId="0" applyNumberFormat="1" applyFont="1" applyFill="1" applyBorder="1" applyAlignment="1" applyProtection="1">
      <alignment horizontal="right" vertical="center"/>
    </xf>
    <xf numFmtId="0" fontId="41" fillId="5" borderId="67" xfId="0" applyFont="1" applyFill="1" applyBorder="1" applyAlignment="1" applyProtection="1">
      <alignment horizontal="right" vertical="center" shrinkToFit="1"/>
    </xf>
    <xf numFmtId="0" fontId="0" fillId="5" borderId="67" xfId="0" applyFill="1" applyBorder="1" applyAlignment="1" applyProtection="1">
      <alignment horizontal="right" vertical="center" shrinkToFit="1"/>
    </xf>
    <xf numFmtId="0" fontId="41" fillId="5" borderId="12" xfId="0" applyFont="1" applyFill="1" applyBorder="1" applyAlignment="1" applyProtection="1">
      <alignment horizontal="right" vertical="center" shrinkToFit="1"/>
    </xf>
    <xf numFmtId="184" fontId="41" fillId="5" borderId="12" xfId="0" applyNumberFormat="1" applyFont="1" applyFill="1" applyBorder="1" applyAlignment="1" applyProtection="1">
      <alignment horizontal="right" vertical="center" shrinkToFit="1"/>
    </xf>
    <xf numFmtId="0" fontId="0" fillId="5" borderId="12" xfId="0" applyFill="1" applyBorder="1" applyProtection="1">
      <alignment vertical="center"/>
    </xf>
    <xf numFmtId="38" fontId="0" fillId="5" borderId="12" xfId="1" applyFont="1" applyFill="1" applyBorder="1" applyProtection="1">
      <alignment vertical="center"/>
    </xf>
    <xf numFmtId="0" fontId="0" fillId="5" borderId="71" xfId="0" applyFill="1" applyBorder="1" applyProtection="1">
      <alignment vertical="center"/>
    </xf>
    <xf numFmtId="38" fontId="0" fillId="5" borderId="71" xfId="1" applyFont="1" applyFill="1" applyBorder="1" applyProtection="1">
      <alignment vertical="center"/>
    </xf>
    <xf numFmtId="38" fontId="0" fillId="5" borderId="72" xfId="1" applyFont="1" applyFill="1" applyBorder="1" applyProtection="1">
      <alignment vertical="center"/>
    </xf>
    <xf numFmtId="0" fontId="0" fillId="0" borderId="43" xfId="0" applyFill="1" applyBorder="1">
      <alignment vertical="center"/>
    </xf>
    <xf numFmtId="0" fontId="0" fillId="2" borderId="10" xfId="0" applyFill="1" applyBorder="1" applyAlignment="1" applyProtection="1">
      <alignment shrinkToFit="1"/>
    </xf>
    <xf numFmtId="184" fontId="0" fillId="0" borderId="10" xfId="0" applyNumberFormat="1" applyFill="1" applyBorder="1" applyAlignment="1" applyProtection="1">
      <alignment vertical="center" shrinkToFit="1"/>
      <protection locked="0"/>
    </xf>
    <xf numFmtId="0" fontId="0" fillId="0" borderId="10" xfId="0" applyFill="1" applyBorder="1" applyAlignment="1" applyProtection="1">
      <alignment vertical="center" shrinkToFit="1"/>
      <protection locked="0"/>
    </xf>
    <xf numFmtId="185" fontId="9" fillId="0" borderId="10" xfId="0" applyNumberFormat="1" applyFont="1" applyFill="1" applyBorder="1" applyAlignment="1" applyProtection="1">
      <alignment horizontal="center" vertical="center" shrinkToFit="1"/>
      <protection locked="0"/>
    </xf>
    <xf numFmtId="177" fontId="0" fillId="0" borderId="10" xfId="0" applyNumberFormat="1" applyFill="1" applyBorder="1" applyAlignment="1" applyProtection="1">
      <alignment vertical="center" shrinkToFit="1"/>
      <protection locked="0"/>
    </xf>
    <xf numFmtId="38" fontId="0" fillId="5" borderId="10" xfId="1" applyFont="1" applyFill="1" applyBorder="1" applyAlignment="1" applyProtection="1">
      <alignment horizontal="right" vertical="center" shrinkToFit="1"/>
    </xf>
    <xf numFmtId="178" fontId="0" fillId="0" borderId="10" xfId="2" applyNumberFormat="1" applyFont="1" applyFill="1" applyBorder="1" applyAlignment="1" applyProtection="1">
      <alignment vertical="center" shrinkToFit="1"/>
      <protection locked="0"/>
    </xf>
    <xf numFmtId="186" fontId="0" fillId="0" borderId="10" xfId="2" applyNumberFormat="1" applyFont="1" applyFill="1" applyBorder="1" applyAlignment="1" applyProtection="1">
      <alignment vertical="center" shrinkToFit="1"/>
      <protection locked="0"/>
    </xf>
    <xf numFmtId="180" fontId="0" fillId="0" borderId="10" xfId="2" applyNumberFormat="1" applyFont="1" applyFill="1" applyBorder="1" applyAlignment="1" applyProtection="1">
      <alignment vertical="center" shrinkToFit="1"/>
      <protection locked="0"/>
    </xf>
    <xf numFmtId="38" fontId="0" fillId="0" borderId="10" xfId="1" applyFont="1" applyFill="1" applyBorder="1" applyAlignment="1" applyProtection="1">
      <alignment vertical="center" shrinkToFit="1"/>
    </xf>
    <xf numFmtId="9" fontId="0" fillId="0" borderId="10" xfId="0" applyNumberFormat="1" applyFill="1" applyBorder="1" applyAlignment="1" applyProtection="1">
      <alignment vertical="center" shrinkToFit="1"/>
      <protection locked="0"/>
    </xf>
    <xf numFmtId="38" fontId="0" fillId="5" borderId="10" xfId="1" applyFont="1" applyFill="1" applyBorder="1" applyAlignment="1" applyProtection="1">
      <alignment vertical="center" shrinkToFit="1"/>
    </xf>
    <xf numFmtId="0" fontId="0" fillId="5" borderId="67" xfId="0" applyFill="1" applyBorder="1" applyAlignment="1" applyProtection="1">
      <alignment horizontal="right" vertical="center" wrapText="1" shrinkToFit="1"/>
    </xf>
    <xf numFmtId="184" fontId="0" fillId="5" borderId="12" xfId="0" applyNumberFormat="1" applyFill="1" applyBorder="1" applyAlignment="1" applyProtection="1">
      <alignment horizontal="right" vertical="center" shrinkToFit="1"/>
    </xf>
    <xf numFmtId="0" fontId="0" fillId="5" borderId="12" xfId="0" applyFill="1" applyBorder="1" applyAlignment="1" applyProtection="1">
      <alignment horizontal="right" vertical="center" shrinkToFit="1"/>
    </xf>
    <xf numFmtId="185" fontId="0" fillId="5" borderId="12" xfId="0" applyNumberFormat="1" applyFill="1" applyBorder="1" applyAlignment="1" applyProtection="1">
      <alignment horizontal="right" vertical="center" shrinkToFit="1"/>
    </xf>
    <xf numFmtId="38" fontId="0" fillId="5" borderId="67" xfId="1" applyFont="1" applyFill="1" applyBorder="1" applyAlignment="1" applyProtection="1">
      <alignment horizontal="right" vertical="center" shrinkToFit="1"/>
    </xf>
    <xf numFmtId="38" fontId="0" fillId="5" borderId="12" xfId="1" applyFont="1" applyFill="1" applyBorder="1" applyAlignment="1" applyProtection="1">
      <alignment horizontal="right" vertical="center" shrinkToFit="1"/>
    </xf>
    <xf numFmtId="182" fontId="0" fillId="5" borderId="12" xfId="0" applyNumberFormat="1" applyFill="1" applyBorder="1" applyAlignment="1" applyProtection="1">
      <alignment horizontal="right" vertical="center" shrinkToFit="1"/>
    </xf>
    <xf numFmtId="38" fontId="36" fillId="0" borderId="0" xfId="1" applyFont="1" applyBorder="1" applyAlignment="1" applyProtection="1">
      <alignment vertical="center" shrinkToFit="1"/>
    </xf>
    <xf numFmtId="9" fontId="0" fillId="0" borderId="10" xfId="2" applyNumberFormat="1" applyFont="1" applyFill="1" applyBorder="1" applyAlignment="1" applyProtection="1">
      <alignment vertical="center" shrinkToFit="1"/>
      <protection locked="0"/>
    </xf>
    <xf numFmtId="179" fontId="0" fillId="16" borderId="10" xfId="0" applyNumberFormat="1" applyFill="1" applyBorder="1" applyAlignment="1" applyProtection="1">
      <alignment horizontal="center" vertical="center" shrinkToFit="1"/>
      <protection locked="0"/>
    </xf>
    <xf numFmtId="0" fontId="0" fillId="2" borderId="12" xfId="0" applyFill="1" applyBorder="1" applyAlignment="1" applyProtection="1">
      <alignment horizontal="center" shrinkToFit="1"/>
    </xf>
    <xf numFmtId="0" fontId="0" fillId="2" borderId="3" xfId="0" applyFill="1" applyBorder="1" applyAlignment="1" applyProtection="1">
      <alignment vertical="center" shrinkToFit="1"/>
    </xf>
    <xf numFmtId="0" fontId="0" fillId="5" borderId="67" xfId="0" applyFill="1" applyBorder="1" applyAlignment="1" applyProtection="1">
      <alignment vertical="center" shrinkToFit="1"/>
    </xf>
    <xf numFmtId="0" fontId="0" fillId="5" borderId="67" xfId="0" applyFill="1" applyBorder="1" applyAlignment="1" applyProtection="1">
      <alignment horizontal="center" vertical="center" shrinkToFit="1"/>
    </xf>
    <xf numFmtId="9" fontId="0" fillId="5" borderId="67" xfId="0" applyNumberFormat="1" applyFill="1" applyBorder="1" applyAlignment="1" applyProtection="1">
      <alignment horizontal="right" vertical="center" shrinkToFit="1"/>
    </xf>
    <xf numFmtId="179" fontId="0" fillId="5" borderId="67" xfId="0" applyNumberFormat="1" applyFill="1" applyBorder="1" applyAlignment="1" applyProtection="1">
      <alignment horizontal="right" vertical="center" shrinkToFit="1"/>
    </xf>
    <xf numFmtId="185" fontId="41" fillId="5" borderId="67" xfId="0" applyNumberFormat="1" applyFont="1" applyFill="1" applyBorder="1" applyAlignment="1" applyProtection="1">
      <alignment horizontal="right" vertical="center"/>
    </xf>
    <xf numFmtId="185" fontId="41" fillId="5" borderId="67" xfId="0" applyNumberFormat="1" applyFont="1" applyFill="1" applyBorder="1" applyAlignment="1" applyProtection="1">
      <alignment horizontal="right" vertical="center" shrinkToFit="1"/>
    </xf>
    <xf numFmtId="0" fontId="0" fillId="5" borderId="67" xfId="0" applyFill="1" applyBorder="1" applyProtection="1">
      <alignment vertical="center"/>
    </xf>
    <xf numFmtId="0" fontId="0" fillId="5" borderId="73" xfId="0" applyFill="1" applyBorder="1" applyProtection="1">
      <alignment vertical="center"/>
    </xf>
    <xf numFmtId="0" fontId="0" fillId="5" borderId="75" xfId="0" applyFill="1" applyBorder="1" applyProtection="1">
      <alignment vertical="center"/>
    </xf>
    <xf numFmtId="38" fontId="0" fillId="5" borderId="67" xfId="1" applyFont="1" applyFill="1" applyBorder="1" applyProtection="1">
      <alignment vertical="center"/>
    </xf>
    <xf numFmtId="180" fontId="41" fillId="0" borderId="10" xfId="0" applyNumberFormat="1" applyFont="1" applyFill="1" applyBorder="1" applyAlignment="1" applyProtection="1">
      <alignment horizontal="center" vertical="center" shrinkToFit="1"/>
      <protection locked="0"/>
    </xf>
    <xf numFmtId="178" fontId="41" fillId="5" borderId="10" xfId="0" applyNumberFormat="1" applyFont="1" applyFill="1" applyBorder="1" applyAlignment="1">
      <alignment horizontal="center" vertical="center" shrinkToFit="1"/>
    </xf>
    <xf numFmtId="178" fontId="41" fillId="16" borderId="10" xfId="0" applyNumberFormat="1" applyFont="1" applyFill="1" applyBorder="1" applyAlignment="1" applyProtection="1">
      <alignment horizontal="center" vertical="center" shrinkToFit="1"/>
      <protection locked="0"/>
    </xf>
    <xf numFmtId="0" fontId="41" fillId="5" borderId="10" xfId="0" applyNumberFormat="1" applyFont="1" applyFill="1" applyBorder="1" applyAlignment="1" applyProtection="1">
      <alignment horizontal="center" vertical="center" shrinkToFit="1"/>
    </xf>
    <xf numFmtId="9" fontId="41" fillId="16" borderId="10" xfId="7" applyFont="1" applyFill="1" applyBorder="1" applyAlignment="1" applyProtection="1">
      <alignment horizontal="center" vertical="center" shrinkToFit="1"/>
      <protection locked="0"/>
    </xf>
    <xf numFmtId="0" fontId="13" fillId="16" borderId="10" xfId="0" applyFont="1" applyFill="1" applyBorder="1" applyAlignment="1" applyProtection="1">
      <alignment horizontal="center" vertical="center" shrinkToFit="1"/>
      <protection locked="0"/>
    </xf>
    <xf numFmtId="38" fontId="13" fillId="5" borderId="10" xfId="1" applyFont="1" applyFill="1" applyBorder="1" applyAlignment="1" applyProtection="1">
      <alignment horizontal="center" vertical="center" shrinkToFit="1"/>
    </xf>
    <xf numFmtId="181" fontId="41" fillId="5" borderId="6" xfId="0" applyNumberFormat="1" applyFont="1" applyFill="1" applyBorder="1" applyAlignment="1" applyProtection="1">
      <alignment horizontal="center" vertical="center" shrinkToFit="1"/>
    </xf>
    <xf numFmtId="2" fontId="41" fillId="0" borderId="38" xfId="0" applyNumberFormat="1" applyFont="1" applyFill="1" applyBorder="1" applyAlignment="1" applyProtection="1">
      <alignment horizontal="center" vertical="center" shrinkToFit="1"/>
      <protection locked="0"/>
    </xf>
    <xf numFmtId="9" fontId="41" fillId="16" borderId="10" xfId="2" applyFont="1" applyFill="1" applyBorder="1" applyAlignment="1" applyProtection="1">
      <alignment horizontal="center" vertical="center" shrinkToFit="1"/>
      <protection locked="0"/>
    </xf>
    <xf numFmtId="176" fontId="41" fillId="5" borderId="38" xfId="1" applyNumberFormat="1" applyFont="1" applyFill="1" applyBorder="1" applyAlignment="1">
      <alignment horizontal="center" vertical="center" shrinkToFit="1"/>
    </xf>
    <xf numFmtId="177" fontId="41" fillId="5" borderId="10" xfId="0" applyNumberFormat="1" applyFont="1" applyFill="1" applyBorder="1" applyAlignment="1">
      <alignment horizontal="center" vertical="center" shrinkToFit="1"/>
    </xf>
    <xf numFmtId="0" fontId="41" fillId="2" borderId="12" xfId="0" applyFont="1" applyFill="1" applyBorder="1" applyAlignment="1" applyProtection="1">
      <alignment horizontal="center" vertical="center" shrinkToFit="1"/>
    </xf>
    <xf numFmtId="38" fontId="13" fillId="5" borderId="12" xfId="1" applyFont="1" applyFill="1" applyBorder="1" applyAlignment="1" applyProtection="1">
      <alignment horizontal="center" vertical="center" shrinkToFit="1"/>
    </xf>
    <xf numFmtId="182" fontId="41" fillId="5" borderId="69" xfId="0" applyNumberFormat="1" applyFont="1" applyFill="1" applyBorder="1" applyAlignment="1" applyProtection="1">
      <alignment horizontal="center" vertical="center" shrinkToFit="1"/>
    </xf>
    <xf numFmtId="176" fontId="41" fillId="5" borderId="70" xfId="1" applyNumberFormat="1" applyFont="1" applyFill="1" applyBorder="1" applyAlignment="1" applyProtection="1">
      <alignment horizontal="center" vertical="center" shrinkToFit="1"/>
    </xf>
    <xf numFmtId="177" fontId="41" fillId="5" borderId="12" xfId="0" applyNumberFormat="1" applyFont="1" applyFill="1" applyBorder="1" applyAlignment="1" applyProtection="1">
      <alignment horizontal="center" vertical="center" shrinkToFit="1"/>
    </xf>
    <xf numFmtId="0" fontId="41" fillId="5" borderId="67" xfId="0" applyFont="1" applyFill="1" applyBorder="1" applyAlignment="1">
      <alignment horizontal="center" vertical="center" shrinkToFit="1"/>
    </xf>
    <xf numFmtId="0" fontId="41" fillId="5" borderId="68" xfId="0" applyFont="1" applyFill="1" applyBorder="1" applyAlignment="1">
      <alignment horizontal="center" vertical="center" shrinkToFit="1"/>
    </xf>
    <xf numFmtId="0" fontId="41" fillId="5" borderId="12" xfId="0" applyFont="1" applyFill="1" applyBorder="1" applyAlignment="1">
      <alignment horizontal="center" vertical="center" shrinkToFit="1"/>
    </xf>
    <xf numFmtId="179" fontId="41" fillId="5" borderId="69" xfId="0" applyNumberFormat="1" applyFont="1" applyFill="1" applyBorder="1" applyAlignment="1" applyProtection="1">
      <alignment horizontal="center" vertical="center" shrinkToFit="1"/>
    </xf>
    <xf numFmtId="0" fontId="41" fillId="5" borderId="75" xfId="0" applyFont="1" applyFill="1" applyBorder="1" applyAlignment="1" applyProtection="1">
      <alignment horizontal="center" vertical="center" shrinkToFit="1"/>
    </xf>
    <xf numFmtId="40" fontId="0" fillId="5" borderId="10" xfId="1" applyNumberFormat="1" applyFont="1" applyFill="1" applyBorder="1" applyAlignment="1" applyProtection="1">
      <alignment horizontal="right" vertical="center" shrinkToFit="1"/>
      <protection locked="0"/>
    </xf>
    <xf numFmtId="38" fontId="0" fillId="0" borderId="10" xfId="1" applyFont="1" applyFill="1" applyBorder="1" applyAlignment="1" applyProtection="1">
      <alignment vertical="center" shrinkToFit="1"/>
      <protection locked="0"/>
    </xf>
    <xf numFmtId="9" fontId="0" fillId="13" borderId="10" xfId="0" applyNumberFormat="1" applyFill="1" applyBorder="1" applyAlignment="1" applyProtection="1">
      <alignment vertical="center" shrinkToFit="1"/>
      <protection locked="0"/>
    </xf>
    <xf numFmtId="38" fontId="0" fillId="0" borderId="10" xfId="1" applyFont="1" applyFill="1" applyBorder="1" applyAlignment="1" applyProtection="1">
      <alignment horizontal="right" vertical="center" shrinkToFit="1"/>
      <protection locked="0"/>
    </xf>
    <xf numFmtId="179" fontId="13" fillId="5" borderId="10" xfId="1" applyNumberFormat="1" applyFont="1" applyFill="1" applyBorder="1" applyAlignment="1" applyProtection="1">
      <alignment horizontal="right" vertical="center" shrinkToFit="1"/>
    </xf>
    <xf numFmtId="0" fontId="0" fillId="13" borderId="10" xfId="0" applyFill="1" applyBorder="1" applyAlignment="1" applyProtection="1">
      <alignment horizontal="center" vertical="center" shrinkToFit="1"/>
      <protection locked="0"/>
    </xf>
    <xf numFmtId="9" fontId="0" fillId="13" borderId="10" xfId="1" applyNumberFormat="1" applyFont="1" applyFill="1" applyBorder="1" applyAlignment="1" applyProtection="1">
      <alignment horizontal="right" vertical="center" shrinkToFit="1"/>
      <protection locked="0"/>
    </xf>
    <xf numFmtId="38" fontId="13" fillId="0" borderId="10" xfId="1" applyFont="1" applyFill="1" applyBorder="1" applyAlignment="1" applyProtection="1">
      <alignment horizontal="right" vertical="center" shrinkToFit="1"/>
      <protection locked="0"/>
    </xf>
    <xf numFmtId="0" fontId="0" fillId="5" borderId="12" xfId="0" applyFill="1" applyBorder="1" applyAlignment="1" applyProtection="1">
      <alignment horizontal="center" vertical="center" shrinkToFit="1"/>
    </xf>
    <xf numFmtId="184" fontId="0" fillId="5" borderId="67" xfId="0" applyNumberFormat="1" applyFill="1" applyBorder="1" applyAlignment="1" applyProtection="1">
      <alignment horizontal="right" vertical="center" shrinkToFit="1"/>
    </xf>
    <xf numFmtId="185" fontId="0" fillId="5" borderId="67" xfId="0" applyNumberFormat="1" applyFill="1" applyBorder="1" applyAlignment="1" applyProtection="1">
      <alignment horizontal="right" vertical="center" shrinkToFit="1"/>
    </xf>
    <xf numFmtId="177" fontId="0" fillId="5" borderId="67" xfId="0" applyNumberFormat="1" applyFill="1" applyBorder="1" applyAlignment="1" applyProtection="1">
      <alignment horizontal="right" vertical="center" shrinkToFit="1"/>
    </xf>
    <xf numFmtId="176" fontId="13" fillId="0" borderId="10" xfId="0" applyNumberFormat="1" applyFont="1" applyFill="1" applyBorder="1" applyAlignment="1" applyProtection="1">
      <alignment horizontal="center" vertical="center" shrinkToFit="1"/>
      <protection locked="0"/>
    </xf>
    <xf numFmtId="9" fontId="13" fillId="0" borderId="10" xfId="0" applyNumberFormat="1" applyFont="1" applyFill="1" applyBorder="1" applyAlignment="1" applyProtection="1">
      <alignment horizontal="center" vertical="center" shrinkToFit="1"/>
      <protection locked="0"/>
    </xf>
    <xf numFmtId="38" fontId="41" fillId="0" borderId="10" xfId="1" applyFont="1" applyFill="1" applyBorder="1" applyAlignment="1" applyProtection="1">
      <alignment vertical="center" shrinkToFit="1"/>
      <protection locked="0"/>
    </xf>
    <xf numFmtId="198" fontId="41" fillId="0" borderId="10" xfId="1" applyNumberFormat="1" applyFont="1" applyFill="1" applyBorder="1" applyAlignment="1" applyProtection="1">
      <alignment horizontal="right" vertical="center" shrinkToFit="1"/>
      <protection locked="0"/>
    </xf>
    <xf numFmtId="9" fontId="41" fillId="0" borderId="10" xfId="0" applyNumberFormat="1" applyFont="1" applyFill="1" applyBorder="1" applyAlignment="1" applyProtection="1">
      <alignment horizontal="center" vertical="center" shrinkToFit="1"/>
      <protection locked="0"/>
    </xf>
    <xf numFmtId="178" fontId="13" fillId="5" borderId="10" xfId="1" applyNumberFormat="1" applyFont="1" applyFill="1" applyBorder="1" applyAlignment="1" applyProtection="1">
      <alignment horizontal="right" vertical="center" shrinkToFit="1"/>
    </xf>
    <xf numFmtId="178" fontId="13" fillId="5" borderId="10" xfId="0" applyNumberFormat="1" applyFont="1" applyFill="1" applyBorder="1" applyAlignment="1" applyProtection="1">
      <alignment horizontal="right" vertical="center" shrinkToFit="1"/>
    </xf>
    <xf numFmtId="178" fontId="13" fillId="0" borderId="10" xfId="0" applyNumberFormat="1" applyFont="1" applyFill="1" applyBorder="1" applyAlignment="1" applyProtection="1">
      <alignment horizontal="right" vertical="center" shrinkToFit="1"/>
      <protection locked="0"/>
    </xf>
    <xf numFmtId="181" fontId="41" fillId="0" borderId="10" xfId="0" applyNumberFormat="1" applyFont="1" applyFill="1" applyBorder="1" applyAlignment="1" applyProtection="1">
      <alignment horizontal="center" vertical="center" shrinkToFit="1"/>
      <protection locked="0"/>
    </xf>
    <xf numFmtId="178" fontId="13" fillId="5" borderId="12" xfId="1" applyNumberFormat="1" applyFont="1" applyFill="1" applyBorder="1" applyAlignment="1" applyProtection="1">
      <alignment horizontal="right" vertical="center" shrinkToFit="1"/>
    </xf>
    <xf numFmtId="178" fontId="13" fillId="5" borderId="12" xfId="0" applyNumberFormat="1" applyFont="1" applyFill="1" applyBorder="1" applyAlignment="1" applyProtection="1">
      <alignment horizontal="right" vertical="center" shrinkToFit="1"/>
    </xf>
    <xf numFmtId="9" fontId="0" fillId="5" borderId="67" xfId="0" applyNumberFormat="1" applyFill="1" applyBorder="1" applyAlignment="1" applyProtection="1">
      <alignment horizontal="center" vertical="center" shrinkToFit="1"/>
    </xf>
    <xf numFmtId="184" fontId="0" fillId="16" borderId="10" xfId="1" applyNumberFormat="1" applyFont="1" applyFill="1" applyBorder="1" applyAlignment="1" applyProtection="1">
      <alignment horizontal="center" vertical="center" shrinkToFit="1"/>
      <protection locked="0"/>
    </xf>
    <xf numFmtId="184" fontId="0" fillId="16" borderId="3" xfId="1" applyNumberFormat="1" applyFont="1" applyFill="1" applyBorder="1" applyAlignment="1" applyProtection="1">
      <alignment horizontal="center" vertical="center" shrinkToFit="1"/>
      <protection locked="0"/>
    </xf>
    <xf numFmtId="184" fontId="13" fillId="16" borderId="3" xfId="1" applyNumberFormat="1" applyFont="1" applyFill="1" applyBorder="1" applyAlignment="1" applyProtection="1">
      <alignment horizontal="center" shrinkToFit="1"/>
    </xf>
    <xf numFmtId="0" fontId="48" fillId="0" borderId="0" xfId="10" applyFont="1" applyBorder="1" applyAlignment="1" applyProtection="1">
      <alignment vertical="center" wrapText="1"/>
    </xf>
    <xf numFmtId="178" fontId="11" fillId="0" borderId="0" xfId="10" applyNumberFormat="1" applyProtection="1">
      <alignment vertical="center"/>
    </xf>
    <xf numFmtId="0" fontId="62" fillId="0" borderId="0" xfId="10" applyFont="1" applyProtection="1">
      <alignment vertical="center"/>
      <protection hidden="1"/>
    </xf>
    <xf numFmtId="0" fontId="62" fillId="0" borderId="0" xfId="10" applyFont="1" applyBorder="1">
      <alignment vertical="center"/>
    </xf>
    <xf numFmtId="0" fontId="11" fillId="0" borderId="0" xfId="10" applyProtection="1">
      <alignment vertical="center"/>
      <protection hidden="1"/>
    </xf>
    <xf numFmtId="0" fontId="62" fillId="0" borderId="0" xfId="10" applyFont="1" applyBorder="1" applyProtection="1">
      <alignment vertical="center"/>
      <protection locked="0"/>
    </xf>
    <xf numFmtId="0" fontId="62" fillId="0" borderId="0" xfId="10" applyFont="1" applyBorder="1" applyAlignment="1">
      <alignment horizontal="left" vertical="center"/>
    </xf>
    <xf numFmtId="0" fontId="62" fillId="0" borderId="0" xfId="10" applyFont="1" applyBorder="1" applyAlignment="1">
      <alignment vertical="center"/>
    </xf>
    <xf numFmtId="0" fontId="10" fillId="0" borderId="0" xfId="10" applyFont="1" applyBorder="1" applyAlignment="1" applyProtection="1">
      <alignment horizontal="center" vertical="center" shrinkToFit="1"/>
      <protection hidden="1"/>
    </xf>
    <xf numFmtId="0" fontId="62" fillId="0" borderId="0" xfId="10" applyFont="1" applyFill="1" applyBorder="1">
      <alignment vertical="center"/>
    </xf>
    <xf numFmtId="0" fontId="63" fillId="0" borderId="0" xfId="10" applyFont="1" applyBorder="1">
      <alignment vertical="center"/>
    </xf>
    <xf numFmtId="0" fontId="63" fillId="0" borderId="0" xfId="10" applyFont="1" applyProtection="1">
      <alignment vertical="center"/>
      <protection hidden="1"/>
    </xf>
    <xf numFmtId="179" fontId="62" fillId="0" borderId="0" xfId="10" applyNumberFormat="1" applyFont="1" applyAlignment="1" applyProtection="1">
      <alignment horizontal="center" vertical="center"/>
      <protection hidden="1"/>
    </xf>
    <xf numFmtId="180" fontId="62" fillId="0" borderId="0" xfId="10" applyNumberFormat="1" applyFont="1" applyAlignment="1" applyProtection="1">
      <alignment horizontal="center" vertical="center"/>
      <protection hidden="1"/>
    </xf>
    <xf numFmtId="0" fontId="62" fillId="0" borderId="0" xfId="10" applyFont="1" applyAlignment="1" applyProtection="1">
      <alignment horizontal="center" vertical="center"/>
      <protection hidden="1"/>
    </xf>
    <xf numFmtId="0" fontId="11" fillId="0" borderId="0" xfId="10">
      <alignment vertical="center"/>
    </xf>
    <xf numFmtId="0" fontId="34" fillId="0" borderId="0" xfId="10" applyFont="1" applyProtection="1">
      <alignment vertical="center"/>
      <protection hidden="1"/>
    </xf>
    <xf numFmtId="0" fontId="0" fillId="0" borderId="0" xfId="0" applyFill="1" applyBorder="1">
      <alignment vertical="center"/>
    </xf>
    <xf numFmtId="178" fontId="0" fillId="5" borderId="67" xfId="2" applyNumberFormat="1" applyFont="1" applyFill="1" applyBorder="1" applyAlignment="1" applyProtection="1">
      <alignment horizontal="right" vertical="center" shrinkToFit="1"/>
    </xf>
    <xf numFmtId="0" fontId="62" fillId="0" borderId="0" xfId="10" applyFont="1" applyBorder="1" applyAlignment="1">
      <alignment vertical="center" shrinkToFit="1"/>
    </xf>
    <xf numFmtId="0" fontId="64" fillId="0" borderId="0" xfId="10" applyFont="1" applyBorder="1" applyAlignment="1">
      <alignment vertical="center" wrapText="1"/>
    </xf>
    <xf numFmtId="38" fontId="66" fillId="0" borderId="0" xfId="12" applyFont="1" applyBorder="1" applyAlignment="1">
      <alignment vertical="center"/>
    </xf>
    <xf numFmtId="178" fontId="11" fillId="0" borderId="0" xfId="2" applyNumberFormat="1" applyFont="1" applyBorder="1" applyAlignment="1" applyProtection="1">
      <alignment vertical="center"/>
    </xf>
    <xf numFmtId="189" fontId="11" fillId="0" borderId="0" xfId="10" applyNumberFormat="1" applyBorder="1" applyAlignment="1" applyProtection="1">
      <alignment vertical="center" shrinkToFit="1"/>
    </xf>
    <xf numFmtId="38" fontId="11" fillId="0" borderId="0" xfId="10" applyNumberFormat="1" applyBorder="1" applyAlignment="1" applyProtection="1">
      <alignment vertical="center" shrinkToFit="1"/>
    </xf>
    <xf numFmtId="189" fontId="11" fillId="0" borderId="3" xfId="10" applyNumberFormat="1" applyBorder="1" applyProtection="1">
      <alignment vertical="center"/>
    </xf>
    <xf numFmtId="38" fontId="11" fillId="0" borderId="0" xfId="1" applyFont="1" applyBorder="1" applyAlignment="1" applyProtection="1">
      <alignment vertical="center" shrinkToFit="1"/>
    </xf>
    <xf numFmtId="189" fontId="11" fillId="0" borderId="3" xfId="10" applyNumberFormat="1" applyBorder="1" applyAlignment="1" applyProtection="1">
      <alignment vertical="center" shrinkToFit="1"/>
    </xf>
    <xf numFmtId="179" fontId="13" fillId="16" borderId="10" xfId="0" applyNumberFormat="1" applyFont="1" applyFill="1" applyBorder="1" applyAlignment="1" applyProtection="1">
      <alignment horizontal="center" vertical="center" shrinkToFit="1"/>
      <protection locked="0"/>
    </xf>
    <xf numFmtId="179" fontId="13" fillId="16" borderId="3" xfId="0" applyNumberFormat="1" applyFont="1" applyFill="1" applyBorder="1" applyAlignment="1" applyProtection="1">
      <alignment horizontal="center" vertical="center" shrinkToFit="1"/>
      <protection locked="0"/>
    </xf>
    <xf numFmtId="199" fontId="0" fillId="5" borderId="10" xfId="1" applyNumberFormat="1" applyFont="1" applyFill="1" applyBorder="1" applyAlignment="1" applyProtection="1">
      <alignment vertical="center" shrinkToFit="1"/>
    </xf>
    <xf numFmtId="199" fontId="0" fillId="5" borderId="10" xfId="0" applyNumberFormat="1" applyFill="1" applyBorder="1" applyAlignment="1">
      <alignment vertical="center" shrinkToFit="1"/>
    </xf>
    <xf numFmtId="199" fontId="0" fillId="5" borderId="10" xfId="0" applyNumberFormat="1" applyFill="1" applyBorder="1" applyAlignment="1" applyProtection="1">
      <alignment vertical="center" shrinkToFit="1"/>
    </xf>
    <xf numFmtId="199" fontId="0" fillId="5" borderId="3" xfId="1" applyNumberFormat="1" applyFont="1" applyFill="1" applyBorder="1" applyAlignment="1" applyProtection="1">
      <alignment vertical="center" shrinkToFit="1"/>
    </xf>
    <xf numFmtId="199" fontId="0" fillId="5" borderId="3" xfId="0" applyNumberFormat="1" applyFill="1" applyBorder="1" applyAlignment="1">
      <alignment vertical="center" shrinkToFit="1"/>
    </xf>
    <xf numFmtId="199" fontId="0" fillId="5" borderId="3" xfId="0" applyNumberFormat="1" applyFill="1" applyBorder="1" applyAlignment="1" applyProtection="1">
      <alignment vertical="center" shrinkToFit="1"/>
    </xf>
    <xf numFmtId="199" fontId="0" fillId="5" borderId="10" xfId="1" applyNumberFormat="1" applyFont="1" applyFill="1" applyBorder="1" applyAlignment="1">
      <alignment vertical="center" shrinkToFit="1"/>
    </xf>
    <xf numFmtId="199" fontId="0" fillId="5" borderId="3" xfId="1" applyNumberFormat="1" applyFont="1" applyFill="1" applyBorder="1" applyAlignment="1">
      <alignment vertical="center" shrinkToFit="1"/>
    </xf>
    <xf numFmtId="199" fontId="13" fillId="5" borderId="10" xfId="1" applyNumberFormat="1" applyFont="1" applyFill="1" applyBorder="1" applyAlignment="1" applyProtection="1">
      <alignment horizontal="right" vertical="center" shrinkToFit="1"/>
    </xf>
    <xf numFmtId="199" fontId="13" fillId="5" borderId="3" xfId="1" applyNumberFormat="1" applyFont="1" applyFill="1" applyBorder="1" applyAlignment="1" applyProtection="1">
      <alignment horizontal="right" vertical="center" shrinkToFit="1"/>
    </xf>
    <xf numFmtId="199" fontId="45" fillId="5" borderId="10" xfId="1" applyNumberFormat="1" applyFont="1" applyFill="1" applyBorder="1" applyAlignment="1" applyProtection="1">
      <alignment horizontal="right" vertical="center" shrinkToFit="1"/>
    </xf>
    <xf numFmtId="199" fontId="45" fillId="5" borderId="3" xfId="1" applyNumberFormat="1" applyFont="1" applyFill="1" applyBorder="1" applyAlignment="1" applyProtection="1">
      <alignment horizontal="right" vertical="center" shrinkToFit="1"/>
    </xf>
    <xf numFmtId="199" fontId="0" fillId="5" borderId="3" xfId="1" applyNumberFormat="1" applyFont="1" applyFill="1" applyBorder="1" applyAlignment="1" applyProtection="1">
      <alignment horizontal="right" vertical="center" shrinkToFit="1"/>
    </xf>
    <xf numFmtId="199" fontId="9" fillId="5" borderId="10" xfId="0" applyNumberFormat="1" applyFont="1" applyFill="1" applyBorder="1" applyAlignment="1" applyProtection="1">
      <alignment horizontal="right" vertical="center" shrinkToFit="1"/>
    </xf>
    <xf numFmtId="199" fontId="9" fillId="5" borderId="3" xfId="0" applyNumberFormat="1" applyFont="1" applyFill="1" applyBorder="1" applyAlignment="1" applyProtection="1">
      <alignment horizontal="right" vertical="center" shrinkToFit="1"/>
    </xf>
    <xf numFmtId="182" fontId="36" fillId="0" borderId="0" xfId="10" applyNumberFormat="1" applyFont="1" applyBorder="1" applyAlignment="1" applyProtection="1">
      <alignment vertical="center" shrinkToFit="1"/>
    </xf>
    <xf numFmtId="0" fontId="36" fillId="0" borderId="0" xfId="10" applyFont="1" applyBorder="1" applyAlignment="1" applyProtection="1">
      <alignment horizontal="left" vertical="center"/>
      <protection hidden="1"/>
    </xf>
    <xf numFmtId="199" fontId="0" fillId="5" borderId="10" xfId="1" applyNumberFormat="1" applyFont="1" applyFill="1" applyBorder="1" applyAlignment="1" applyProtection="1">
      <alignment horizontal="right" vertical="center" shrinkToFit="1"/>
    </xf>
    <xf numFmtId="199" fontId="13" fillId="5" borderId="3" xfId="0" applyNumberFormat="1" applyFont="1" applyFill="1" applyBorder="1" applyAlignment="1" applyProtection="1">
      <alignment horizontal="right" vertical="center" shrinkToFit="1"/>
    </xf>
    <xf numFmtId="40" fontId="13" fillId="14" borderId="3" xfId="1" applyNumberFormat="1" applyFont="1" applyFill="1" applyBorder="1" applyAlignment="1" applyProtection="1">
      <alignment horizontal="right" vertical="center" shrinkToFit="1"/>
    </xf>
    <xf numFmtId="9" fontId="13" fillId="13" borderId="3" xfId="1" applyNumberFormat="1" applyFont="1" applyFill="1" applyBorder="1" applyAlignment="1" applyProtection="1">
      <alignment horizontal="right" vertical="center" shrinkToFit="1"/>
    </xf>
    <xf numFmtId="9" fontId="13" fillId="13" borderId="3" xfId="0" applyNumberFormat="1" applyFont="1" applyFill="1" applyBorder="1" applyAlignment="1" applyProtection="1">
      <alignment horizontal="right" vertical="center" shrinkToFit="1"/>
    </xf>
    <xf numFmtId="0" fontId="70" fillId="0" borderId="0" xfId="10" applyFont="1" applyBorder="1" applyAlignment="1" applyProtection="1">
      <alignment vertical="center" shrinkToFit="1"/>
    </xf>
    <xf numFmtId="0" fontId="9" fillId="0" borderId="0" xfId="10" applyFont="1" applyBorder="1" applyProtection="1">
      <alignment vertical="center"/>
    </xf>
    <xf numFmtId="38" fontId="11" fillId="0" borderId="3" xfId="1" applyFont="1" applyBorder="1" applyAlignment="1" applyProtection="1">
      <alignment vertical="center" shrinkToFit="1"/>
    </xf>
    <xf numFmtId="0" fontId="30" fillId="0" borderId="0" xfId="0" applyFont="1">
      <alignment vertical="center"/>
    </xf>
    <xf numFmtId="0" fontId="48" fillId="0" borderId="0" xfId="0" applyFont="1" applyAlignment="1">
      <alignment horizontal="left" vertical="center" indent="1"/>
    </xf>
    <xf numFmtId="0" fontId="48" fillId="0" borderId="0" xfId="0" applyFont="1" applyAlignment="1">
      <alignment horizontal="left" vertical="center"/>
    </xf>
    <xf numFmtId="0" fontId="30" fillId="0" borderId="0" xfId="0" applyFont="1" applyAlignment="1">
      <alignment horizontal="left" vertical="center" indent="1"/>
    </xf>
    <xf numFmtId="0" fontId="0" fillId="0" borderId="0" xfId="0" applyBorder="1" applyAlignment="1">
      <alignment horizontal="center" vertical="center"/>
    </xf>
    <xf numFmtId="38" fontId="10" fillId="0" borderId="0" xfId="12" applyFont="1" applyBorder="1" applyAlignment="1" applyProtection="1">
      <alignment horizontal="center" vertical="center" shrinkToFit="1"/>
    </xf>
    <xf numFmtId="38" fontId="10" fillId="0" borderId="0" xfId="12" applyFont="1" applyBorder="1" applyAlignment="1" applyProtection="1">
      <alignment vertical="center" shrinkToFit="1"/>
    </xf>
    <xf numFmtId="195" fontId="10" fillId="0" borderId="0" xfId="12" applyNumberFormat="1" applyFont="1" applyBorder="1" applyAlignment="1" applyProtection="1">
      <alignment horizontal="right" vertical="center" shrinkToFit="1"/>
    </xf>
    <xf numFmtId="182" fontId="0" fillId="0" borderId="0" xfId="0" applyNumberFormat="1" applyBorder="1" applyAlignment="1" applyProtection="1">
      <alignment horizontal="right" vertical="center" shrinkToFit="1"/>
    </xf>
    <xf numFmtId="0" fontId="42" fillId="2" borderId="16" xfId="0" applyFont="1" applyFill="1" applyBorder="1" applyAlignment="1" applyProtection="1">
      <alignment horizontal="center" vertical="top" wrapText="1"/>
    </xf>
    <xf numFmtId="38" fontId="36" fillId="0" borderId="3" xfId="10" applyNumberFormat="1" applyFont="1" applyBorder="1" applyAlignment="1" applyProtection="1">
      <alignment vertical="center" shrinkToFit="1"/>
    </xf>
    <xf numFmtId="179" fontId="41" fillId="5" borderId="10" xfId="0" applyNumberFormat="1" applyFont="1" applyFill="1" applyBorder="1" applyAlignment="1" applyProtection="1">
      <alignment vertical="center" shrinkToFit="1"/>
    </xf>
    <xf numFmtId="182" fontId="41" fillId="5" borderId="10" xfId="0" applyNumberFormat="1" applyFont="1" applyFill="1" applyBorder="1" applyAlignment="1" applyProtection="1">
      <alignment vertical="center" shrinkToFit="1"/>
    </xf>
    <xf numFmtId="179" fontId="41" fillId="5" borderId="3" xfId="0" applyNumberFormat="1" applyFont="1" applyFill="1" applyBorder="1" applyAlignment="1" applyProtection="1">
      <alignment vertical="center" shrinkToFit="1"/>
    </xf>
    <xf numFmtId="182" fontId="41" fillId="5" borderId="3" xfId="0" applyNumberFormat="1" applyFont="1" applyFill="1" applyBorder="1" applyAlignment="1" applyProtection="1">
      <alignment vertical="center" shrinkToFit="1"/>
    </xf>
    <xf numFmtId="0" fontId="41" fillId="0" borderId="10" xfId="0" applyNumberFormat="1" applyFont="1" applyFill="1" applyBorder="1" applyAlignment="1" applyProtection="1">
      <alignment shrinkToFit="1"/>
    </xf>
    <xf numFmtId="9" fontId="41" fillId="5" borderId="10" xfId="0" applyNumberFormat="1" applyFont="1" applyFill="1" applyBorder="1" applyAlignment="1" applyProtection="1">
      <alignment horizontal="center" shrinkToFit="1"/>
    </xf>
    <xf numFmtId="199" fontId="41" fillId="5" borderId="10" xfId="1" applyNumberFormat="1" applyFont="1" applyFill="1" applyBorder="1" applyAlignment="1" applyProtection="1">
      <alignment shrinkToFit="1"/>
    </xf>
    <xf numFmtId="9" fontId="41" fillId="5" borderId="10" xfId="0" applyNumberFormat="1" applyFont="1" applyFill="1" applyBorder="1" applyAlignment="1" applyProtection="1">
      <alignment shrinkToFit="1"/>
    </xf>
    <xf numFmtId="38" fontId="13" fillId="5" borderId="10" xfId="1" applyFont="1" applyFill="1" applyBorder="1" applyAlignment="1" applyProtection="1">
      <alignment horizontal="right" shrinkToFit="1"/>
    </xf>
    <xf numFmtId="182" fontId="41" fillId="5" borderId="6" xfId="0" applyNumberFormat="1" applyFont="1" applyFill="1" applyBorder="1" applyAlignment="1" applyProtection="1">
      <alignment shrinkToFit="1"/>
    </xf>
    <xf numFmtId="176" fontId="13" fillId="5" borderId="38" xfId="1" applyNumberFormat="1" applyFont="1" applyFill="1" applyBorder="1" applyAlignment="1" applyProtection="1">
      <alignment horizontal="right" shrinkToFit="1"/>
    </xf>
    <xf numFmtId="176" fontId="13" fillId="5" borderId="10" xfId="1" applyNumberFormat="1" applyFont="1" applyFill="1" applyBorder="1" applyAlignment="1" applyProtection="1">
      <alignment horizontal="right" shrinkToFit="1"/>
    </xf>
    <xf numFmtId="0" fontId="41" fillId="0" borderId="3" xfId="0" applyNumberFormat="1" applyFont="1" applyFill="1" applyBorder="1" applyAlignment="1" applyProtection="1">
      <alignment shrinkToFit="1"/>
    </xf>
    <xf numFmtId="9" fontId="41" fillId="5" borderId="3" xfId="0" applyNumberFormat="1" applyFont="1" applyFill="1" applyBorder="1" applyAlignment="1" applyProtection="1">
      <alignment horizontal="center" shrinkToFit="1"/>
    </xf>
    <xf numFmtId="199" fontId="41" fillId="5" borderId="3" xfId="1" applyNumberFormat="1" applyFont="1" applyFill="1" applyBorder="1" applyAlignment="1" applyProtection="1">
      <alignment shrinkToFit="1"/>
    </xf>
    <xf numFmtId="9" fontId="41" fillId="5" borderId="3" xfId="0" applyNumberFormat="1" applyFont="1" applyFill="1" applyBorder="1" applyAlignment="1" applyProtection="1">
      <alignment shrinkToFit="1"/>
    </xf>
    <xf numFmtId="38" fontId="13" fillId="5" borderId="3" xfId="1" applyFont="1" applyFill="1" applyBorder="1" applyAlignment="1" applyProtection="1">
      <alignment horizontal="right" shrinkToFit="1"/>
    </xf>
    <xf numFmtId="182" fontId="41" fillId="5" borderId="1" xfId="0" applyNumberFormat="1" applyFont="1" applyFill="1" applyBorder="1" applyAlignment="1" applyProtection="1">
      <alignment shrinkToFit="1"/>
    </xf>
    <xf numFmtId="176" fontId="13" fillId="5" borderId="23" xfId="1" applyNumberFormat="1" applyFont="1" applyFill="1" applyBorder="1" applyAlignment="1" applyProtection="1">
      <alignment horizontal="right" shrinkToFit="1"/>
    </xf>
    <xf numFmtId="176" fontId="13" fillId="5" borderId="3" xfId="1" applyNumberFormat="1" applyFont="1" applyFill="1" applyBorder="1" applyAlignment="1" applyProtection="1">
      <alignment horizontal="right" shrinkToFit="1"/>
    </xf>
    <xf numFmtId="0" fontId="65" fillId="0" borderId="0" xfId="10" applyFont="1" applyBorder="1" applyAlignment="1">
      <alignment horizontal="center" vertical="center"/>
    </xf>
    <xf numFmtId="0" fontId="64" fillId="0" borderId="0" xfId="10" applyFont="1" applyFill="1" applyBorder="1" applyAlignment="1" applyProtection="1">
      <alignment vertical="center"/>
      <protection locked="0"/>
    </xf>
    <xf numFmtId="0" fontId="62" fillId="17" borderId="0" xfId="10" applyFont="1" applyFill="1" applyBorder="1" applyAlignment="1">
      <alignment horizontal="center" vertical="center"/>
    </xf>
    <xf numFmtId="0" fontId="62" fillId="0" borderId="0" xfId="10" applyFont="1" applyFill="1" applyBorder="1" applyAlignment="1" applyProtection="1">
      <alignment horizontal="right" vertical="center"/>
      <protection locked="0"/>
    </xf>
    <xf numFmtId="0" fontId="62" fillId="0" borderId="0" xfId="10" applyFont="1" applyFill="1" applyBorder="1" applyAlignment="1" applyProtection="1">
      <alignment horizontal="left" vertical="center"/>
    </xf>
    <xf numFmtId="0" fontId="63" fillId="0" borderId="0" xfId="10" applyFont="1" applyFill="1" applyBorder="1" applyAlignment="1" applyProtection="1">
      <alignment horizontal="left" vertical="center"/>
      <protection locked="0"/>
    </xf>
    <xf numFmtId="0" fontId="62" fillId="0" borderId="0" xfId="10" applyFont="1" applyFill="1" applyBorder="1" applyAlignment="1" applyProtection="1">
      <alignment horizontal="left" vertical="center"/>
      <protection locked="0"/>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0"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51" xfId="0" applyFill="1" applyBorder="1" applyAlignment="1">
      <alignment horizontal="left" vertical="center" shrinkToFit="1"/>
    </xf>
    <xf numFmtId="0" fontId="0" fillId="0" borderId="0" xfId="0" applyFill="1" applyBorder="1" applyAlignment="1">
      <alignment horizontal="left" vertical="center" shrinkToFit="1"/>
    </xf>
    <xf numFmtId="0" fontId="0" fillId="0" borderId="52" xfId="0" applyFill="1" applyBorder="1" applyAlignment="1">
      <alignment horizontal="left" vertical="center" shrinkToFit="1"/>
    </xf>
    <xf numFmtId="0" fontId="41" fillId="5" borderId="1" xfId="10" applyFont="1" applyFill="1" applyBorder="1" applyAlignment="1" applyProtection="1">
      <alignment horizontal="left" vertical="top" indent="1" shrinkToFit="1"/>
    </xf>
    <xf numFmtId="0" fontId="41" fillId="5" borderId="4" xfId="10" applyFont="1" applyFill="1" applyBorder="1" applyAlignment="1" applyProtection="1">
      <alignment horizontal="left" vertical="top" indent="1" shrinkToFit="1"/>
    </xf>
    <xf numFmtId="0" fontId="41" fillId="5" borderId="2" xfId="10" applyFont="1" applyFill="1" applyBorder="1" applyAlignment="1" applyProtection="1">
      <alignment horizontal="left" vertical="top" indent="1" shrinkToFit="1"/>
    </xf>
    <xf numFmtId="0" fontId="41" fillId="2" borderId="5" xfId="0" applyFont="1" applyFill="1" applyBorder="1" applyAlignment="1" applyProtection="1">
      <alignment horizontal="left" vertical="top"/>
    </xf>
    <xf numFmtId="0" fontId="41" fillId="2" borderId="19" xfId="0" applyFont="1" applyFill="1" applyBorder="1" applyAlignment="1" applyProtection="1">
      <alignment horizontal="left" vertical="top"/>
    </xf>
    <xf numFmtId="0" fontId="41" fillId="2" borderId="6" xfId="0" applyFont="1" applyFill="1" applyBorder="1" applyAlignment="1" applyProtection="1">
      <alignment horizontal="left" vertical="top"/>
    </xf>
    <xf numFmtId="0" fontId="41" fillId="2" borderId="18" xfId="0" applyFont="1" applyFill="1" applyBorder="1" applyAlignment="1" applyProtection="1">
      <alignment horizontal="left" vertical="top"/>
    </xf>
    <xf numFmtId="0" fontId="0" fillId="2" borderId="1" xfId="0"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0" fillId="2" borderId="5" xfId="0" applyFill="1" applyBorder="1" applyAlignment="1" applyProtection="1">
      <alignment horizontal="center" vertical="center" shrinkToFit="1"/>
    </xf>
    <xf numFmtId="0" fontId="0" fillId="2" borderId="15" xfId="0" applyFill="1" applyBorder="1" applyAlignment="1" applyProtection="1">
      <alignment horizontal="center" vertical="center" shrinkToFit="1"/>
    </xf>
    <xf numFmtId="0" fontId="0" fillId="2" borderId="19" xfId="0" applyFill="1" applyBorder="1" applyAlignment="1" applyProtection="1">
      <alignment horizontal="center" vertical="center" shrinkToFit="1"/>
    </xf>
    <xf numFmtId="177" fontId="0" fillId="5" borderId="5" xfId="1" applyNumberFormat="1" applyFont="1" applyFill="1" applyBorder="1" applyAlignment="1" applyProtection="1">
      <alignment horizontal="right" vertical="center"/>
    </xf>
    <xf numFmtId="177" fontId="0" fillId="5" borderId="19" xfId="1" applyNumberFormat="1" applyFont="1" applyFill="1" applyBorder="1" applyAlignment="1" applyProtection="1">
      <alignment horizontal="right" vertical="center"/>
    </xf>
    <xf numFmtId="0" fontId="23" fillId="5" borderId="1" xfId="0" applyFont="1" applyFill="1" applyBorder="1" applyAlignment="1" applyProtection="1">
      <alignment horizontal="left" vertical="center" indent="1" shrinkToFit="1"/>
      <protection hidden="1"/>
    </xf>
    <xf numFmtId="0" fontId="23" fillId="5" borderId="4" xfId="0" applyFont="1" applyFill="1" applyBorder="1" applyAlignment="1" applyProtection="1">
      <alignment horizontal="left" vertical="center" indent="1" shrinkToFit="1"/>
      <protection hidden="1"/>
    </xf>
    <xf numFmtId="0" fontId="23" fillId="5" borderId="2" xfId="0" applyFont="1" applyFill="1" applyBorder="1" applyAlignment="1" applyProtection="1">
      <alignment horizontal="left" vertical="center" indent="1" shrinkToFit="1"/>
      <protection hidden="1"/>
    </xf>
    <xf numFmtId="0" fontId="30" fillId="5" borderId="5" xfId="0" applyFont="1" applyFill="1" applyBorder="1" applyAlignment="1" applyProtection="1">
      <alignment horizontal="left" vertical="top" wrapText="1" shrinkToFit="1"/>
      <protection locked="0"/>
    </xf>
    <xf numFmtId="0" fontId="30" fillId="5" borderId="15" xfId="0" applyFont="1" applyFill="1" applyBorder="1" applyAlignment="1" applyProtection="1">
      <alignment horizontal="left" vertical="top" wrapText="1" shrinkToFit="1"/>
      <protection locked="0"/>
    </xf>
    <xf numFmtId="0" fontId="30" fillId="5" borderId="19" xfId="0" applyFont="1" applyFill="1" applyBorder="1" applyAlignment="1" applyProtection="1">
      <alignment horizontal="left" vertical="top" wrapText="1" shrinkToFit="1"/>
      <protection locked="0"/>
    </xf>
    <xf numFmtId="0" fontId="30" fillId="5" borderId="20" xfId="0" applyFont="1" applyFill="1" applyBorder="1" applyAlignment="1" applyProtection="1">
      <alignment horizontal="left" vertical="top" wrapText="1" shrinkToFit="1"/>
      <protection locked="0"/>
    </xf>
    <xf numFmtId="0" fontId="30" fillId="5" borderId="0" xfId="0" applyFont="1" applyFill="1" applyBorder="1" applyAlignment="1" applyProtection="1">
      <alignment horizontal="left" vertical="top" wrapText="1" shrinkToFit="1"/>
      <protection locked="0"/>
    </xf>
    <xf numFmtId="0" fontId="30" fillId="5" borderId="21" xfId="0" applyFont="1" applyFill="1" applyBorder="1" applyAlignment="1" applyProtection="1">
      <alignment horizontal="left" vertical="top" wrapText="1" shrinkToFit="1"/>
      <protection locked="0"/>
    </xf>
    <xf numFmtId="0" fontId="30" fillId="5" borderId="6" xfId="0" applyFont="1" applyFill="1" applyBorder="1" applyAlignment="1" applyProtection="1">
      <alignment horizontal="left" vertical="top" wrapText="1" shrinkToFit="1"/>
      <protection locked="0"/>
    </xf>
    <xf numFmtId="0" fontId="30" fillId="5" borderId="17" xfId="0" applyFont="1" applyFill="1" applyBorder="1" applyAlignment="1" applyProtection="1">
      <alignment horizontal="left" vertical="top" wrapText="1" shrinkToFit="1"/>
      <protection locked="0"/>
    </xf>
    <xf numFmtId="0" fontId="30" fillId="5" borderId="18" xfId="0" applyFont="1" applyFill="1" applyBorder="1" applyAlignment="1" applyProtection="1">
      <alignment horizontal="left" vertical="top" wrapText="1" shrinkToFit="1"/>
      <protection locked="0"/>
    </xf>
    <xf numFmtId="0" fontId="0" fillId="2" borderId="1" xfId="0" applyFill="1" applyBorder="1" applyAlignment="1" applyProtection="1">
      <alignment horizontal="left" vertical="center"/>
    </xf>
    <xf numFmtId="0" fontId="0" fillId="2" borderId="2" xfId="0" applyFill="1" applyBorder="1" applyAlignment="1" applyProtection="1">
      <alignment horizontal="left" vertical="center"/>
    </xf>
    <xf numFmtId="0" fontId="41" fillId="0" borderId="61" xfId="10" applyFont="1" applyFill="1" applyBorder="1" applyAlignment="1" applyProtection="1">
      <alignment horizontal="center" vertical="center" wrapText="1"/>
      <protection locked="0"/>
    </xf>
    <xf numFmtId="0" fontId="41" fillId="0" borderId="62" xfId="10" applyFont="1"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176" fontId="0" fillId="5" borderId="1" xfId="1" applyNumberFormat="1" applyFont="1" applyFill="1" applyBorder="1" applyAlignment="1" applyProtection="1">
      <alignment horizontal="right" vertical="center"/>
    </xf>
    <xf numFmtId="176" fontId="0" fillId="5" borderId="2" xfId="1" applyNumberFormat="1" applyFont="1" applyFill="1" applyBorder="1" applyAlignment="1" applyProtection="1">
      <alignment horizontal="right" vertical="center"/>
    </xf>
    <xf numFmtId="177" fontId="0" fillId="5" borderId="1" xfId="0" applyNumberFormat="1" applyFill="1" applyBorder="1" applyAlignment="1" applyProtection="1">
      <alignment horizontal="right" vertical="center"/>
    </xf>
    <xf numFmtId="177" fontId="0" fillId="5" borderId="2" xfId="0" applyNumberFormat="1" applyFill="1" applyBorder="1" applyAlignment="1" applyProtection="1">
      <alignment horizontal="right" vertical="center"/>
    </xf>
    <xf numFmtId="177" fontId="0" fillId="5" borderId="5" xfId="0" applyNumberFormat="1" applyFill="1" applyBorder="1" applyAlignment="1" applyProtection="1">
      <alignment horizontal="right" vertical="center"/>
    </xf>
    <xf numFmtId="177" fontId="0" fillId="5" borderId="19" xfId="0" applyNumberFormat="1" applyFill="1" applyBorder="1" applyAlignment="1" applyProtection="1">
      <alignment horizontal="right" vertical="center"/>
    </xf>
    <xf numFmtId="177" fontId="0" fillId="5" borderId="1" xfId="0" applyNumberFormat="1" applyFill="1" applyBorder="1" applyAlignment="1" applyProtection="1">
      <alignment horizontal="center" vertical="center"/>
    </xf>
    <xf numFmtId="177" fontId="0" fillId="5" borderId="2" xfId="0" applyNumberFormat="1" applyFill="1" applyBorder="1" applyAlignment="1" applyProtection="1">
      <alignment horizontal="center" vertical="center"/>
    </xf>
    <xf numFmtId="177" fontId="0" fillId="5" borderId="1" xfId="1" applyNumberFormat="1" applyFont="1" applyFill="1" applyBorder="1" applyAlignment="1" applyProtection="1">
      <alignment horizontal="center" vertical="center"/>
    </xf>
    <xf numFmtId="177" fontId="0" fillId="5" borderId="2" xfId="1" applyNumberFormat="1" applyFont="1" applyFill="1" applyBorder="1" applyAlignment="1" applyProtection="1">
      <alignment horizontal="center" vertical="center"/>
    </xf>
    <xf numFmtId="177" fontId="0" fillId="5" borderId="5" xfId="1" applyNumberFormat="1" applyFont="1" applyFill="1" applyBorder="1" applyAlignment="1" applyProtection="1">
      <alignment horizontal="center" vertical="center"/>
    </xf>
    <xf numFmtId="177" fontId="0" fillId="5" borderId="19" xfId="1" applyNumberFormat="1" applyFont="1" applyFill="1" applyBorder="1" applyAlignment="1" applyProtection="1">
      <alignment horizontal="center" vertical="center"/>
    </xf>
    <xf numFmtId="0" fontId="41" fillId="2" borderId="15" xfId="0" applyFont="1" applyFill="1" applyBorder="1" applyAlignment="1" applyProtection="1">
      <alignment horizontal="left" vertical="top"/>
    </xf>
    <xf numFmtId="0" fontId="41" fillId="2" borderId="17" xfId="0" applyFont="1" applyFill="1" applyBorder="1" applyAlignment="1" applyProtection="1">
      <alignment horizontal="left" vertical="top"/>
    </xf>
    <xf numFmtId="0" fontId="41" fillId="0" borderId="63" xfId="10" applyFont="1" applyFill="1" applyBorder="1" applyAlignment="1" applyProtection="1">
      <alignment horizontal="center" vertical="center" shrinkToFit="1"/>
      <protection locked="0"/>
    </xf>
    <xf numFmtId="0" fontId="41" fillId="0" borderId="64" xfId="10" applyFont="1" applyFill="1" applyBorder="1" applyAlignment="1" applyProtection="1">
      <alignment horizontal="center" vertical="center" shrinkToFit="1"/>
      <protection locked="0"/>
    </xf>
    <xf numFmtId="0" fontId="41" fillId="0" borderId="65" xfId="10" applyFont="1" applyFill="1" applyBorder="1" applyAlignment="1" applyProtection="1">
      <alignment horizontal="center" vertical="center" shrinkToFit="1"/>
      <protection locked="0"/>
    </xf>
    <xf numFmtId="0" fontId="41" fillId="5" borderId="1" xfId="10" applyFont="1" applyFill="1" applyBorder="1" applyAlignment="1" applyProtection="1">
      <alignment horizontal="center" vertical="center"/>
      <protection hidden="1"/>
    </xf>
    <xf numFmtId="0" fontId="41" fillId="5" borderId="2" xfId="10" applyFont="1" applyFill="1" applyBorder="1" applyAlignment="1" applyProtection="1">
      <alignment horizontal="center" vertical="center"/>
      <protection hidden="1"/>
    </xf>
    <xf numFmtId="0" fontId="21" fillId="0" borderId="15" xfId="10" applyFont="1" applyFill="1" applyBorder="1" applyAlignment="1" applyProtection="1">
      <alignment horizontal="center" vertical="center"/>
      <protection locked="0"/>
    </xf>
    <xf numFmtId="0" fontId="41" fillId="7" borderId="4" xfId="10" applyFont="1" applyFill="1" applyBorder="1" applyAlignment="1" applyProtection="1">
      <alignment horizontal="center" vertical="center" shrinkToFit="1"/>
    </xf>
    <xf numFmtId="0" fontId="41" fillId="7" borderId="2" xfId="10" applyFont="1" applyFill="1" applyBorder="1" applyAlignment="1" applyProtection="1">
      <alignment horizontal="center" vertical="center" shrinkToFit="1"/>
    </xf>
    <xf numFmtId="0" fontId="50" fillId="0" borderId="15" xfId="10" applyFont="1" applyFill="1" applyBorder="1" applyAlignment="1" applyProtection="1">
      <alignment horizontal="center" vertical="center" wrapText="1"/>
      <protection hidden="1"/>
    </xf>
    <xf numFmtId="0" fontId="21" fillId="0" borderId="15" xfId="10" applyFont="1" applyFill="1" applyBorder="1" applyAlignment="1" applyProtection="1">
      <alignment horizontal="center" vertical="center"/>
      <protection locked="0" hidden="1"/>
    </xf>
    <xf numFmtId="176" fontId="0" fillId="5" borderId="1" xfId="1" applyNumberFormat="1" applyFont="1" applyFill="1" applyBorder="1" applyAlignment="1" applyProtection="1">
      <alignment horizontal="center" vertical="center"/>
    </xf>
    <xf numFmtId="176" fontId="0" fillId="5" borderId="2" xfId="1" applyNumberFormat="1" applyFont="1" applyFill="1" applyBorder="1" applyAlignment="1" applyProtection="1">
      <alignment horizontal="center" vertical="center"/>
    </xf>
    <xf numFmtId="38" fontId="0" fillId="5" borderId="1" xfId="1" applyFont="1" applyFill="1" applyBorder="1" applyAlignment="1" applyProtection="1">
      <alignment horizontal="center" vertical="center"/>
    </xf>
    <xf numFmtId="38" fontId="0" fillId="5" borderId="2" xfId="1" applyFont="1" applyFill="1" applyBorder="1" applyAlignment="1" applyProtection="1">
      <alignment horizontal="center" vertical="center"/>
    </xf>
    <xf numFmtId="0" fontId="0" fillId="5" borderId="1" xfId="0" applyFill="1" applyBorder="1" applyAlignment="1" applyProtection="1">
      <alignment horizontal="left" vertical="top" indent="1" shrinkToFit="1"/>
      <protection locked="0"/>
    </xf>
    <xf numFmtId="0" fontId="0" fillId="5" borderId="4" xfId="0" applyFill="1" applyBorder="1" applyAlignment="1" applyProtection="1">
      <alignment horizontal="left" vertical="top" indent="1" shrinkToFit="1"/>
      <protection locked="0"/>
    </xf>
    <xf numFmtId="0" fontId="0" fillId="5" borderId="2" xfId="0" applyFill="1" applyBorder="1" applyAlignment="1" applyProtection="1">
      <alignment horizontal="left" vertical="top" indent="1" shrinkToFit="1"/>
      <protection locked="0"/>
    </xf>
    <xf numFmtId="0" fontId="41" fillId="0" borderId="1" xfId="0" applyFont="1" applyFill="1" applyBorder="1" applyAlignment="1" applyProtection="1">
      <alignment horizontal="center" shrinkToFit="1"/>
      <protection locked="0"/>
    </xf>
    <xf numFmtId="0" fontId="41" fillId="0" borderId="2" xfId="0" applyFont="1" applyFill="1" applyBorder="1" applyAlignment="1" applyProtection="1">
      <alignment horizontal="center" shrinkToFit="1"/>
      <protection locked="0"/>
    </xf>
    <xf numFmtId="0" fontId="0" fillId="2" borderId="4" xfId="0" applyFill="1" applyBorder="1" applyAlignment="1" applyProtection="1">
      <alignment horizontal="center" vertical="center"/>
    </xf>
    <xf numFmtId="0" fontId="0" fillId="2" borderId="1"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1" xfId="0" applyFill="1" applyBorder="1" applyAlignment="1" applyProtection="1">
      <alignment horizontal="center"/>
    </xf>
    <xf numFmtId="0" fontId="0" fillId="2" borderId="4" xfId="0" applyFill="1" applyBorder="1" applyAlignment="1" applyProtection="1">
      <alignment horizontal="center"/>
    </xf>
    <xf numFmtId="0" fontId="0" fillId="2" borderId="66" xfId="0" applyFill="1" applyBorder="1" applyAlignment="1" applyProtection="1">
      <alignment horizontal="center"/>
    </xf>
    <xf numFmtId="0" fontId="0" fillId="5" borderId="73" xfId="0" applyFill="1" applyBorder="1" applyAlignment="1" applyProtection="1">
      <alignment horizontal="center" vertical="center"/>
    </xf>
    <xf numFmtId="0" fontId="0" fillId="5" borderId="74" xfId="0" applyFill="1" applyBorder="1" applyAlignment="1" applyProtection="1">
      <alignment horizontal="center" vertical="center"/>
    </xf>
    <xf numFmtId="0" fontId="0" fillId="5" borderId="32" xfId="0" applyFill="1" applyBorder="1" applyAlignment="1" applyProtection="1">
      <alignment horizontal="left" vertical="center" shrinkToFit="1"/>
    </xf>
    <xf numFmtId="0" fontId="0" fillId="5" borderId="33" xfId="0" applyFill="1" applyBorder="1" applyAlignment="1" applyProtection="1">
      <alignment horizontal="left" vertical="center" shrinkToFit="1"/>
    </xf>
    <xf numFmtId="0" fontId="0" fillId="5" borderId="34" xfId="0" applyFill="1" applyBorder="1" applyAlignment="1" applyProtection="1">
      <alignment horizontal="left" vertical="center" shrinkToFit="1"/>
    </xf>
    <xf numFmtId="0" fontId="27" fillId="7" borderId="1"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2" xfId="0" applyFont="1" applyFill="1" applyBorder="1" applyAlignment="1" applyProtection="1">
      <alignment horizontal="center" vertical="center"/>
    </xf>
    <xf numFmtId="0" fontId="0" fillId="2" borderId="1" xfId="0" applyFill="1" applyBorder="1" applyAlignment="1" applyProtection="1">
      <alignment horizontal="center" vertical="top" wrapText="1"/>
    </xf>
    <xf numFmtId="0" fontId="0" fillId="2" borderId="2" xfId="0" applyFill="1" applyBorder="1" applyAlignment="1" applyProtection="1">
      <alignment horizontal="center" vertical="top" wrapText="1"/>
    </xf>
    <xf numFmtId="0" fontId="26" fillId="7" borderId="1"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0" fillId="2" borderId="1" xfId="0" applyFill="1" applyBorder="1" applyAlignment="1" applyProtection="1">
      <alignment horizontal="center" shrinkToFit="1"/>
    </xf>
    <xf numFmtId="0" fontId="0" fillId="2" borderId="2" xfId="0" applyFill="1" applyBorder="1" applyAlignment="1" applyProtection="1">
      <alignment horizontal="center" shrinkToFit="1"/>
    </xf>
    <xf numFmtId="0" fontId="31" fillId="14" borderId="1" xfId="0" applyFont="1" applyFill="1" applyBorder="1" applyAlignment="1" applyProtection="1">
      <alignment horizontal="center" shrinkToFit="1"/>
    </xf>
    <xf numFmtId="0" fontId="31" fillId="14" borderId="2" xfId="0" applyFont="1" applyFill="1" applyBorder="1" applyAlignment="1" applyProtection="1">
      <alignment horizontal="center" shrinkToFit="1"/>
    </xf>
    <xf numFmtId="0" fontId="41" fillId="0" borderId="6" xfId="0" applyFont="1" applyFill="1" applyBorder="1" applyAlignment="1" applyProtection="1">
      <alignment horizontal="center" shrinkToFit="1"/>
      <protection locked="0"/>
    </xf>
    <xf numFmtId="0" fontId="41" fillId="0" borderId="18" xfId="0" applyFont="1" applyFill="1" applyBorder="1" applyAlignment="1" applyProtection="1">
      <alignment horizontal="center" shrinkToFit="1"/>
      <protection locked="0"/>
    </xf>
    <xf numFmtId="0" fontId="11" fillId="5" borderId="1" xfId="10" applyFill="1" applyBorder="1" applyAlignment="1" applyProtection="1">
      <alignment horizontal="left" vertical="top" indent="1" shrinkToFit="1"/>
    </xf>
    <xf numFmtId="0" fontId="11" fillId="5" borderId="4" xfId="10" applyFill="1" applyBorder="1" applyAlignment="1" applyProtection="1">
      <alignment horizontal="left" vertical="top" indent="1" shrinkToFit="1"/>
    </xf>
    <xf numFmtId="0" fontId="11" fillId="5" borderId="2" xfId="10" applyFill="1" applyBorder="1" applyAlignment="1" applyProtection="1">
      <alignment horizontal="left" vertical="top" indent="1" shrinkToFit="1"/>
    </xf>
    <xf numFmtId="0" fontId="43" fillId="2" borderId="14" xfId="0" applyFont="1" applyFill="1" applyBorder="1" applyAlignment="1" applyProtection="1">
      <alignment horizontal="center" vertical="top" wrapText="1"/>
    </xf>
    <xf numFmtId="0" fontId="43" fillId="2" borderId="10" xfId="0" applyFont="1" applyFill="1" applyBorder="1" applyAlignment="1" applyProtection="1">
      <alignment horizontal="center" vertical="top" wrapText="1"/>
    </xf>
    <xf numFmtId="0" fontId="23" fillId="5" borderId="1" xfId="0" applyFont="1" applyFill="1" applyBorder="1" applyAlignment="1" applyProtection="1">
      <alignment horizontal="left" vertical="center" shrinkToFit="1"/>
      <protection hidden="1"/>
    </xf>
    <xf numFmtId="0" fontId="23" fillId="5" borderId="4" xfId="0" applyFont="1" applyFill="1" applyBorder="1" applyAlignment="1" applyProtection="1">
      <alignment horizontal="left" vertical="center" shrinkToFit="1"/>
      <protection hidden="1"/>
    </xf>
    <xf numFmtId="0" fontId="23" fillId="5" borderId="2" xfId="0" applyFont="1" applyFill="1" applyBorder="1" applyAlignment="1" applyProtection="1">
      <alignment horizontal="left" vertical="center" shrinkToFit="1"/>
      <protection hidden="1"/>
    </xf>
    <xf numFmtId="0" fontId="0" fillId="2" borderId="4" xfId="0" applyFill="1" applyBorder="1" applyAlignment="1" applyProtection="1">
      <alignment horizontal="left" vertical="center"/>
    </xf>
    <xf numFmtId="0" fontId="41" fillId="13" borderId="1" xfId="10" applyFont="1" applyFill="1" applyBorder="1" applyAlignment="1" applyProtection="1">
      <alignment horizontal="center" vertical="center" shrinkToFit="1"/>
      <protection locked="0"/>
    </xf>
    <xf numFmtId="0" fontId="41" fillId="13" borderId="2" xfId="10" applyFont="1" applyFill="1" applyBorder="1" applyAlignment="1" applyProtection="1">
      <alignment horizontal="center" vertical="center" shrinkToFit="1"/>
      <protection locked="0"/>
    </xf>
    <xf numFmtId="0" fontId="30" fillId="13" borderId="1" xfId="0" applyFont="1" applyFill="1" applyBorder="1" applyAlignment="1" applyProtection="1">
      <alignment horizontal="center" vertical="center" shrinkToFit="1"/>
      <protection locked="0"/>
    </xf>
    <xf numFmtId="0" fontId="30" fillId="13" borderId="2" xfId="0" applyFont="1" applyFill="1" applyBorder="1" applyAlignment="1" applyProtection="1">
      <alignment horizontal="center" vertical="center" shrinkToFit="1"/>
      <protection locked="0"/>
    </xf>
    <xf numFmtId="0" fontId="11" fillId="13" borderId="1" xfId="10" applyFill="1" applyBorder="1" applyAlignment="1" applyProtection="1">
      <alignment horizontal="center" vertical="center" shrinkToFit="1"/>
      <protection locked="0"/>
    </xf>
    <xf numFmtId="0" fontId="11" fillId="13" borderId="2" xfId="10" applyFill="1" applyBorder="1" applyAlignment="1" applyProtection="1">
      <alignment horizontal="center" vertical="center" shrinkToFit="1"/>
      <protection locked="0"/>
    </xf>
    <xf numFmtId="38" fontId="37" fillId="0" borderId="0" xfId="12" applyFont="1" applyBorder="1" applyAlignment="1" applyProtection="1">
      <alignment horizontal="center" vertical="center" shrinkToFit="1"/>
    </xf>
    <xf numFmtId="0" fontId="43" fillId="2" borderId="5" xfId="0" applyFont="1" applyFill="1" applyBorder="1" applyAlignment="1" applyProtection="1">
      <alignment horizontal="center" vertical="top" wrapText="1"/>
    </xf>
    <xf numFmtId="0" fontId="43" fillId="2" borderId="19" xfId="0" applyFont="1" applyFill="1" applyBorder="1" applyAlignment="1" applyProtection="1">
      <alignment horizontal="center" vertical="top" wrapText="1"/>
    </xf>
    <xf numFmtId="0" fontId="43" fillId="2" borderId="6" xfId="0" applyFont="1" applyFill="1" applyBorder="1" applyAlignment="1" applyProtection="1">
      <alignment horizontal="center" vertical="top" wrapText="1"/>
    </xf>
    <xf numFmtId="0" fontId="43" fillId="2" borderId="18" xfId="0" applyFont="1" applyFill="1" applyBorder="1" applyAlignment="1" applyProtection="1">
      <alignment horizontal="center" vertical="top" wrapText="1"/>
    </xf>
    <xf numFmtId="179" fontId="67" fillId="16" borderId="14" xfId="0" applyNumberFormat="1" applyFont="1" applyFill="1" applyBorder="1" applyAlignment="1" applyProtection="1">
      <alignment horizontal="center" vertical="center" wrapText="1" shrinkToFit="1"/>
    </xf>
    <xf numFmtId="179" fontId="67" fillId="16" borderId="76" xfId="0" applyNumberFormat="1" applyFont="1" applyFill="1" applyBorder="1" applyAlignment="1" applyProtection="1">
      <alignment horizontal="center" vertical="center" wrapText="1" shrinkToFit="1"/>
    </xf>
    <xf numFmtId="179" fontId="68" fillId="16" borderId="14" xfId="0" applyNumberFormat="1" applyFont="1" applyFill="1" applyBorder="1" applyAlignment="1" applyProtection="1">
      <alignment horizontal="center" vertical="center" wrapText="1" shrinkToFit="1"/>
    </xf>
    <xf numFmtId="179" fontId="68" fillId="16" borderId="76" xfId="0" applyNumberFormat="1" applyFont="1" applyFill="1" applyBorder="1" applyAlignment="1" applyProtection="1">
      <alignment horizontal="center" vertical="center" wrapText="1" shrinkToFit="1"/>
    </xf>
    <xf numFmtId="0" fontId="41" fillId="13" borderId="4" xfId="10" applyFont="1" applyFill="1" applyBorder="1" applyAlignment="1" applyProtection="1">
      <alignment horizontal="center" vertical="center" shrinkToFit="1"/>
      <protection locked="0"/>
    </xf>
    <xf numFmtId="0" fontId="0" fillId="5" borderId="1" xfId="0" applyFill="1" applyBorder="1" applyAlignment="1">
      <alignment horizontal="left" vertical="top" indent="1" shrinkToFit="1"/>
    </xf>
    <xf numFmtId="0" fontId="0" fillId="5" borderId="4" xfId="0" applyFill="1" applyBorder="1" applyAlignment="1">
      <alignment horizontal="left" vertical="top" indent="1" shrinkToFit="1"/>
    </xf>
    <xf numFmtId="0" fontId="0" fillId="5" borderId="2" xfId="0" applyFill="1" applyBorder="1" applyAlignment="1">
      <alignment horizontal="left" vertical="top" indent="1" shrinkToFit="1"/>
    </xf>
    <xf numFmtId="0" fontId="41" fillId="2" borderId="14" xfId="0" applyFont="1" applyFill="1" applyBorder="1" applyAlignment="1">
      <alignment horizontal="center" vertical="center"/>
    </xf>
    <xf numFmtId="0" fontId="41" fillId="2" borderId="10"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42" fillId="2" borderId="14" xfId="0" applyFont="1" applyFill="1" applyBorder="1" applyAlignment="1" applyProtection="1">
      <alignment horizontal="center" vertical="top" wrapText="1"/>
    </xf>
    <xf numFmtId="0" fontId="42" fillId="2" borderId="10" xfId="0" applyFont="1" applyFill="1" applyBorder="1" applyAlignment="1" applyProtection="1">
      <alignment horizontal="center" vertical="top" wrapText="1"/>
    </xf>
    <xf numFmtId="176" fontId="0" fillId="0" borderId="1" xfId="1" applyNumberFormat="1" applyFont="1" applyBorder="1" applyAlignment="1" applyProtection="1">
      <alignment horizontal="center" vertical="center"/>
    </xf>
    <xf numFmtId="176" fontId="0" fillId="0" borderId="2" xfId="1" applyNumberFormat="1" applyFont="1" applyBorder="1" applyAlignment="1" applyProtection="1">
      <alignment horizontal="center" vertical="center"/>
    </xf>
    <xf numFmtId="176" fontId="0" fillId="0" borderId="4" xfId="1" applyNumberFormat="1" applyFont="1" applyBorder="1" applyAlignment="1" applyProtection="1">
      <alignment horizontal="center" vertical="center"/>
    </xf>
    <xf numFmtId="177" fontId="0" fillId="0" borderId="1" xfId="0" applyNumberFormat="1" applyBorder="1" applyAlignment="1" applyProtection="1">
      <alignment horizontal="center" vertical="center"/>
    </xf>
    <xf numFmtId="177" fontId="0" fillId="0" borderId="2" xfId="0" applyNumberFormat="1" applyBorder="1" applyAlignment="1" applyProtection="1">
      <alignment horizontal="center" vertical="center"/>
    </xf>
    <xf numFmtId="177" fontId="0" fillId="0" borderId="4" xfId="0" applyNumberFormat="1" applyBorder="1" applyAlignment="1" applyProtection="1">
      <alignment horizontal="center" vertical="center"/>
    </xf>
    <xf numFmtId="177" fontId="0" fillId="0" borderId="1" xfId="1" applyNumberFormat="1" applyFont="1" applyBorder="1" applyAlignment="1" applyProtection="1">
      <alignment horizontal="center" vertical="center"/>
    </xf>
    <xf numFmtId="177" fontId="0" fillId="0" borderId="2" xfId="1" applyNumberFormat="1" applyFont="1" applyBorder="1" applyAlignment="1" applyProtection="1">
      <alignment horizontal="center" vertical="center"/>
    </xf>
    <xf numFmtId="0" fontId="23" fillId="0" borderId="1" xfId="0" applyFont="1" applyBorder="1" applyAlignment="1" applyProtection="1">
      <alignment horizontal="left" vertical="center" indent="1" shrinkToFit="1"/>
      <protection hidden="1"/>
    </xf>
    <xf numFmtId="0" fontId="23" fillId="0" borderId="4" xfId="0" applyFont="1" applyBorder="1" applyAlignment="1" applyProtection="1">
      <alignment horizontal="left" vertical="center" indent="1" shrinkToFit="1"/>
      <protection hidden="1"/>
    </xf>
    <xf numFmtId="0" fontId="23" fillId="0" borderId="2" xfId="0" applyFont="1" applyBorder="1" applyAlignment="1" applyProtection="1">
      <alignment horizontal="left" vertical="center" indent="1" shrinkToFit="1"/>
      <protection hidden="1"/>
    </xf>
    <xf numFmtId="177" fontId="0" fillId="0" borderId="4" xfId="1" applyNumberFormat="1" applyFont="1" applyBorder="1" applyAlignment="1" applyProtection="1">
      <alignment horizontal="center" vertical="center"/>
    </xf>
    <xf numFmtId="0" fontId="11" fillId="0" borderId="1" xfId="10" applyBorder="1" applyAlignment="1" applyProtection="1">
      <alignment horizontal="center" vertical="center"/>
    </xf>
    <xf numFmtId="0" fontId="11" fillId="0" borderId="2" xfId="10" applyBorder="1" applyAlignment="1" applyProtection="1">
      <alignment horizontal="center" vertical="center"/>
    </xf>
    <xf numFmtId="0" fontId="11" fillId="0" borderId="4" xfId="10" applyBorder="1" applyAlignment="1" applyProtection="1">
      <alignment horizontal="center" vertical="center"/>
    </xf>
    <xf numFmtId="0" fontId="30" fillId="3" borderId="5" xfId="0" applyFont="1" applyFill="1" applyBorder="1" applyAlignment="1" applyProtection="1">
      <alignment horizontal="left" vertical="top" wrapText="1" shrinkToFit="1"/>
      <protection locked="0"/>
    </xf>
    <xf numFmtId="0" fontId="30" fillId="3" borderId="15" xfId="0" applyFont="1" applyFill="1" applyBorder="1" applyAlignment="1" applyProtection="1">
      <alignment horizontal="left" vertical="top" wrapText="1" shrinkToFit="1"/>
      <protection locked="0"/>
    </xf>
    <xf numFmtId="0" fontId="30" fillId="3" borderId="19" xfId="0" applyFont="1" applyFill="1" applyBorder="1" applyAlignment="1" applyProtection="1">
      <alignment horizontal="left" vertical="top" wrapText="1" shrinkToFit="1"/>
      <protection locked="0"/>
    </xf>
    <xf numFmtId="0" fontId="30" fillId="3" borderId="20" xfId="0" applyFont="1" applyFill="1" applyBorder="1" applyAlignment="1" applyProtection="1">
      <alignment horizontal="left" vertical="top" wrapText="1" shrinkToFit="1"/>
      <protection locked="0"/>
    </xf>
    <xf numFmtId="0" fontId="30" fillId="3" borderId="0" xfId="0" applyFont="1" applyFill="1" applyBorder="1" applyAlignment="1" applyProtection="1">
      <alignment horizontal="left" vertical="top" wrapText="1" shrinkToFit="1"/>
      <protection locked="0"/>
    </xf>
    <xf numFmtId="0" fontId="30" fillId="3" borderId="21" xfId="0" applyFont="1" applyFill="1" applyBorder="1" applyAlignment="1" applyProtection="1">
      <alignment horizontal="left" vertical="top" wrapText="1" shrinkToFit="1"/>
      <protection locked="0"/>
    </xf>
    <xf numFmtId="0" fontId="30" fillId="3" borderId="6" xfId="0" applyFont="1" applyFill="1" applyBorder="1" applyAlignment="1" applyProtection="1">
      <alignment horizontal="left" vertical="top" wrapText="1" shrinkToFit="1"/>
      <protection locked="0"/>
    </xf>
    <xf numFmtId="0" fontId="30" fillId="3" borderId="17" xfId="0" applyFont="1" applyFill="1" applyBorder="1" applyAlignment="1" applyProtection="1">
      <alignment horizontal="left" vertical="top" wrapText="1" shrinkToFit="1"/>
      <protection locked="0"/>
    </xf>
    <xf numFmtId="0" fontId="30" fillId="3" borderId="18" xfId="0" applyFont="1" applyFill="1" applyBorder="1" applyAlignment="1" applyProtection="1">
      <alignment horizontal="left" vertical="top" wrapText="1" shrinkToFit="1"/>
      <protection locked="0"/>
    </xf>
    <xf numFmtId="0" fontId="41" fillId="10" borderId="1" xfId="10" applyFont="1" applyFill="1" applyBorder="1" applyAlignment="1" applyProtection="1">
      <alignment horizontal="center" vertical="center" shrinkToFit="1"/>
      <protection locked="0"/>
    </xf>
    <xf numFmtId="0" fontId="41" fillId="10" borderId="4" xfId="10" applyFont="1" applyFill="1" applyBorder="1" applyAlignment="1" applyProtection="1">
      <alignment horizontal="center" vertical="center" shrinkToFit="1"/>
      <protection locked="0"/>
    </xf>
    <xf numFmtId="0" fontId="41" fillId="10" borderId="2" xfId="10" applyFont="1" applyFill="1" applyBorder="1" applyAlignment="1" applyProtection="1">
      <alignment horizontal="center" vertical="center" shrinkToFit="1"/>
      <protection locked="0"/>
    </xf>
    <xf numFmtId="0" fontId="30" fillId="10" borderId="1" xfId="0" applyFont="1" applyFill="1" applyBorder="1" applyAlignment="1" applyProtection="1">
      <alignment horizontal="center" vertical="top" shrinkToFit="1"/>
      <protection locked="0"/>
    </xf>
    <xf numFmtId="0" fontId="30" fillId="10" borderId="2" xfId="0" applyFont="1" applyFill="1" applyBorder="1" applyAlignment="1" applyProtection="1">
      <alignment horizontal="center" vertical="top" shrinkToFit="1"/>
      <protection locked="0"/>
    </xf>
    <xf numFmtId="0" fontId="11" fillId="10" borderId="1" xfId="10" applyFill="1" applyBorder="1" applyAlignment="1" applyProtection="1">
      <alignment horizontal="center" vertical="center" shrinkToFit="1"/>
      <protection locked="0"/>
    </xf>
    <xf numFmtId="0" fontId="11" fillId="10" borderId="2" xfId="10" applyFill="1" applyBorder="1" applyAlignment="1" applyProtection="1">
      <alignment horizontal="center" vertical="center" shrinkToFit="1"/>
      <protection locked="0"/>
    </xf>
    <xf numFmtId="0" fontId="41" fillId="5" borderId="0" xfId="0" applyFont="1" applyFill="1" applyAlignment="1" applyProtection="1">
      <alignment horizontal="left" vertical="top" indent="1" shrinkToFit="1"/>
    </xf>
    <xf numFmtId="0" fontId="41" fillId="2" borderId="1" xfId="0" applyFont="1" applyFill="1" applyBorder="1" applyAlignment="1">
      <alignment horizontal="center" vertical="top" wrapText="1"/>
    </xf>
    <xf numFmtId="0" fontId="41" fillId="2" borderId="2" xfId="0" applyFont="1" applyFill="1" applyBorder="1" applyAlignment="1">
      <alignment horizontal="center" vertical="top" wrapText="1"/>
    </xf>
    <xf numFmtId="0" fontId="41" fillId="2" borderId="1" xfId="0" applyFont="1" applyFill="1" applyBorder="1" applyAlignment="1">
      <alignment horizontal="center" vertical="center" shrinkToFit="1"/>
    </xf>
    <xf numFmtId="0" fontId="41" fillId="2" borderId="2" xfId="0" applyFont="1" applyFill="1" applyBorder="1" applyAlignment="1">
      <alignment horizontal="center" vertical="center" shrinkToFit="1"/>
    </xf>
    <xf numFmtId="0" fontId="41" fillId="2" borderId="1" xfId="0" applyFont="1" applyFill="1" applyBorder="1" applyAlignment="1">
      <alignment horizontal="center" vertical="center"/>
    </xf>
    <xf numFmtId="0" fontId="41" fillId="2" borderId="2" xfId="0" applyFont="1" applyFill="1" applyBorder="1" applyAlignment="1">
      <alignment horizontal="center" vertical="center"/>
    </xf>
    <xf numFmtId="176" fontId="41" fillId="5" borderId="1" xfId="1" applyNumberFormat="1" applyFont="1" applyFill="1" applyBorder="1" applyAlignment="1" applyProtection="1">
      <alignment horizontal="center" vertical="center" shrinkToFit="1"/>
    </xf>
    <xf numFmtId="176" fontId="41" fillId="5" borderId="2" xfId="1" applyNumberFormat="1" applyFont="1" applyFill="1" applyBorder="1" applyAlignment="1" applyProtection="1">
      <alignment horizontal="center" vertical="center" shrinkToFit="1"/>
    </xf>
    <xf numFmtId="177" fontId="41" fillId="5" borderId="1" xfId="0" applyNumberFormat="1" applyFont="1" applyFill="1" applyBorder="1" applyAlignment="1" applyProtection="1">
      <alignment horizontal="center" vertical="center"/>
    </xf>
    <xf numFmtId="177" fontId="41" fillId="5" borderId="2" xfId="0" applyNumberFormat="1" applyFont="1" applyFill="1" applyBorder="1" applyAlignment="1" applyProtection="1">
      <alignment horizontal="center" vertical="center"/>
    </xf>
    <xf numFmtId="177" fontId="41" fillId="5" borderId="1" xfId="1" applyNumberFormat="1" applyFont="1" applyFill="1" applyBorder="1" applyAlignment="1" applyProtection="1">
      <alignment horizontal="center" vertical="center"/>
    </xf>
    <xf numFmtId="177" fontId="41" fillId="5" borderId="2" xfId="1" applyNumberFormat="1" applyFont="1" applyFill="1" applyBorder="1" applyAlignment="1" applyProtection="1">
      <alignment horizontal="center" vertical="center"/>
    </xf>
    <xf numFmtId="0" fontId="41" fillId="2" borderId="3" xfId="0" applyFont="1" applyFill="1" applyBorder="1" applyAlignment="1">
      <alignment horizontal="center" vertical="center"/>
    </xf>
    <xf numFmtId="176" fontId="41" fillId="5" borderId="3" xfId="1" applyNumberFormat="1" applyFont="1" applyFill="1" applyBorder="1" applyAlignment="1" applyProtection="1">
      <alignment horizontal="center" vertical="center"/>
    </xf>
    <xf numFmtId="177" fontId="41" fillId="5" borderId="3" xfId="0" applyNumberFormat="1" applyFont="1" applyFill="1" applyBorder="1" applyAlignment="1" applyProtection="1">
      <alignment horizontal="center" vertical="center"/>
    </xf>
    <xf numFmtId="177" fontId="41" fillId="5" borderId="3" xfId="1" applyNumberFormat="1" applyFont="1" applyFill="1" applyBorder="1" applyAlignment="1" applyProtection="1">
      <alignment horizontal="center" vertical="center"/>
    </xf>
    <xf numFmtId="0" fontId="41" fillId="2" borderId="1" xfId="0" applyFont="1" applyFill="1" applyBorder="1" applyAlignment="1" applyProtection="1">
      <alignment horizontal="center" vertical="center" shrinkToFit="1"/>
    </xf>
    <xf numFmtId="0" fontId="41" fillId="2" borderId="2" xfId="0" applyFont="1" applyFill="1" applyBorder="1" applyAlignment="1" applyProtection="1">
      <alignment horizontal="center" vertical="center" shrinkToFit="1"/>
    </xf>
    <xf numFmtId="0" fontId="41" fillId="2" borderId="1" xfId="0" applyFont="1" applyFill="1" applyBorder="1" applyAlignment="1">
      <alignment horizontal="center"/>
    </xf>
    <xf numFmtId="0" fontId="41" fillId="2" borderId="2" xfId="0" applyFont="1" applyFill="1" applyBorder="1" applyAlignment="1">
      <alignment horizontal="center"/>
    </xf>
    <xf numFmtId="0" fontId="41" fillId="2" borderId="1" xfId="0" applyFont="1" applyFill="1" applyBorder="1" applyAlignment="1" applyProtection="1">
      <alignment horizontal="center" vertical="center" wrapText="1"/>
    </xf>
    <xf numFmtId="0" fontId="41" fillId="2" borderId="2" xfId="0" applyFont="1" applyFill="1" applyBorder="1" applyAlignment="1" applyProtection="1">
      <alignment horizontal="center" vertical="center" wrapText="1"/>
    </xf>
    <xf numFmtId="38" fontId="41" fillId="5" borderId="1" xfId="1" applyFont="1" applyFill="1" applyBorder="1" applyAlignment="1" applyProtection="1">
      <alignment horizontal="center" vertical="center"/>
    </xf>
    <xf numFmtId="38" fontId="41" fillId="5" borderId="2" xfId="1" applyFont="1" applyFill="1" applyBorder="1" applyAlignment="1" applyProtection="1">
      <alignment horizontal="center" vertical="center"/>
    </xf>
    <xf numFmtId="198" fontId="41" fillId="5" borderId="1" xfId="1" applyNumberFormat="1" applyFont="1" applyFill="1" applyBorder="1" applyAlignment="1" applyProtection="1">
      <alignment horizontal="center" vertical="center"/>
    </xf>
    <xf numFmtId="198" fontId="41" fillId="5" borderId="2" xfId="1" applyNumberFormat="1" applyFont="1" applyFill="1" applyBorder="1" applyAlignment="1" applyProtection="1">
      <alignment horizontal="center" vertical="center"/>
    </xf>
    <xf numFmtId="0" fontId="30" fillId="5" borderId="5" xfId="0" applyFont="1" applyFill="1" applyBorder="1" applyAlignment="1" applyProtection="1">
      <alignment horizontal="left" vertical="top"/>
      <protection locked="0"/>
    </xf>
    <xf numFmtId="0" fontId="30" fillId="5" borderId="15" xfId="0" applyFont="1" applyFill="1" applyBorder="1" applyAlignment="1" applyProtection="1">
      <alignment horizontal="left" vertical="top"/>
      <protection locked="0"/>
    </xf>
    <xf numFmtId="0" fontId="30" fillId="5" borderId="19" xfId="0" applyFont="1" applyFill="1" applyBorder="1" applyAlignment="1" applyProtection="1">
      <alignment horizontal="left" vertical="top"/>
      <protection locked="0"/>
    </xf>
    <xf numFmtId="0" fontId="30" fillId="5" borderId="20" xfId="0" applyFont="1" applyFill="1" applyBorder="1" applyAlignment="1" applyProtection="1">
      <alignment horizontal="left" vertical="top"/>
      <protection locked="0"/>
    </xf>
    <xf numFmtId="0" fontId="30" fillId="5" borderId="0" xfId="0" applyFont="1" applyFill="1" applyBorder="1" applyAlignment="1" applyProtection="1">
      <alignment horizontal="left" vertical="top"/>
      <protection locked="0"/>
    </xf>
    <xf numFmtId="0" fontId="30" fillId="5" borderId="21" xfId="0" applyFont="1" applyFill="1" applyBorder="1" applyAlignment="1" applyProtection="1">
      <alignment horizontal="left" vertical="top"/>
      <protection locked="0"/>
    </xf>
    <xf numFmtId="0" fontId="30" fillId="5" borderId="6" xfId="0" applyFont="1" applyFill="1" applyBorder="1" applyAlignment="1" applyProtection="1">
      <alignment horizontal="left" vertical="top"/>
      <protection locked="0"/>
    </xf>
    <xf numFmtId="0" fontId="30" fillId="5" borderId="17" xfId="0" applyFont="1" applyFill="1" applyBorder="1" applyAlignment="1" applyProtection="1">
      <alignment horizontal="left" vertical="top"/>
      <protection locked="0"/>
    </xf>
    <xf numFmtId="0" fontId="30" fillId="5" borderId="18" xfId="0" applyFont="1" applyFill="1" applyBorder="1" applyAlignment="1" applyProtection="1">
      <alignment horizontal="left" vertical="top"/>
      <protection locked="0"/>
    </xf>
    <xf numFmtId="38" fontId="0" fillId="5" borderId="3" xfId="1" applyFont="1" applyFill="1" applyBorder="1" applyAlignment="1" applyProtection="1">
      <alignment horizontal="center" vertical="center"/>
    </xf>
    <xf numFmtId="176" fontId="0" fillId="5" borderId="3" xfId="1" applyNumberFormat="1" applyFont="1" applyFill="1" applyBorder="1" applyAlignment="1" applyProtection="1">
      <alignment horizontal="center" vertical="center"/>
    </xf>
    <xf numFmtId="0" fontId="0" fillId="2" borderId="3" xfId="0" applyFill="1" applyBorder="1" applyAlignment="1" applyProtection="1">
      <alignment horizontal="center" vertical="center" shrinkToFit="1"/>
    </xf>
    <xf numFmtId="198" fontId="41" fillId="5" borderId="3" xfId="10" applyNumberFormat="1" applyFont="1" applyFill="1" applyBorder="1" applyAlignment="1" applyProtection="1">
      <alignment horizontal="center" vertical="center"/>
    </xf>
    <xf numFmtId="0" fontId="11" fillId="2" borderId="1" xfId="10" applyFill="1" applyBorder="1" applyAlignment="1" applyProtection="1">
      <alignment horizontal="center" vertical="center"/>
    </xf>
    <xf numFmtId="0" fontId="11" fillId="2" borderId="2" xfId="10" applyFill="1" applyBorder="1" applyAlignment="1" applyProtection="1">
      <alignment horizontal="center" vertical="center"/>
    </xf>
    <xf numFmtId="198" fontId="41" fillId="5" borderId="1" xfId="10" applyNumberFormat="1" applyFont="1" applyFill="1" applyBorder="1" applyAlignment="1" applyProtection="1">
      <alignment horizontal="center" vertical="center"/>
    </xf>
    <xf numFmtId="198" fontId="41" fillId="5" borderId="2" xfId="10" applyNumberFormat="1" applyFont="1" applyFill="1" applyBorder="1" applyAlignment="1" applyProtection="1">
      <alignment horizontal="center" vertical="center"/>
    </xf>
    <xf numFmtId="0" fontId="11" fillId="5" borderId="0" xfId="10" applyFill="1" applyAlignment="1" applyProtection="1">
      <alignment horizontal="left" vertical="top" indent="1" shrinkToFit="1"/>
    </xf>
    <xf numFmtId="38" fontId="41" fillId="5" borderId="1" xfId="10" applyNumberFormat="1" applyFont="1" applyFill="1" applyBorder="1" applyAlignment="1" applyProtection="1">
      <alignment horizontal="center" vertical="center"/>
    </xf>
    <xf numFmtId="38" fontId="41" fillId="5" borderId="4" xfId="10" applyNumberFormat="1" applyFont="1" applyFill="1" applyBorder="1" applyAlignment="1" applyProtection="1">
      <alignment horizontal="center" vertical="center"/>
    </xf>
    <xf numFmtId="38" fontId="41" fillId="5" borderId="2" xfId="10" applyNumberFormat="1" applyFont="1" applyFill="1" applyBorder="1" applyAlignment="1" applyProtection="1">
      <alignment horizontal="center" vertical="center"/>
    </xf>
    <xf numFmtId="177" fontId="0" fillId="5" borderId="4" xfId="0" applyNumberFormat="1" applyFill="1" applyBorder="1" applyAlignment="1" applyProtection="1">
      <alignment horizontal="center" vertical="center"/>
    </xf>
    <xf numFmtId="177" fontId="0" fillId="5" borderId="4" xfId="1" applyNumberFormat="1" applyFont="1" applyFill="1" applyBorder="1" applyAlignment="1" applyProtection="1">
      <alignment horizontal="center" vertical="center"/>
    </xf>
    <xf numFmtId="38" fontId="41" fillId="5" borderId="3" xfId="10" applyNumberFormat="1" applyFont="1" applyFill="1" applyBorder="1" applyAlignment="1" applyProtection="1">
      <alignment horizontal="center" vertical="center"/>
    </xf>
    <xf numFmtId="177" fontId="0" fillId="5" borderId="3" xfId="0" applyNumberFormat="1" applyFill="1" applyBorder="1" applyAlignment="1" applyProtection="1">
      <alignment horizontal="center" vertical="center"/>
    </xf>
    <xf numFmtId="177" fontId="0" fillId="5" borderId="3" xfId="1" applyNumberFormat="1" applyFont="1" applyFill="1" applyBorder="1" applyAlignment="1" applyProtection="1">
      <alignment horizontal="center" vertical="center"/>
    </xf>
    <xf numFmtId="0" fontId="41" fillId="13" borderId="1" xfId="0" applyFont="1" applyFill="1" applyBorder="1" applyAlignment="1" applyProtection="1">
      <alignment horizontal="center" vertical="center" shrinkToFit="1"/>
      <protection locked="0"/>
    </xf>
    <xf numFmtId="0" fontId="41" fillId="13" borderId="2" xfId="0" applyFont="1" applyFill="1" applyBorder="1" applyAlignment="1" applyProtection="1">
      <alignment horizontal="center" vertical="center" shrinkToFit="1"/>
      <protection locked="0"/>
    </xf>
    <xf numFmtId="0" fontId="23" fillId="5" borderId="3" xfId="0" applyFont="1" applyFill="1" applyBorder="1" applyAlignment="1" applyProtection="1">
      <alignment horizontal="left" vertical="center" shrinkToFit="1"/>
      <protection hidden="1"/>
    </xf>
    <xf numFmtId="9" fontId="0" fillId="2" borderId="1" xfId="7" applyFont="1" applyFill="1" applyBorder="1" applyAlignment="1" applyProtection="1">
      <alignment horizontal="center" vertical="center" shrinkToFit="1"/>
    </xf>
    <xf numFmtId="9" fontId="0" fillId="2" borderId="4" xfId="7" applyFont="1" applyFill="1" applyBorder="1" applyAlignment="1" applyProtection="1">
      <alignment horizontal="center" vertical="center" shrinkToFit="1"/>
    </xf>
    <xf numFmtId="9" fontId="0" fillId="2" borderId="2" xfId="7" applyFont="1" applyFill="1" applyBorder="1" applyAlignment="1" applyProtection="1">
      <alignment horizontal="center" vertical="center" shrinkToFit="1"/>
    </xf>
    <xf numFmtId="0" fontId="42" fillId="2" borderId="16" xfId="0" applyFont="1" applyFill="1" applyBorder="1" applyAlignment="1" applyProtection="1">
      <alignment horizontal="center" vertical="top" wrapText="1"/>
    </xf>
    <xf numFmtId="0" fontId="0" fillId="2" borderId="3" xfId="0" applyFill="1" applyBorder="1" applyAlignment="1" applyProtection="1">
      <alignment horizontal="center" vertical="center"/>
    </xf>
    <xf numFmtId="9" fontId="0" fillId="5" borderId="1" xfId="7" applyFont="1" applyFill="1" applyBorder="1" applyAlignment="1" applyProtection="1">
      <alignment horizontal="center" vertical="center" shrinkToFit="1"/>
    </xf>
    <xf numFmtId="9" fontId="0" fillId="5" borderId="4" xfId="7" applyFont="1" applyFill="1" applyBorder="1" applyAlignment="1" applyProtection="1">
      <alignment horizontal="center" vertical="center" shrinkToFit="1"/>
    </xf>
    <xf numFmtId="9" fontId="0" fillId="5" borderId="2" xfId="7" applyFont="1" applyFill="1" applyBorder="1" applyAlignment="1" applyProtection="1">
      <alignment horizontal="center" vertical="center" shrinkToFit="1"/>
    </xf>
    <xf numFmtId="176" fontId="0" fillId="5" borderId="4" xfId="1" applyNumberFormat="1" applyFont="1" applyFill="1" applyBorder="1" applyAlignment="1" applyProtection="1">
      <alignment horizontal="center" vertical="center"/>
    </xf>
    <xf numFmtId="0" fontId="20" fillId="2" borderId="3" xfId="6" applyFill="1" applyBorder="1" applyAlignment="1">
      <alignment horizontal="center" vertical="center"/>
    </xf>
    <xf numFmtId="0" fontId="20" fillId="2" borderId="3" xfId="6" applyFill="1" applyBorder="1" applyAlignment="1">
      <alignment horizontal="center"/>
    </xf>
    <xf numFmtId="0" fontId="0" fillId="0" borderId="3" xfId="0" applyBorder="1" applyAlignment="1">
      <alignment horizontal="center" vertical="center"/>
    </xf>
  </cellXfs>
  <cellStyles count="13">
    <cellStyle name="パーセント" xfId="2" builtinId="5"/>
    <cellStyle name="パーセント 12" xfId="9" xr:uid="{14C46148-00DE-4335-89E3-A52D4DF9B9C0}"/>
    <cellStyle name="パーセント 2" xfId="7" xr:uid="{DEA67D98-7EB5-4EF1-8DC3-D6E8EC15636B}"/>
    <cellStyle name="パーセント 3" xfId="11" xr:uid="{F1D4BDF4-515A-443F-A712-B734C24DC0ED}"/>
    <cellStyle name="桁区切り" xfId="1" builtinId="6"/>
    <cellStyle name="桁区切り 2" xfId="5" xr:uid="{AB8AE35C-6FF6-4732-B381-0D745C1AE31A}"/>
    <cellStyle name="桁区切り 3" xfId="12" xr:uid="{8B506C20-785F-4F01-ABBE-73E76566549F}"/>
    <cellStyle name="標準" xfId="0" builtinId="0"/>
    <cellStyle name="標準 2" xfId="3" xr:uid="{2C2D72D6-8AC7-4A0F-A903-DE06A849F123}"/>
    <cellStyle name="標準 2 7" xfId="8" xr:uid="{7A7D48BD-BA7D-4CCE-8BD9-79D00E8E553A}"/>
    <cellStyle name="標準 3" xfId="6" xr:uid="{F22DB981-BD7A-4C9E-8DD7-91A0218941D7}"/>
    <cellStyle name="標準 4" xfId="10" xr:uid="{E3209FB1-D16F-40A6-BED9-90B3CE00D730}"/>
    <cellStyle name="標準 5 8" xfId="4" xr:uid="{4188FE7A-5835-4CED-92EF-E8DEBEF83FD2}"/>
  </cellStyles>
  <dxfs count="91">
    <dxf>
      <fill>
        <patternFill>
          <bgColor rgb="FFFFFF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59996337778862885"/>
        </patternFill>
      </fill>
    </dxf>
    <dxf>
      <font>
        <color theme="0"/>
      </font>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theme="7" tint="0.59996337778862885"/>
        </patternFill>
      </fill>
    </dxf>
    <dxf>
      <font>
        <color theme="0"/>
      </font>
    </dxf>
    <dxf>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ont>
        <color theme="9" tint="0.79998168889431442"/>
      </font>
    </dxf>
    <dxf>
      <font>
        <color theme="9" tint="0.79998168889431442"/>
      </font>
    </dxf>
    <dxf>
      <fill>
        <patternFill>
          <bgColor theme="0" tint="-0.24994659260841701"/>
        </patternFill>
      </fill>
    </dxf>
    <dxf>
      <fill>
        <patternFill>
          <bgColor theme="0" tint="-0.24994659260841701"/>
        </patternFill>
      </fill>
    </dxf>
    <dxf>
      <fill>
        <patternFill patternType="none">
          <bgColor auto="1"/>
        </patternFill>
      </fill>
    </dxf>
    <dxf>
      <fill>
        <patternFill>
          <bgColor rgb="FFFF4B4B"/>
        </patternFill>
      </fill>
    </dxf>
    <dxf>
      <fill>
        <patternFill>
          <bgColor theme="0" tint="-0.24994659260841701"/>
        </patternFill>
      </fill>
    </dxf>
    <dxf>
      <fill>
        <patternFill>
          <bgColor theme="0" tint="-0.24994659260841701"/>
        </patternFill>
      </fill>
    </dxf>
    <dxf>
      <font>
        <color rgb="FFFF0000"/>
      </font>
    </dxf>
    <dxf>
      <fill>
        <patternFill>
          <bgColor theme="0" tint="-0.24994659260841701"/>
        </patternFill>
      </fill>
    </dxf>
    <dxf>
      <fill>
        <patternFill>
          <bgColor theme="7" tint="0.59996337778862885"/>
        </patternFill>
      </fill>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patternType="none">
          <bgColor auto="1"/>
        </patternFill>
      </fill>
    </dxf>
    <dxf>
      <fill>
        <patternFill patternType="none">
          <bgColor auto="1"/>
        </patternFill>
      </fill>
    </dxf>
    <dxf>
      <fill>
        <patternFill>
          <bgColor theme="7" tint="0.59996337778862885"/>
        </patternFill>
      </fill>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99"/>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59996337778862885"/>
        </patternFill>
      </fill>
    </dxf>
    <dxf>
      <font>
        <color theme="0"/>
      </font>
    </dxf>
    <dxf>
      <fill>
        <patternFill>
          <bgColor rgb="FFFF0000"/>
        </patternFill>
      </fill>
    </dxf>
    <dxf>
      <fill>
        <patternFill>
          <bgColor rgb="FFFF0000"/>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59996337778862885"/>
        </patternFill>
      </fill>
    </dxf>
    <dxf>
      <font>
        <color theme="0"/>
      </font>
    </dxf>
    <dxf>
      <fill>
        <patternFill>
          <bgColor rgb="FFFFFF99"/>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2.x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6.emf"/></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5.emf"/></Relationships>
</file>

<file path=xl/drawings/_rels/drawing8.xml.rels><?xml version="1.0" encoding="UTF-8" standalone="yes"?>
<Relationships xmlns="http://schemas.openxmlformats.org/package/2006/relationships"><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xdr:from>
      <xdr:col>35</xdr:col>
      <xdr:colOff>111125</xdr:colOff>
      <xdr:row>3</xdr:row>
      <xdr:rowOff>120650</xdr:rowOff>
    </xdr:from>
    <xdr:to>
      <xdr:col>39</xdr:col>
      <xdr:colOff>228600</xdr:colOff>
      <xdr:row>6</xdr:row>
      <xdr:rowOff>57150</xdr:rowOff>
    </xdr:to>
    <xdr:sp macro="" textlink="">
      <xdr:nvSpPr>
        <xdr:cNvPr id="2" name="吹き出し: 角を丸めた四角形 1">
          <a:extLst>
            <a:ext uri="{FF2B5EF4-FFF2-40B4-BE49-F238E27FC236}">
              <a16:creationId xmlns:a16="http://schemas.microsoft.com/office/drawing/2014/main" id="{682FA840-B762-4BE8-A7B0-20A7A9155F6C}"/>
            </a:ext>
          </a:extLst>
        </xdr:cNvPr>
        <xdr:cNvSpPr/>
      </xdr:nvSpPr>
      <xdr:spPr>
        <a:xfrm>
          <a:off x="6788150" y="863600"/>
          <a:ext cx="2079625" cy="679450"/>
        </a:xfrm>
        <a:prstGeom prst="wedgeRoundRectCallout">
          <a:avLst>
            <a:gd name="adj1" fmla="val -61651"/>
            <a:gd name="adj2" fmla="val 23296"/>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事業実施場所でなく、登記事項証明書の所在地です。</a:t>
          </a:r>
        </a:p>
      </xdr:txBody>
    </xdr:sp>
    <xdr:clientData/>
  </xdr:twoCellAnchor>
  <xdr:twoCellAnchor>
    <xdr:from>
      <xdr:col>35</xdr:col>
      <xdr:colOff>117231</xdr:colOff>
      <xdr:row>6</xdr:row>
      <xdr:rowOff>177311</xdr:rowOff>
    </xdr:from>
    <xdr:to>
      <xdr:col>39</xdr:col>
      <xdr:colOff>231531</xdr:colOff>
      <xdr:row>9</xdr:row>
      <xdr:rowOff>107461</xdr:rowOff>
    </xdr:to>
    <xdr:sp macro="" textlink="">
      <xdr:nvSpPr>
        <xdr:cNvPr id="3" name="吹き出し: 角を丸めた四角形 2">
          <a:extLst>
            <a:ext uri="{FF2B5EF4-FFF2-40B4-BE49-F238E27FC236}">
              <a16:creationId xmlns:a16="http://schemas.microsoft.com/office/drawing/2014/main" id="{98B03188-8561-43BF-85F5-77757CB7564C}"/>
            </a:ext>
          </a:extLst>
        </xdr:cNvPr>
        <xdr:cNvSpPr/>
      </xdr:nvSpPr>
      <xdr:spPr>
        <a:xfrm>
          <a:off x="6794256" y="1663211"/>
          <a:ext cx="2076450" cy="673100"/>
        </a:xfrm>
        <a:prstGeom prst="wedgeRoundRectCallout">
          <a:avLst>
            <a:gd name="adj1" fmla="val -59151"/>
            <a:gd name="adj2" fmla="val -1895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役職名は、取締役、代表取締役、理事長など</a:t>
          </a:r>
        </a:p>
        <a:p>
          <a:pPr algn="l"/>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19050</xdr:colOff>
      <xdr:row>8</xdr:row>
      <xdr:rowOff>123832</xdr:rowOff>
    </xdr:from>
    <xdr:ext cx="7248526" cy="1171568"/>
    <xdr:sp macro="" textlink="">
      <xdr:nvSpPr>
        <xdr:cNvPr id="2" name="テキスト ボックス 1">
          <a:extLst>
            <a:ext uri="{FF2B5EF4-FFF2-40B4-BE49-F238E27FC236}">
              <a16:creationId xmlns:a16="http://schemas.microsoft.com/office/drawing/2014/main" id="{2381EAC0-B94A-43F3-9F3A-04300729B370}"/>
            </a:ext>
          </a:extLst>
        </xdr:cNvPr>
        <xdr:cNvSpPr txBox="1"/>
      </xdr:nvSpPr>
      <xdr:spPr>
        <a:xfrm>
          <a:off x="266700" y="2219332"/>
          <a:ext cx="7248526" cy="1171568"/>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effectLst/>
              <a:latin typeface="+mn-ea"/>
              <a:ea typeface="+mn-ea"/>
              <a:cs typeface="+mn-cs"/>
            </a:rPr>
            <a:t>・</a:t>
          </a:r>
          <a:r>
            <a:rPr kumimoji="1" lang="ja-JP" altLang="en-US" sz="1200">
              <a:solidFill>
                <a:sysClr val="windowText" lastClr="000000"/>
              </a:solidFill>
              <a:effectLst/>
              <a:latin typeface="+mn-ea"/>
              <a:ea typeface="+mn-ea"/>
              <a:cs typeface="+mn-cs"/>
            </a:rPr>
            <a:t>記入例をご覧の上、設備する太陽光発電設備、蓄電池の各仕様値を記入する。</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・蓄電池の設置が無い場合は対象外となります。</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・発電量については、別途シミュレーション結果、もしくは計算資料を添付してください。</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・記入する欄は白色の枠内です。色のついた欄は記載不要。</a:t>
          </a:r>
          <a:endParaRPr kumimoji="1" lang="en-US" altLang="ja-JP" sz="1200">
            <a:solidFill>
              <a:sysClr val="windowText" lastClr="000000"/>
            </a:solidFill>
            <a:effectLst/>
            <a:latin typeface="+mn-ea"/>
            <a:ea typeface="+mn-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19049</xdr:colOff>
      <xdr:row>9</xdr:row>
      <xdr:rowOff>123832</xdr:rowOff>
    </xdr:from>
    <xdr:ext cx="7839075" cy="1838318"/>
    <xdr:sp macro="" textlink="">
      <xdr:nvSpPr>
        <xdr:cNvPr id="2" name="テキスト ボックス 1">
          <a:extLst>
            <a:ext uri="{FF2B5EF4-FFF2-40B4-BE49-F238E27FC236}">
              <a16:creationId xmlns:a16="http://schemas.microsoft.com/office/drawing/2014/main" id="{AB967B44-3CB9-4187-9D2A-6DDFCED5942A}"/>
            </a:ext>
          </a:extLst>
        </xdr:cNvPr>
        <xdr:cNvSpPr txBox="1"/>
      </xdr:nvSpPr>
      <xdr:spPr>
        <a:xfrm>
          <a:off x="266699" y="2466982"/>
          <a:ext cx="7839075" cy="1838318"/>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effectLst/>
              <a:latin typeface="+mn-ea"/>
              <a:ea typeface="+mn-ea"/>
              <a:cs typeface="+mn-cs"/>
            </a:rPr>
            <a:t>・</a:t>
          </a:r>
          <a:r>
            <a:rPr kumimoji="1" lang="ja-JP" altLang="en-US" sz="1200">
              <a:solidFill>
                <a:sysClr val="windowText" lastClr="000000"/>
              </a:solidFill>
              <a:effectLst/>
              <a:latin typeface="+mn-ea"/>
              <a:ea typeface="+mn-ea"/>
              <a:cs typeface="+mn-cs"/>
            </a:rPr>
            <a:t>記入例をご覧の上、設備更新による削減量を算定してください。</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・記入する欄は白色の枠内です。</a:t>
          </a:r>
          <a:r>
            <a:rPr kumimoji="1" lang="ja-JP" altLang="en-US" sz="1200">
              <a:solidFill>
                <a:srgbClr val="00B0F0"/>
              </a:solidFill>
              <a:effectLst/>
              <a:latin typeface="+mn-ea"/>
              <a:ea typeface="+mn-ea"/>
              <a:cs typeface="+mn-cs"/>
            </a:rPr>
            <a:t>水色</a:t>
          </a:r>
          <a:r>
            <a:rPr kumimoji="1" lang="ja-JP" altLang="en-US" sz="1200">
              <a:solidFill>
                <a:sysClr val="windowText" lastClr="000000"/>
              </a:solidFill>
              <a:effectLst/>
              <a:latin typeface="+mn-ea"/>
              <a:ea typeface="+mn-ea"/>
              <a:cs typeface="+mn-cs"/>
            </a:rPr>
            <a:t>欄は任意記載。その他色のついた欄は記載不要。</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・更新・前後の年間主要エネルギー消費量は根拠を示す実績値やシミュレーション結果などの資料が必要です。</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・エネルギー種別を選択後、エネルギー種類を選択し、各係数値を記入してください。</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　該当のエネルギー種類が無い場合は、右表の欄で選択記入します。１件のみ選択可能</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・更新後の</a:t>
          </a:r>
          <a:r>
            <a:rPr kumimoji="1" lang="en-US" altLang="ja-JP" sz="1200">
              <a:solidFill>
                <a:sysClr val="windowText" lastClr="000000"/>
              </a:solidFill>
              <a:effectLst/>
              <a:latin typeface="+mn-ea"/>
              <a:ea typeface="+mn-ea"/>
              <a:cs typeface="+mn-cs"/>
            </a:rPr>
            <a:t>n</a:t>
          </a:r>
          <a:r>
            <a:rPr kumimoji="1" lang="ja-JP" altLang="en-US" sz="1200">
              <a:solidFill>
                <a:sysClr val="windowText" lastClr="000000"/>
              </a:solidFill>
              <a:effectLst/>
              <a:latin typeface="+mn-ea"/>
              <a:ea typeface="+mn-ea"/>
              <a:cs typeface="+mn-cs"/>
            </a:rPr>
            <a:t>低減率は、インバータなど、追加する削減効果があれば記入します。</a:t>
          </a:r>
          <a:endParaRPr kumimoji="1" lang="en-US" altLang="ja-JP" sz="1200">
            <a:solidFill>
              <a:sysClr val="windowText" lastClr="000000"/>
            </a:solidFill>
            <a:latin typeface="+mn-ea"/>
            <a:ea typeface="+mn-ea"/>
          </a:endParaRPr>
        </a:p>
      </xdr:txBody>
    </xdr:sp>
    <xdr:clientData/>
  </xdr:oneCellAnchor>
  <xdr:twoCellAnchor editAs="oneCell">
    <xdr:from>
      <xdr:col>31</xdr:col>
      <xdr:colOff>619125</xdr:colOff>
      <xdr:row>10</xdr:row>
      <xdr:rowOff>114300</xdr:rowOff>
    </xdr:from>
    <xdr:to>
      <xdr:col>34</xdr:col>
      <xdr:colOff>638175</xdr:colOff>
      <xdr:row>18</xdr:row>
      <xdr:rowOff>247650</xdr:rowOff>
    </xdr:to>
    <xdr:pic>
      <xdr:nvPicPr>
        <xdr:cNvPr id="3" name="図 2">
          <a:extLst>
            <a:ext uri="{FF2B5EF4-FFF2-40B4-BE49-F238E27FC236}">
              <a16:creationId xmlns:a16="http://schemas.microsoft.com/office/drawing/2014/main" id="{5C790AA1-A47B-4FB2-B559-D61F13BCC3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49675" y="2714625"/>
          <a:ext cx="1676400" cy="2038350"/>
        </a:xfrm>
        <a:prstGeom prst="rect">
          <a:avLst/>
        </a:prstGeom>
        <a:solidFill>
          <a:schemeClr val="bg1">
            <a:lumMod val="95000"/>
          </a:schemeClr>
        </a:solid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457200</xdr:colOff>
      <xdr:row>1</xdr:row>
      <xdr:rowOff>132898</xdr:rowOff>
    </xdr:from>
    <xdr:to>
      <xdr:col>8</xdr:col>
      <xdr:colOff>561975</xdr:colOff>
      <xdr:row>12</xdr:row>
      <xdr:rowOff>152400</xdr:rowOff>
    </xdr:to>
    <xdr:pic>
      <xdr:nvPicPr>
        <xdr:cNvPr id="3" name="図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0" y="304348"/>
          <a:ext cx="2162175" cy="1905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123826</xdr:colOff>
      <xdr:row>1</xdr:row>
      <xdr:rowOff>28574</xdr:rowOff>
    </xdr:from>
    <xdr:to>
      <xdr:col>5</xdr:col>
      <xdr:colOff>634734</xdr:colOff>
      <xdr:row>14</xdr:row>
      <xdr:rowOff>76199</xdr:rowOff>
    </xdr:to>
    <xdr:pic>
      <xdr:nvPicPr>
        <xdr:cNvPr id="5" name="図 4">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6" y="200024"/>
          <a:ext cx="3730358"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219809</xdr:colOff>
      <xdr:row>70</xdr:row>
      <xdr:rowOff>109905</xdr:rowOff>
    </xdr:from>
    <xdr:to>
      <xdr:col>20</xdr:col>
      <xdr:colOff>638907</xdr:colOff>
      <xdr:row>81</xdr:row>
      <xdr:rowOff>95251</xdr:rowOff>
    </xdr:to>
    <xdr:pic>
      <xdr:nvPicPr>
        <xdr:cNvPr id="79" name="図 78">
          <a:extLst>
            <a:ext uri="{FF2B5EF4-FFF2-40B4-BE49-F238E27FC236}">
              <a16:creationId xmlns:a16="http://schemas.microsoft.com/office/drawing/2014/main" id="{3AF8BC7B-7324-4BB6-9F9A-A39865B005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924" y="12961328"/>
          <a:ext cx="13255868" cy="1839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201706</xdr:colOff>
      <xdr:row>147</xdr:row>
      <xdr:rowOff>56029</xdr:rowOff>
    </xdr:from>
    <xdr:to>
      <xdr:col>20</xdr:col>
      <xdr:colOff>638735</xdr:colOff>
      <xdr:row>155</xdr:row>
      <xdr:rowOff>56030</xdr:rowOff>
    </xdr:to>
    <xdr:pic>
      <xdr:nvPicPr>
        <xdr:cNvPr id="81" name="図 80">
          <a:extLst>
            <a:ext uri="{FF2B5EF4-FFF2-40B4-BE49-F238E27FC236}">
              <a16:creationId xmlns:a16="http://schemas.microsoft.com/office/drawing/2014/main" id="{D81D0300-62DB-4DA5-BBC0-BF1EA9B93F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8235" y="30289500"/>
          <a:ext cx="13178118" cy="1344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201707</xdr:colOff>
      <xdr:row>127</xdr:row>
      <xdr:rowOff>89646</xdr:rowOff>
    </xdr:from>
    <xdr:to>
      <xdr:col>20</xdr:col>
      <xdr:colOff>650875</xdr:colOff>
      <xdr:row>133</xdr:row>
      <xdr:rowOff>123263</xdr:rowOff>
    </xdr:to>
    <xdr:pic>
      <xdr:nvPicPr>
        <xdr:cNvPr id="75" name="図 74">
          <a:extLst>
            <a:ext uri="{FF2B5EF4-FFF2-40B4-BE49-F238E27FC236}">
              <a16:creationId xmlns:a16="http://schemas.microsoft.com/office/drawing/2014/main" id="{9768915C-25D7-4634-8CF0-C75B687E93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5707" y="22790896"/>
          <a:ext cx="13180918" cy="1081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201706</xdr:colOff>
      <xdr:row>168</xdr:row>
      <xdr:rowOff>89647</xdr:rowOff>
    </xdr:from>
    <xdr:to>
      <xdr:col>20</xdr:col>
      <xdr:colOff>672353</xdr:colOff>
      <xdr:row>176</xdr:row>
      <xdr:rowOff>156324</xdr:rowOff>
    </xdr:to>
    <xdr:pic>
      <xdr:nvPicPr>
        <xdr:cNvPr id="100" name="図 99">
          <a:extLst>
            <a:ext uri="{FF2B5EF4-FFF2-40B4-BE49-F238E27FC236}">
              <a16:creationId xmlns:a16="http://schemas.microsoft.com/office/drawing/2014/main" id="{D5CFFD93-33E5-4CAF-AC6A-42943BCF5E1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8235" y="25482176"/>
          <a:ext cx="13211736" cy="1411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268941</xdr:colOff>
      <xdr:row>101</xdr:row>
      <xdr:rowOff>0</xdr:rowOff>
    </xdr:from>
    <xdr:to>
      <xdr:col>20</xdr:col>
      <xdr:colOff>661147</xdr:colOff>
      <xdr:row>114</xdr:row>
      <xdr:rowOff>19050</xdr:rowOff>
    </xdr:to>
    <xdr:pic>
      <xdr:nvPicPr>
        <xdr:cNvPr id="97" name="図 96">
          <a:extLst>
            <a:ext uri="{FF2B5EF4-FFF2-40B4-BE49-F238E27FC236}">
              <a16:creationId xmlns:a16="http://schemas.microsoft.com/office/drawing/2014/main" id="{0D93E54D-1F1A-41A0-BEDB-F07C72D6101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15470" y="17570824"/>
          <a:ext cx="13133295" cy="2204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291353</xdr:colOff>
      <xdr:row>51</xdr:row>
      <xdr:rowOff>145676</xdr:rowOff>
    </xdr:from>
    <xdr:to>
      <xdr:col>21</xdr:col>
      <xdr:colOff>25774</xdr:colOff>
      <xdr:row>58</xdr:row>
      <xdr:rowOff>95813</xdr:rowOff>
    </xdr:to>
    <xdr:pic>
      <xdr:nvPicPr>
        <xdr:cNvPr id="92" name="図 91">
          <a:extLst>
            <a:ext uri="{FF2B5EF4-FFF2-40B4-BE49-F238E27FC236}">
              <a16:creationId xmlns:a16="http://schemas.microsoft.com/office/drawing/2014/main" id="{8055092F-8C6A-4738-B805-CA0121AFD79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37882" y="9390529"/>
          <a:ext cx="13159068" cy="11267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268942</xdr:colOff>
      <xdr:row>32</xdr:row>
      <xdr:rowOff>100853</xdr:rowOff>
    </xdr:from>
    <xdr:to>
      <xdr:col>20</xdr:col>
      <xdr:colOff>549089</xdr:colOff>
      <xdr:row>39</xdr:row>
      <xdr:rowOff>156881</xdr:rowOff>
    </xdr:to>
    <xdr:pic>
      <xdr:nvPicPr>
        <xdr:cNvPr id="88" name="図 87">
          <a:extLst>
            <a:ext uri="{FF2B5EF4-FFF2-40B4-BE49-F238E27FC236}">
              <a16:creationId xmlns:a16="http://schemas.microsoft.com/office/drawing/2014/main" id="{EDFF14B3-8A44-4A86-A9CB-EA0E6F1BF1B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471" y="5838265"/>
          <a:ext cx="13021236" cy="1232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280147</xdr:colOff>
      <xdr:row>23</xdr:row>
      <xdr:rowOff>22411</xdr:rowOff>
    </xdr:from>
    <xdr:to>
      <xdr:col>19</xdr:col>
      <xdr:colOff>262217</xdr:colOff>
      <xdr:row>32</xdr:row>
      <xdr:rowOff>11206</xdr:rowOff>
    </xdr:to>
    <xdr:pic>
      <xdr:nvPicPr>
        <xdr:cNvPr id="87" name="図 86">
          <a:extLst>
            <a:ext uri="{FF2B5EF4-FFF2-40B4-BE49-F238E27FC236}">
              <a16:creationId xmlns:a16="http://schemas.microsoft.com/office/drawing/2014/main" id="{716196AA-7B47-49F1-8101-5BA09EA2F406}"/>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26676" y="4751293"/>
          <a:ext cx="12039600" cy="1501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158002</xdr:colOff>
      <xdr:row>53</xdr:row>
      <xdr:rowOff>6725</xdr:rowOff>
    </xdr:from>
    <xdr:to>
      <xdr:col>9</xdr:col>
      <xdr:colOff>158002</xdr:colOff>
      <xdr:row>58</xdr:row>
      <xdr:rowOff>89087</xdr:rowOff>
    </xdr:to>
    <xdr:sp macro="" textlink="">
      <xdr:nvSpPr>
        <xdr:cNvPr id="6" name="四角形: 角を丸くする 5">
          <a:extLst>
            <a:ext uri="{FF2B5EF4-FFF2-40B4-BE49-F238E27FC236}">
              <a16:creationId xmlns:a16="http://schemas.microsoft.com/office/drawing/2014/main" id="{99F68DE5-8780-4C04-A280-2E74E380766F}"/>
            </a:ext>
          </a:extLst>
        </xdr:cNvPr>
        <xdr:cNvSpPr/>
      </xdr:nvSpPr>
      <xdr:spPr>
        <a:xfrm>
          <a:off x="4259355" y="8915401"/>
          <a:ext cx="1367118" cy="922804"/>
        </a:xfrm>
        <a:prstGeom prst="roundRect">
          <a:avLst>
            <a:gd name="adj" fmla="val 4403"/>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267262</xdr:colOff>
      <xdr:row>52</xdr:row>
      <xdr:rowOff>155761</xdr:rowOff>
    </xdr:from>
    <xdr:to>
      <xdr:col>16</xdr:col>
      <xdr:colOff>86287</xdr:colOff>
      <xdr:row>58</xdr:row>
      <xdr:rowOff>89086</xdr:rowOff>
    </xdr:to>
    <xdr:sp macro="" textlink="">
      <xdr:nvSpPr>
        <xdr:cNvPr id="7" name="四角形: 角を丸くする 6">
          <a:extLst>
            <a:ext uri="{FF2B5EF4-FFF2-40B4-BE49-F238E27FC236}">
              <a16:creationId xmlns:a16="http://schemas.microsoft.com/office/drawing/2014/main" id="{58003A3A-368F-4276-A9E2-69A792104259}"/>
            </a:ext>
          </a:extLst>
        </xdr:cNvPr>
        <xdr:cNvSpPr/>
      </xdr:nvSpPr>
      <xdr:spPr>
        <a:xfrm>
          <a:off x="9153527" y="8896349"/>
          <a:ext cx="1186142" cy="941855"/>
        </a:xfrm>
        <a:prstGeom prst="roundRect">
          <a:avLst>
            <a:gd name="adj" fmla="val 874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665072</xdr:colOff>
      <xdr:row>52</xdr:row>
      <xdr:rowOff>156884</xdr:rowOff>
    </xdr:from>
    <xdr:to>
      <xdr:col>3</xdr:col>
      <xdr:colOff>560296</xdr:colOff>
      <xdr:row>58</xdr:row>
      <xdr:rowOff>85726</xdr:rowOff>
    </xdr:to>
    <xdr:sp macro="" textlink="">
      <xdr:nvSpPr>
        <xdr:cNvPr id="8" name="四角形: 角を丸くする 7">
          <a:extLst>
            <a:ext uri="{FF2B5EF4-FFF2-40B4-BE49-F238E27FC236}">
              <a16:creationId xmlns:a16="http://schemas.microsoft.com/office/drawing/2014/main" id="{E2077813-A8CD-4D69-AD4D-3DA6409115C4}"/>
            </a:ext>
          </a:extLst>
        </xdr:cNvPr>
        <xdr:cNvSpPr/>
      </xdr:nvSpPr>
      <xdr:spPr>
        <a:xfrm>
          <a:off x="1348631" y="9569825"/>
          <a:ext cx="578783" cy="93737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146799</xdr:colOff>
      <xdr:row>53</xdr:row>
      <xdr:rowOff>11206</xdr:rowOff>
    </xdr:from>
    <xdr:to>
      <xdr:col>7</xdr:col>
      <xdr:colOff>146799</xdr:colOff>
      <xdr:row>58</xdr:row>
      <xdr:rowOff>87406</xdr:rowOff>
    </xdr:to>
    <xdr:sp macro="" textlink="">
      <xdr:nvSpPr>
        <xdr:cNvPr id="9" name="四角形: 角を丸くする 8">
          <a:extLst>
            <a:ext uri="{FF2B5EF4-FFF2-40B4-BE49-F238E27FC236}">
              <a16:creationId xmlns:a16="http://schemas.microsoft.com/office/drawing/2014/main" id="{88C358C0-AE5D-4C63-8E03-5ACE27BF4DE7}"/>
            </a:ext>
          </a:extLst>
        </xdr:cNvPr>
        <xdr:cNvSpPr/>
      </xdr:nvSpPr>
      <xdr:spPr>
        <a:xfrm>
          <a:off x="3564593" y="8919882"/>
          <a:ext cx="683559" cy="916642"/>
        </a:xfrm>
        <a:prstGeom prst="roundRect">
          <a:avLst>
            <a:gd name="adj" fmla="val 833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266699</xdr:colOff>
      <xdr:row>26</xdr:row>
      <xdr:rowOff>85725</xdr:rowOff>
    </xdr:from>
    <xdr:to>
      <xdr:col>16</xdr:col>
      <xdr:colOff>85724</xdr:colOff>
      <xdr:row>31</xdr:row>
      <xdr:rowOff>152400</xdr:rowOff>
    </xdr:to>
    <xdr:sp macro="" textlink="">
      <xdr:nvSpPr>
        <xdr:cNvPr id="15" name="四角形: 角を丸くする 14">
          <a:extLst>
            <a:ext uri="{FF2B5EF4-FFF2-40B4-BE49-F238E27FC236}">
              <a16:creationId xmlns:a16="http://schemas.microsoft.com/office/drawing/2014/main" id="{5F858BAF-6D1A-4CAD-8F22-ACC3EF50BA0C}"/>
            </a:ext>
          </a:extLst>
        </xdr:cNvPr>
        <xdr:cNvSpPr/>
      </xdr:nvSpPr>
      <xdr:spPr>
        <a:xfrm>
          <a:off x="7562849" y="6734175"/>
          <a:ext cx="2562225" cy="92392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306481</xdr:colOff>
      <xdr:row>26</xdr:row>
      <xdr:rowOff>96930</xdr:rowOff>
    </xdr:from>
    <xdr:to>
      <xdr:col>8</xdr:col>
      <xdr:colOff>573181</xdr:colOff>
      <xdr:row>31</xdr:row>
      <xdr:rowOff>163605</xdr:rowOff>
    </xdr:to>
    <xdr:sp macro="" textlink="">
      <xdr:nvSpPr>
        <xdr:cNvPr id="16" name="四角形: 角を丸くする 15">
          <a:extLst>
            <a:ext uri="{FF2B5EF4-FFF2-40B4-BE49-F238E27FC236}">
              <a16:creationId xmlns:a16="http://schemas.microsoft.com/office/drawing/2014/main" id="{3D29B15C-8CB5-4E38-89DE-50BBAC559DEC}"/>
            </a:ext>
          </a:extLst>
        </xdr:cNvPr>
        <xdr:cNvSpPr/>
      </xdr:nvSpPr>
      <xdr:spPr>
        <a:xfrm>
          <a:off x="2357157" y="5330077"/>
          <a:ext cx="3000936" cy="907116"/>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214593</xdr:colOff>
      <xdr:row>26</xdr:row>
      <xdr:rowOff>95250</xdr:rowOff>
    </xdr:from>
    <xdr:to>
      <xdr:col>3</xdr:col>
      <xdr:colOff>671793</xdr:colOff>
      <xdr:row>31</xdr:row>
      <xdr:rowOff>165287</xdr:rowOff>
    </xdr:to>
    <xdr:sp macro="" textlink="">
      <xdr:nvSpPr>
        <xdr:cNvPr id="17" name="四角形: 角を丸くする 16">
          <a:extLst>
            <a:ext uri="{FF2B5EF4-FFF2-40B4-BE49-F238E27FC236}">
              <a16:creationId xmlns:a16="http://schemas.microsoft.com/office/drawing/2014/main" id="{70BA4464-478F-40D0-8AA8-E426413DBA23}"/>
            </a:ext>
          </a:extLst>
        </xdr:cNvPr>
        <xdr:cNvSpPr/>
      </xdr:nvSpPr>
      <xdr:spPr>
        <a:xfrm>
          <a:off x="1592055" y="5172808"/>
          <a:ext cx="457200" cy="912633"/>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590549</xdr:colOff>
      <xdr:row>23</xdr:row>
      <xdr:rowOff>9525</xdr:rowOff>
    </xdr:from>
    <xdr:to>
      <xdr:col>13</xdr:col>
      <xdr:colOff>9524</xdr:colOff>
      <xdr:row>24</xdr:row>
      <xdr:rowOff>114300</xdr:rowOff>
    </xdr:to>
    <xdr:sp macro="" textlink="">
      <xdr:nvSpPr>
        <xdr:cNvPr id="18" name="四角形: 角を丸くする 17">
          <a:extLst>
            <a:ext uri="{FF2B5EF4-FFF2-40B4-BE49-F238E27FC236}">
              <a16:creationId xmlns:a16="http://schemas.microsoft.com/office/drawing/2014/main" id="{37E5D894-C67B-44DD-A91E-09B74DCCBA39}"/>
            </a:ext>
          </a:extLst>
        </xdr:cNvPr>
        <xdr:cNvSpPr/>
      </xdr:nvSpPr>
      <xdr:spPr>
        <a:xfrm>
          <a:off x="7200899" y="6143625"/>
          <a:ext cx="790575" cy="27622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544446</xdr:colOff>
      <xdr:row>34</xdr:row>
      <xdr:rowOff>134470</xdr:rowOff>
    </xdr:from>
    <xdr:to>
      <xdr:col>7</xdr:col>
      <xdr:colOff>627529</xdr:colOff>
      <xdr:row>39</xdr:row>
      <xdr:rowOff>122898</xdr:rowOff>
    </xdr:to>
    <xdr:sp macro="" textlink="">
      <xdr:nvSpPr>
        <xdr:cNvPr id="20" name="四角形: 角を丸くする 19">
          <a:extLst>
            <a:ext uri="{FF2B5EF4-FFF2-40B4-BE49-F238E27FC236}">
              <a16:creationId xmlns:a16="http://schemas.microsoft.com/office/drawing/2014/main" id="{6E4E4751-CFBE-4721-A444-AA8203C93348}"/>
            </a:ext>
          </a:extLst>
        </xdr:cNvPr>
        <xdr:cNvSpPr/>
      </xdr:nvSpPr>
      <xdr:spPr>
        <a:xfrm>
          <a:off x="3962240" y="6208058"/>
          <a:ext cx="766642" cy="828869"/>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419557</xdr:colOff>
      <xdr:row>34</xdr:row>
      <xdr:rowOff>123265</xdr:rowOff>
    </xdr:from>
    <xdr:to>
      <xdr:col>5</xdr:col>
      <xdr:colOff>526677</xdr:colOff>
      <xdr:row>39</xdr:row>
      <xdr:rowOff>121024</xdr:rowOff>
    </xdr:to>
    <xdr:sp macro="" textlink="">
      <xdr:nvSpPr>
        <xdr:cNvPr id="21" name="四角形: 角を丸くする 20">
          <a:extLst>
            <a:ext uri="{FF2B5EF4-FFF2-40B4-BE49-F238E27FC236}">
              <a16:creationId xmlns:a16="http://schemas.microsoft.com/office/drawing/2014/main" id="{E08961B5-6127-4FAF-93DC-140AA1A05939}"/>
            </a:ext>
          </a:extLst>
        </xdr:cNvPr>
        <xdr:cNvSpPr/>
      </xdr:nvSpPr>
      <xdr:spPr>
        <a:xfrm>
          <a:off x="2470233" y="6196853"/>
          <a:ext cx="790679" cy="838200"/>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601182</xdr:colOff>
      <xdr:row>34</xdr:row>
      <xdr:rowOff>134471</xdr:rowOff>
    </xdr:from>
    <xdr:to>
      <xdr:col>15</xdr:col>
      <xdr:colOff>661146</xdr:colOff>
      <xdr:row>39</xdr:row>
      <xdr:rowOff>145312</xdr:rowOff>
    </xdr:to>
    <xdr:sp macro="" textlink="">
      <xdr:nvSpPr>
        <xdr:cNvPr id="23" name="四角形: 角を丸くする 22">
          <a:extLst>
            <a:ext uri="{FF2B5EF4-FFF2-40B4-BE49-F238E27FC236}">
              <a16:creationId xmlns:a16="http://schemas.microsoft.com/office/drawing/2014/main" id="{78DEFF3F-6434-4454-81CA-C9478184270C}"/>
            </a:ext>
          </a:extLst>
        </xdr:cNvPr>
        <xdr:cNvSpPr/>
      </xdr:nvSpPr>
      <xdr:spPr>
        <a:xfrm>
          <a:off x="9487447" y="6208059"/>
          <a:ext cx="743523" cy="85128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504264</xdr:colOff>
      <xdr:row>34</xdr:row>
      <xdr:rowOff>123265</xdr:rowOff>
    </xdr:from>
    <xdr:to>
      <xdr:col>13</xdr:col>
      <xdr:colOff>560294</xdr:colOff>
      <xdr:row>39</xdr:row>
      <xdr:rowOff>121607</xdr:rowOff>
    </xdr:to>
    <xdr:sp macro="" textlink="">
      <xdr:nvSpPr>
        <xdr:cNvPr id="24" name="四角形: 角を丸くする 23">
          <a:extLst>
            <a:ext uri="{FF2B5EF4-FFF2-40B4-BE49-F238E27FC236}">
              <a16:creationId xmlns:a16="http://schemas.microsoft.com/office/drawing/2014/main" id="{44F61DD5-A109-43C8-A2C6-76CDE3F6E4B5}"/>
            </a:ext>
          </a:extLst>
        </xdr:cNvPr>
        <xdr:cNvSpPr/>
      </xdr:nvSpPr>
      <xdr:spPr>
        <a:xfrm>
          <a:off x="8023411" y="6196853"/>
          <a:ext cx="739589" cy="838783"/>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301635</xdr:colOff>
      <xdr:row>84</xdr:row>
      <xdr:rowOff>65986</xdr:rowOff>
    </xdr:from>
    <xdr:to>
      <xdr:col>20</xdr:col>
      <xdr:colOff>545195</xdr:colOff>
      <xdr:row>95</xdr:row>
      <xdr:rowOff>153866</xdr:rowOff>
    </xdr:to>
    <xdr:pic>
      <xdr:nvPicPr>
        <xdr:cNvPr id="36" name="図 35">
          <a:extLst>
            <a:ext uri="{FF2B5EF4-FFF2-40B4-BE49-F238E27FC236}">
              <a16:creationId xmlns:a16="http://schemas.microsoft.com/office/drawing/2014/main" id="{2CBBCBA1-DA8B-4964-829F-E25B5AA1EBDF}"/>
            </a:ext>
          </a:extLst>
        </xdr:cNvPr>
        <xdr:cNvPicPr>
          <a:picLocks noChangeAspect="1"/>
        </xdr:cNvPicPr>
      </xdr:nvPicPr>
      <xdr:blipFill>
        <a:blip xmlns:r="http://schemas.openxmlformats.org/officeDocument/2006/relationships" r:embed="rId9"/>
        <a:stretch>
          <a:fillRect/>
        </a:stretch>
      </xdr:blipFill>
      <xdr:spPr>
        <a:xfrm>
          <a:off x="12010058" y="14939640"/>
          <a:ext cx="1621022" cy="1941592"/>
        </a:xfrm>
        <a:prstGeom prst="rect">
          <a:avLst/>
        </a:prstGeom>
      </xdr:spPr>
    </xdr:pic>
    <xdr:clientData/>
  </xdr:twoCellAnchor>
  <xdr:twoCellAnchor>
    <xdr:from>
      <xdr:col>14</xdr:col>
      <xdr:colOff>205156</xdr:colOff>
      <xdr:row>72</xdr:row>
      <xdr:rowOff>117232</xdr:rowOff>
    </xdr:from>
    <xdr:to>
      <xdr:col>15</xdr:col>
      <xdr:colOff>615464</xdr:colOff>
      <xdr:row>81</xdr:row>
      <xdr:rowOff>80597</xdr:rowOff>
    </xdr:to>
    <xdr:sp macro="" textlink="">
      <xdr:nvSpPr>
        <xdr:cNvPr id="30" name="四角形: 角を丸くする 29">
          <a:extLst>
            <a:ext uri="{FF2B5EF4-FFF2-40B4-BE49-F238E27FC236}">
              <a16:creationId xmlns:a16="http://schemas.microsoft.com/office/drawing/2014/main" id="{CAB83E9F-1B49-4AE9-AC90-33AF99A54A62}"/>
            </a:ext>
          </a:extLst>
        </xdr:cNvPr>
        <xdr:cNvSpPr/>
      </xdr:nvSpPr>
      <xdr:spPr>
        <a:xfrm>
          <a:off x="9158656" y="13305694"/>
          <a:ext cx="1099039" cy="1480038"/>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197829</xdr:colOff>
      <xdr:row>72</xdr:row>
      <xdr:rowOff>117231</xdr:rowOff>
    </xdr:from>
    <xdr:to>
      <xdr:col>20</xdr:col>
      <xdr:colOff>637444</xdr:colOff>
      <xdr:row>81</xdr:row>
      <xdr:rowOff>73269</xdr:rowOff>
    </xdr:to>
    <xdr:sp macro="" textlink="">
      <xdr:nvSpPr>
        <xdr:cNvPr id="31" name="四角形: 角を丸くする 30">
          <a:extLst>
            <a:ext uri="{FF2B5EF4-FFF2-40B4-BE49-F238E27FC236}">
              <a16:creationId xmlns:a16="http://schemas.microsoft.com/office/drawing/2014/main" id="{37808E59-2185-4C57-9805-52EBD8989763}"/>
            </a:ext>
          </a:extLst>
        </xdr:cNvPr>
        <xdr:cNvSpPr/>
      </xdr:nvSpPr>
      <xdr:spPr>
        <a:xfrm>
          <a:off x="12594983" y="13305693"/>
          <a:ext cx="1128346" cy="1472711"/>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525029</xdr:colOff>
      <xdr:row>102</xdr:row>
      <xdr:rowOff>48459</xdr:rowOff>
    </xdr:from>
    <xdr:to>
      <xdr:col>6</xdr:col>
      <xdr:colOff>560294</xdr:colOff>
      <xdr:row>109</xdr:row>
      <xdr:rowOff>9833</xdr:rowOff>
    </xdr:to>
    <xdr:sp macro="" textlink="">
      <xdr:nvSpPr>
        <xdr:cNvPr id="33" name="四角形: 角を丸くする 32">
          <a:extLst>
            <a:ext uri="{FF2B5EF4-FFF2-40B4-BE49-F238E27FC236}">
              <a16:creationId xmlns:a16="http://schemas.microsoft.com/office/drawing/2014/main" id="{3F691815-8010-43D4-88CF-F73D6D573B5C}"/>
            </a:ext>
          </a:extLst>
        </xdr:cNvPr>
        <xdr:cNvSpPr/>
      </xdr:nvSpPr>
      <xdr:spPr>
        <a:xfrm>
          <a:off x="1892147" y="16442665"/>
          <a:ext cx="2085941" cy="113799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448234</xdr:colOff>
      <xdr:row>102</xdr:row>
      <xdr:rowOff>26048</xdr:rowOff>
    </xdr:from>
    <xdr:to>
      <xdr:col>10</xdr:col>
      <xdr:colOff>302559</xdr:colOff>
      <xdr:row>109</xdr:row>
      <xdr:rowOff>9721</xdr:rowOff>
    </xdr:to>
    <xdr:sp macro="" textlink="">
      <xdr:nvSpPr>
        <xdr:cNvPr id="34" name="四角形: 角を丸くする 33">
          <a:extLst>
            <a:ext uri="{FF2B5EF4-FFF2-40B4-BE49-F238E27FC236}">
              <a16:creationId xmlns:a16="http://schemas.microsoft.com/office/drawing/2014/main" id="{0CA77371-34E0-4544-ACE7-A85DE698AF56}"/>
            </a:ext>
          </a:extLst>
        </xdr:cNvPr>
        <xdr:cNvSpPr/>
      </xdr:nvSpPr>
      <xdr:spPr>
        <a:xfrm>
          <a:off x="4549587" y="16420254"/>
          <a:ext cx="1905001" cy="1160291"/>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54702</xdr:colOff>
      <xdr:row>109</xdr:row>
      <xdr:rowOff>11207</xdr:rowOff>
    </xdr:from>
    <xdr:to>
      <xdr:col>12</xdr:col>
      <xdr:colOff>475449</xdr:colOff>
      <xdr:row>112</xdr:row>
      <xdr:rowOff>88962</xdr:rowOff>
    </xdr:to>
    <xdr:sp macro="" textlink="">
      <xdr:nvSpPr>
        <xdr:cNvPr id="37" name="四角形: 角を丸くする 36">
          <a:extLst>
            <a:ext uri="{FF2B5EF4-FFF2-40B4-BE49-F238E27FC236}">
              <a16:creationId xmlns:a16="http://schemas.microsoft.com/office/drawing/2014/main" id="{5ACFEC52-3A9C-4390-9F30-02E4F483224F}"/>
            </a:ext>
          </a:extLst>
        </xdr:cNvPr>
        <xdr:cNvSpPr/>
      </xdr:nvSpPr>
      <xdr:spPr>
        <a:xfrm>
          <a:off x="7573849" y="17582031"/>
          <a:ext cx="420747" cy="582019"/>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606306</xdr:colOff>
      <xdr:row>102</xdr:row>
      <xdr:rowOff>40888</xdr:rowOff>
    </xdr:from>
    <xdr:to>
      <xdr:col>16</xdr:col>
      <xdr:colOff>549089</xdr:colOff>
      <xdr:row>108</xdr:row>
      <xdr:rowOff>163491</xdr:rowOff>
    </xdr:to>
    <xdr:sp macro="" textlink="">
      <xdr:nvSpPr>
        <xdr:cNvPr id="38" name="四角形: 角を丸くする 37">
          <a:extLst>
            <a:ext uri="{FF2B5EF4-FFF2-40B4-BE49-F238E27FC236}">
              <a16:creationId xmlns:a16="http://schemas.microsoft.com/office/drawing/2014/main" id="{FAF99D7B-78C8-45AF-A927-7B91668FEAB1}"/>
            </a:ext>
          </a:extLst>
        </xdr:cNvPr>
        <xdr:cNvSpPr/>
      </xdr:nvSpPr>
      <xdr:spPr>
        <a:xfrm>
          <a:off x="8809012" y="16435094"/>
          <a:ext cx="1993459" cy="113113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370595</xdr:colOff>
      <xdr:row>179</xdr:row>
      <xdr:rowOff>165229</xdr:rowOff>
    </xdr:from>
    <xdr:to>
      <xdr:col>20</xdr:col>
      <xdr:colOff>620672</xdr:colOff>
      <xdr:row>192</xdr:row>
      <xdr:rowOff>0</xdr:rowOff>
    </xdr:to>
    <xdr:pic>
      <xdr:nvPicPr>
        <xdr:cNvPr id="46" name="図 45">
          <a:extLst>
            <a:ext uri="{FF2B5EF4-FFF2-40B4-BE49-F238E27FC236}">
              <a16:creationId xmlns:a16="http://schemas.microsoft.com/office/drawing/2014/main" id="{66DBFCB5-FE10-41B0-AE42-B0F5EBD899BA}"/>
            </a:ext>
          </a:extLst>
        </xdr:cNvPr>
        <xdr:cNvPicPr>
          <a:picLocks noChangeAspect="1"/>
        </xdr:cNvPicPr>
      </xdr:nvPicPr>
      <xdr:blipFill>
        <a:blip xmlns:r="http://schemas.openxmlformats.org/officeDocument/2006/relationships" r:embed="rId9"/>
        <a:stretch>
          <a:fillRect/>
        </a:stretch>
      </xdr:blipFill>
      <xdr:spPr>
        <a:xfrm>
          <a:off x="12079018" y="31319306"/>
          <a:ext cx="1627539" cy="2025521"/>
        </a:xfrm>
        <a:prstGeom prst="rect">
          <a:avLst/>
        </a:prstGeom>
      </xdr:spPr>
    </xdr:pic>
    <xdr:clientData/>
  </xdr:twoCellAnchor>
  <xdr:twoCellAnchor>
    <xdr:from>
      <xdr:col>2</xdr:col>
      <xdr:colOff>657876</xdr:colOff>
      <xdr:row>170</xdr:row>
      <xdr:rowOff>123265</xdr:rowOff>
    </xdr:from>
    <xdr:to>
      <xdr:col>3</xdr:col>
      <xdr:colOff>437029</xdr:colOff>
      <xdr:row>176</xdr:row>
      <xdr:rowOff>126351</xdr:rowOff>
    </xdr:to>
    <xdr:sp macro="" textlink="">
      <xdr:nvSpPr>
        <xdr:cNvPr id="49" name="四角形: 角を丸くする 48">
          <a:extLst>
            <a:ext uri="{FF2B5EF4-FFF2-40B4-BE49-F238E27FC236}">
              <a16:creationId xmlns:a16="http://schemas.microsoft.com/office/drawing/2014/main" id="{E382FB05-8098-41A1-8D26-58F269BF011C}"/>
            </a:ext>
          </a:extLst>
        </xdr:cNvPr>
        <xdr:cNvSpPr/>
      </xdr:nvSpPr>
      <xdr:spPr>
        <a:xfrm>
          <a:off x="1341435" y="24619324"/>
          <a:ext cx="462712" cy="101161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651106</xdr:colOff>
      <xdr:row>170</xdr:row>
      <xdr:rowOff>156882</xdr:rowOff>
    </xdr:from>
    <xdr:to>
      <xdr:col>13</xdr:col>
      <xdr:colOff>414616</xdr:colOff>
      <xdr:row>176</xdr:row>
      <xdr:rowOff>123242</xdr:rowOff>
    </xdr:to>
    <xdr:sp macro="" textlink="">
      <xdr:nvSpPr>
        <xdr:cNvPr id="50" name="四角形: 角を丸くする 49">
          <a:extLst>
            <a:ext uri="{FF2B5EF4-FFF2-40B4-BE49-F238E27FC236}">
              <a16:creationId xmlns:a16="http://schemas.microsoft.com/office/drawing/2014/main" id="{57D67B50-AE6C-4BF9-93DC-3F3DDA0DEA00}"/>
            </a:ext>
          </a:extLst>
        </xdr:cNvPr>
        <xdr:cNvSpPr/>
      </xdr:nvSpPr>
      <xdr:spPr>
        <a:xfrm>
          <a:off x="8170253" y="24316764"/>
          <a:ext cx="447069" cy="974890"/>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156308</xdr:colOff>
      <xdr:row>170</xdr:row>
      <xdr:rowOff>156882</xdr:rowOff>
    </xdr:from>
    <xdr:to>
      <xdr:col>15</xdr:col>
      <xdr:colOff>403409</xdr:colOff>
      <xdr:row>176</xdr:row>
      <xdr:rowOff>129851</xdr:rowOff>
    </xdr:to>
    <xdr:sp macro="" textlink="">
      <xdr:nvSpPr>
        <xdr:cNvPr id="51" name="四角形: 角を丸くする 50">
          <a:extLst>
            <a:ext uri="{FF2B5EF4-FFF2-40B4-BE49-F238E27FC236}">
              <a16:creationId xmlns:a16="http://schemas.microsoft.com/office/drawing/2014/main" id="{9B02CC46-5150-4173-9F25-B176F51653BB}"/>
            </a:ext>
          </a:extLst>
        </xdr:cNvPr>
        <xdr:cNvSpPr/>
      </xdr:nvSpPr>
      <xdr:spPr>
        <a:xfrm>
          <a:off x="9042573" y="24316764"/>
          <a:ext cx="930660" cy="981499"/>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465937</xdr:colOff>
      <xdr:row>170</xdr:row>
      <xdr:rowOff>121207</xdr:rowOff>
    </xdr:from>
    <xdr:to>
      <xdr:col>4</xdr:col>
      <xdr:colOff>403412</xdr:colOff>
      <xdr:row>176</xdr:row>
      <xdr:rowOff>123265</xdr:rowOff>
    </xdr:to>
    <xdr:sp macro="" textlink="">
      <xdr:nvSpPr>
        <xdr:cNvPr id="52" name="四角形: 角を丸くする 51">
          <a:extLst>
            <a:ext uri="{FF2B5EF4-FFF2-40B4-BE49-F238E27FC236}">
              <a16:creationId xmlns:a16="http://schemas.microsoft.com/office/drawing/2014/main" id="{FFE84C08-322C-4F7A-9878-63D123B2C1D8}"/>
            </a:ext>
          </a:extLst>
        </xdr:cNvPr>
        <xdr:cNvSpPr/>
      </xdr:nvSpPr>
      <xdr:spPr>
        <a:xfrm>
          <a:off x="1833055" y="24617266"/>
          <a:ext cx="621033" cy="1010587"/>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425821</xdr:colOff>
      <xdr:row>171</xdr:row>
      <xdr:rowOff>-1</xdr:rowOff>
    </xdr:from>
    <xdr:to>
      <xdr:col>9</xdr:col>
      <xdr:colOff>44822</xdr:colOff>
      <xdr:row>176</xdr:row>
      <xdr:rowOff>129325</xdr:rowOff>
    </xdr:to>
    <xdr:sp macro="" textlink="">
      <xdr:nvSpPr>
        <xdr:cNvPr id="53" name="四角形: 角を丸くする 52">
          <a:extLst>
            <a:ext uri="{FF2B5EF4-FFF2-40B4-BE49-F238E27FC236}">
              <a16:creationId xmlns:a16="http://schemas.microsoft.com/office/drawing/2014/main" id="{740D9BA4-171B-46B4-BC13-5E850AD2A2DB}"/>
            </a:ext>
          </a:extLst>
        </xdr:cNvPr>
        <xdr:cNvSpPr/>
      </xdr:nvSpPr>
      <xdr:spPr>
        <a:xfrm flipH="1">
          <a:off x="5210733" y="24327970"/>
          <a:ext cx="302560" cy="969767"/>
        </a:xfrm>
        <a:prstGeom prst="roundRect">
          <a:avLst>
            <a:gd name="adj" fmla="val 1389"/>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435543</xdr:colOff>
      <xdr:row>170</xdr:row>
      <xdr:rowOff>145676</xdr:rowOff>
    </xdr:from>
    <xdr:to>
      <xdr:col>6</xdr:col>
      <xdr:colOff>582707</xdr:colOff>
      <xdr:row>176</xdr:row>
      <xdr:rowOff>122854</xdr:rowOff>
    </xdr:to>
    <xdr:sp macro="" textlink="">
      <xdr:nvSpPr>
        <xdr:cNvPr id="54" name="四角形: 角を丸くする 53">
          <a:extLst>
            <a:ext uri="{FF2B5EF4-FFF2-40B4-BE49-F238E27FC236}">
              <a16:creationId xmlns:a16="http://schemas.microsoft.com/office/drawing/2014/main" id="{FA30B095-AFAB-4751-B43C-BEE205337521}"/>
            </a:ext>
          </a:extLst>
        </xdr:cNvPr>
        <xdr:cNvSpPr/>
      </xdr:nvSpPr>
      <xdr:spPr>
        <a:xfrm>
          <a:off x="2486219" y="24305558"/>
          <a:ext cx="1514282" cy="985708"/>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617902</xdr:colOff>
      <xdr:row>132</xdr:row>
      <xdr:rowOff>44824</xdr:rowOff>
    </xdr:from>
    <xdr:to>
      <xdr:col>3</xdr:col>
      <xdr:colOff>537882</xdr:colOff>
      <xdr:row>133</xdr:row>
      <xdr:rowOff>109590</xdr:rowOff>
    </xdr:to>
    <xdr:sp macro="" textlink="">
      <xdr:nvSpPr>
        <xdr:cNvPr id="56" name="四角形: 角を丸くする 55">
          <a:extLst>
            <a:ext uri="{FF2B5EF4-FFF2-40B4-BE49-F238E27FC236}">
              <a16:creationId xmlns:a16="http://schemas.microsoft.com/office/drawing/2014/main" id="{8AA5B8AE-8D05-48C1-A94A-91B240AFDB86}"/>
            </a:ext>
          </a:extLst>
        </xdr:cNvPr>
        <xdr:cNvSpPr/>
      </xdr:nvSpPr>
      <xdr:spPr>
        <a:xfrm>
          <a:off x="1301461" y="21638559"/>
          <a:ext cx="603539" cy="23285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622706</xdr:colOff>
      <xdr:row>129</xdr:row>
      <xdr:rowOff>11205</xdr:rowOff>
    </xdr:from>
    <xdr:to>
      <xdr:col>6</xdr:col>
      <xdr:colOff>459441</xdr:colOff>
      <xdr:row>133</xdr:row>
      <xdr:rowOff>119880</xdr:rowOff>
    </xdr:to>
    <xdr:sp macro="" textlink="">
      <xdr:nvSpPr>
        <xdr:cNvPr id="57" name="四角形: 角を丸くする 56">
          <a:extLst>
            <a:ext uri="{FF2B5EF4-FFF2-40B4-BE49-F238E27FC236}">
              <a16:creationId xmlns:a16="http://schemas.microsoft.com/office/drawing/2014/main" id="{8BF297EA-BB5B-458B-BC66-9C874405625D}"/>
            </a:ext>
          </a:extLst>
        </xdr:cNvPr>
        <xdr:cNvSpPr/>
      </xdr:nvSpPr>
      <xdr:spPr>
        <a:xfrm>
          <a:off x="2673382" y="22322117"/>
          <a:ext cx="1203853" cy="781028"/>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381000</xdr:colOff>
      <xdr:row>129</xdr:row>
      <xdr:rowOff>33617</xdr:rowOff>
    </xdr:from>
    <xdr:to>
      <xdr:col>15</xdr:col>
      <xdr:colOff>549088</xdr:colOff>
      <xdr:row>133</xdr:row>
      <xdr:rowOff>118255</xdr:rowOff>
    </xdr:to>
    <xdr:sp macro="" textlink="">
      <xdr:nvSpPr>
        <xdr:cNvPr id="58" name="四角形: 角を丸くする 57">
          <a:extLst>
            <a:ext uri="{FF2B5EF4-FFF2-40B4-BE49-F238E27FC236}">
              <a16:creationId xmlns:a16="http://schemas.microsoft.com/office/drawing/2014/main" id="{53E2ECF7-0A0E-452C-80E7-0C1C4F16756F}"/>
            </a:ext>
          </a:extLst>
        </xdr:cNvPr>
        <xdr:cNvSpPr/>
      </xdr:nvSpPr>
      <xdr:spPr>
        <a:xfrm>
          <a:off x="8583706" y="22344529"/>
          <a:ext cx="1535206" cy="756991"/>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537882</xdr:colOff>
      <xdr:row>129</xdr:row>
      <xdr:rowOff>33617</xdr:rowOff>
    </xdr:from>
    <xdr:to>
      <xdr:col>9</xdr:col>
      <xdr:colOff>336177</xdr:colOff>
      <xdr:row>133</xdr:row>
      <xdr:rowOff>120406</xdr:rowOff>
    </xdr:to>
    <xdr:sp macro="" textlink="">
      <xdr:nvSpPr>
        <xdr:cNvPr id="59" name="四角形: 角を丸くする 58">
          <a:extLst>
            <a:ext uri="{FF2B5EF4-FFF2-40B4-BE49-F238E27FC236}">
              <a16:creationId xmlns:a16="http://schemas.microsoft.com/office/drawing/2014/main" id="{FCE21EF4-A76F-4770-A0C6-54F0EBCA859B}"/>
            </a:ext>
          </a:extLst>
        </xdr:cNvPr>
        <xdr:cNvSpPr/>
      </xdr:nvSpPr>
      <xdr:spPr>
        <a:xfrm>
          <a:off x="5322794" y="22344529"/>
          <a:ext cx="481854" cy="75914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351425</xdr:colOff>
      <xdr:row>129</xdr:row>
      <xdr:rowOff>44823</xdr:rowOff>
    </xdr:from>
    <xdr:to>
      <xdr:col>10</xdr:col>
      <xdr:colOff>134472</xdr:colOff>
      <xdr:row>133</xdr:row>
      <xdr:rowOff>127016</xdr:rowOff>
    </xdr:to>
    <xdr:sp macro="" textlink="">
      <xdr:nvSpPr>
        <xdr:cNvPr id="60" name="四角形: 角を丸くする 59">
          <a:extLst>
            <a:ext uri="{FF2B5EF4-FFF2-40B4-BE49-F238E27FC236}">
              <a16:creationId xmlns:a16="http://schemas.microsoft.com/office/drawing/2014/main" id="{05A7FD49-B78D-4D68-BB25-FEDC8335000E}"/>
            </a:ext>
          </a:extLst>
        </xdr:cNvPr>
        <xdr:cNvSpPr/>
      </xdr:nvSpPr>
      <xdr:spPr>
        <a:xfrm>
          <a:off x="5819896" y="22355735"/>
          <a:ext cx="466605" cy="754546"/>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515470</xdr:colOff>
      <xdr:row>129</xdr:row>
      <xdr:rowOff>33616</xdr:rowOff>
    </xdr:from>
    <xdr:to>
      <xdr:col>17</xdr:col>
      <xdr:colOff>369794</xdr:colOff>
      <xdr:row>133</xdr:row>
      <xdr:rowOff>123904</xdr:rowOff>
    </xdr:to>
    <xdr:sp macro="" textlink="">
      <xdr:nvSpPr>
        <xdr:cNvPr id="61" name="四角形: 角を丸くする 60">
          <a:extLst>
            <a:ext uri="{FF2B5EF4-FFF2-40B4-BE49-F238E27FC236}">
              <a16:creationId xmlns:a16="http://schemas.microsoft.com/office/drawing/2014/main" id="{44330119-61FF-48F6-9F8C-0F3CB2F17B24}"/>
            </a:ext>
          </a:extLst>
        </xdr:cNvPr>
        <xdr:cNvSpPr/>
      </xdr:nvSpPr>
      <xdr:spPr>
        <a:xfrm>
          <a:off x="10768852" y="22344528"/>
          <a:ext cx="537883" cy="762641"/>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423082</xdr:colOff>
      <xdr:row>149</xdr:row>
      <xdr:rowOff>100853</xdr:rowOff>
    </xdr:from>
    <xdr:to>
      <xdr:col>8</xdr:col>
      <xdr:colOff>322425</xdr:colOff>
      <xdr:row>155</xdr:row>
      <xdr:rowOff>48986</xdr:rowOff>
    </xdr:to>
    <xdr:sp macro="" textlink="">
      <xdr:nvSpPr>
        <xdr:cNvPr id="63" name="四角形: 角を丸くする 62">
          <a:extLst>
            <a:ext uri="{FF2B5EF4-FFF2-40B4-BE49-F238E27FC236}">
              <a16:creationId xmlns:a16="http://schemas.microsoft.com/office/drawing/2014/main" id="{4C24A8BE-BDFC-4F3B-A387-4E20C18E6A25}"/>
            </a:ext>
          </a:extLst>
        </xdr:cNvPr>
        <xdr:cNvSpPr/>
      </xdr:nvSpPr>
      <xdr:spPr>
        <a:xfrm>
          <a:off x="2473758" y="30670500"/>
          <a:ext cx="2633579" cy="95666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473803</xdr:colOff>
      <xdr:row>149</xdr:row>
      <xdr:rowOff>100749</xdr:rowOff>
    </xdr:from>
    <xdr:to>
      <xdr:col>4</xdr:col>
      <xdr:colOff>392047</xdr:colOff>
      <xdr:row>155</xdr:row>
      <xdr:rowOff>45874</xdr:rowOff>
    </xdr:to>
    <xdr:sp macro="" textlink="">
      <xdr:nvSpPr>
        <xdr:cNvPr id="64" name="四角形: 角を丸くする 63">
          <a:extLst>
            <a:ext uri="{FF2B5EF4-FFF2-40B4-BE49-F238E27FC236}">
              <a16:creationId xmlns:a16="http://schemas.microsoft.com/office/drawing/2014/main" id="{E3B797C8-7B39-4014-98B6-E6B2CCE9B68B}"/>
            </a:ext>
          </a:extLst>
        </xdr:cNvPr>
        <xdr:cNvSpPr/>
      </xdr:nvSpPr>
      <xdr:spPr>
        <a:xfrm>
          <a:off x="1840921" y="30670396"/>
          <a:ext cx="601802" cy="953654"/>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369794</xdr:colOff>
      <xdr:row>149</xdr:row>
      <xdr:rowOff>100839</xdr:rowOff>
    </xdr:from>
    <xdr:to>
      <xdr:col>9</xdr:col>
      <xdr:colOff>324970</xdr:colOff>
      <xdr:row>155</xdr:row>
      <xdr:rowOff>48597</xdr:rowOff>
    </xdr:to>
    <xdr:sp macro="" textlink="">
      <xdr:nvSpPr>
        <xdr:cNvPr id="65" name="四角形: 角を丸くする 64">
          <a:extLst>
            <a:ext uri="{FF2B5EF4-FFF2-40B4-BE49-F238E27FC236}">
              <a16:creationId xmlns:a16="http://schemas.microsoft.com/office/drawing/2014/main" id="{CE966639-FC8C-487C-9658-E6F6E7F214D5}"/>
            </a:ext>
          </a:extLst>
        </xdr:cNvPr>
        <xdr:cNvSpPr/>
      </xdr:nvSpPr>
      <xdr:spPr>
        <a:xfrm>
          <a:off x="5154706" y="30670486"/>
          <a:ext cx="638735" cy="956287"/>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392206</xdr:colOff>
      <xdr:row>160</xdr:row>
      <xdr:rowOff>73981</xdr:rowOff>
    </xdr:from>
    <xdr:to>
      <xdr:col>20</xdr:col>
      <xdr:colOff>409702</xdr:colOff>
      <xdr:row>164</xdr:row>
      <xdr:rowOff>112427</xdr:rowOff>
    </xdr:to>
    <xdr:pic>
      <xdr:nvPicPr>
        <xdr:cNvPr id="68" name="図 67">
          <a:extLst>
            <a:ext uri="{FF2B5EF4-FFF2-40B4-BE49-F238E27FC236}">
              <a16:creationId xmlns:a16="http://schemas.microsoft.com/office/drawing/2014/main" id="{6AB8AE31-D2EB-4430-8068-72D5775CA2F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227794" y="32671893"/>
          <a:ext cx="6169526" cy="710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392207</xdr:colOff>
      <xdr:row>160</xdr:row>
      <xdr:rowOff>73980</xdr:rowOff>
    </xdr:from>
    <xdr:to>
      <xdr:col>20</xdr:col>
      <xdr:colOff>397009</xdr:colOff>
      <xdr:row>164</xdr:row>
      <xdr:rowOff>100028</xdr:rowOff>
    </xdr:to>
    <xdr:sp macro="" textlink="">
      <xdr:nvSpPr>
        <xdr:cNvPr id="70" name="四角形: 角を丸くする 69">
          <a:extLst>
            <a:ext uri="{FF2B5EF4-FFF2-40B4-BE49-F238E27FC236}">
              <a16:creationId xmlns:a16="http://schemas.microsoft.com/office/drawing/2014/main" id="{282F5905-F455-4435-9ADB-0C00E110BEEB}"/>
            </a:ext>
          </a:extLst>
        </xdr:cNvPr>
        <xdr:cNvSpPr/>
      </xdr:nvSpPr>
      <xdr:spPr>
        <a:xfrm>
          <a:off x="7227795" y="32671892"/>
          <a:ext cx="6156832" cy="698401"/>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403640</xdr:colOff>
      <xdr:row>153</xdr:row>
      <xdr:rowOff>112058</xdr:rowOff>
    </xdr:from>
    <xdr:to>
      <xdr:col>16</xdr:col>
      <xdr:colOff>306445</xdr:colOff>
      <xdr:row>155</xdr:row>
      <xdr:rowOff>48596</xdr:rowOff>
    </xdr:to>
    <xdr:sp macro="" textlink="">
      <xdr:nvSpPr>
        <xdr:cNvPr id="71" name="四角形: 角を丸くする 70">
          <a:extLst>
            <a:ext uri="{FF2B5EF4-FFF2-40B4-BE49-F238E27FC236}">
              <a16:creationId xmlns:a16="http://schemas.microsoft.com/office/drawing/2014/main" id="{D6D631DB-F6FC-4DAA-B9B7-3A1B0DB91B5B}"/>
            </a:ext>
          </a:extLst>
        </xdr:cNvPr>
        <xdr:cNvSpPr/>
      </xdr:nvSpPr>
      <xdr:spPr>
        <a:xfrm>
          <a:off x="9973464" y="31354058"/>
          <a:ext cx="586363" cy="272714"/>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11206</xdr:colOff>
      <xdr:row>155</xdr:row>
      <xdr:rowOff>48596</xdr:rowOff>
    </xdr:from>
    <xdr:to>
      <xdr:col>16</xdr:col>
      <xdr:colOff>13264</xdr:colOff>
      <xdr:row>161</xdr:row>
      <xdr:rowOff>22412</xdr:rowOff>
    </xdr:to>
    <xdr:cxnSp macro="">
      <xdr:nvCxnSpPr>
        <xdr:cNvPr id="72" name="直線矢印コネクタ 71">
          <a:extLst>
            <a:ext uri="{FF2B5EF4-FFF2-40B4-BE49-F238E27FC236}">
              <a16:creationId xmlns:a16="http://schemas.microsoft.com/office/drawing/2014/main" id="{BD9BD104-1CF5-4CE1-9B82-B45CB319935D}"/>
            </a:ext>
          </a:extLst>
        </xdr:cNvPr>
        <xdr:cNvCxnSpPr>
          <a:stCxn id="71" idx="2"/>
        </xdr:cNvCxnSpPr>
      </xdr:nvCxnSpPr>
      <xdr:spPr>
        <a:xfrm flipH="1">
          <a:off x="9581030" y="31626772"/>
          <a:ext cx="685616" cy="98234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242984</xdr:colOff>
      <xdr:row>149</xdr:row>
      <xdr:rowOff>123265</xdr:rowOff>
    </xdr:from>
    <xdr:to>
      <xdr:col>13</xdr:col>
      <xdr:colOff>388775</xdr:colOff>
      <xdr:row>155</xdr:row>
      <xdr:rowOff>48597</xdr:rowOff>
    </xdr:to>
    <xdr:sp macro="" textlink="">
      <xdr:nvSpPr>
        <xdr:cNvPr id="73" name="四角形: 角を丸くする 72">
          <a:extLst>
            <a:ext uri="{FF2B5EF4-FFF2-40B4-BE49-F238E27FC236}">
              <a16:creationId xmlns:a16="http://schemas.microsoft.com/office/drawing/2014/main" id="{450914C1-5834-46E0-9CE6-D81476BD98BF}"/>
            </a:ext>
          </a:extLst>
        </xdr:cNvPr>
        <xdr:cNvSpPr/>
      </xdr:nvSpPr>
      <xdr:spPr>
        <a:xfrm>
          <a:off x="7078572" y="30692912"/>
          <a:ext cx="1512909" cy="933861"/>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470647</xdr:colOff>
      <xdr:row>155</xdr:row>
      <xdr:rowOff>26185</xdr:rowOff>
    </xdr:from>
    <xdr:to>
      <xdr:col>10</xdr:col>
      <xdr:colOff>578648</xdr:colOff>
      <xdr:row>156</xdr:row>
      <xdr:rowOff>11206</xdr:rowOff>
    </xdr:to>
    <xdr:cxnSp macro="">
      <xdr:nvCxnSpPr>
        <xdr:cNvPr id="12" name="直線矢印コネクタ 11">
          <a:extLst>
            <a:ext uri="{FF2B5EF4-FFF2-40B4-BE49-F238E27FC236}">
              <a16:creationId xmlns:a16="http://schemas.microsoft.com/office/drawing/2014/main" id="{70F24A76-D928-4AD5-AB55-6E0CB2ACA3B3}"/>
            </a:ext>
          </a:extLst>
        </xdr:cNvPr>
        <xdr:cNvCxnSpPr/>
      </xdr:nvCxnSpPr>
      <xdr:spPr>
        <a:xfrm flipV="1">
          <a:off x="6622676" y="29598509"/>
          <a:ext cx="108001" cy="15310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191279</xdr:colOff>
      <xdr:row>153</xdr:row>
      <xdr:rowOff>116633</xdr:rowOff>
    </xdr:from>
    <xdr:to>
      <xdr:col>11</xdr:col>
      <xdr:colOff>252703</xdr:colOff>
      <xdr:row>155</xdr:row>
      <xdr:rowOff>45487</xdr:rowOff>
    </xdr:to>
    <xdr:sp macro="" textlink="">
      <xdr:nvSpPr>
        <xdr:cNvPr id="62" name="四角形: 角を丸くする 61">
          <a:extLst>
            <a:ext uri="{FF2B5EF4-FFF2-40B4-BE49-F238E27FC236}">
              <a16:creationId xmlns:a16="http://schemas.microsoft.com/office/drawing/2014/main" id="{A29B6B4E-24C6-4BCE-ADCB-715D7A15934D}"/>
            </a:ext>
          </a:extLst>
        </xdr:cNvPr>
        <xdr:cNvSpPr/>
      </xdr:nvSpPr>
      <xdr:spPr>
        <a:xfrm>
          <a:off x="6392248" y="31276990"/>
          <a:ext cx="751501" cy="27875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362592</xdr:colOff>
      <xdr:row>111</xdr:row>
      <xdr:rowOff>150251</xdr:rowOff>
    </xdr:from>
    <xdr:to>
      <xdr:col>12</xdr:col>
      <xdr:colOff>661147</xdr:colOff>
      <xdr:row>115</xdr:row>
      <xdr:rowOff>145676</xdr:rowOff>
    </xdr:to>
    <xdr:cxnSp macro="">
      <xdr:nvCxnSpPr>
        <xdr:cNvPr id="35" name="直線矢印コネクタ 34">
          <a:extLst>
            <a:ext uri="{FF2B5EF4-FFF2-40B4-BE49-F238E27FC236}">
              <a16:creationId xmlns:a16="http://schemas.microsoft.com/office/drawing/2014/main" id="{84BC2CE1-D04D-438F-BE86-A5F55D38E63A}"/>
            </a:ext>
          </a:extLst>
        </xdr:cNvPr>
        <xdr:cNvCxnSpPr/>
      </xdr:nvCxnSpPr>
      <xdr:spPr>
        <a:xfrm flipH="1" flipV="1">
          <a:off x="7881739" y="18169310"/>
          <a:ext cx="298555" cy="66777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537883</xdr:colOff>
      <xdr:row>133</xdr:row>
      <xdr:rowOff>22413</xdr:rowOff>
    </xdr:from>
    <xdr:to>
      <xdr:col>11</xdr:col>
      <xdr:colOff>201706</xdr:colOff>
      <xdr:row>135</xdr:row>
      <xdr:rowOff>56030</xdr:rowOff>
    </xdr:to>
    <xdr:cxnSp macro="">
      <xdr:nvCxnSpPr>
        <xdr:cNvPr id="41" name="直線矢印コネクタ 40">
          <a:extLst>
            <a:ext uri="{FF2B5EF4-FFF2-40B4-BE49-F238E27FC236}">
              <a16:creationId xmlns:a16="http://schemas.microsoft.com/office/drawing/2014/main" id="{2CE2999F-C451-4D90-988E-8219C6FB3235}"/>
            </a:ext>
          </a:extLst>
        </xdr:cNvPr>
        <xdr:cNvCxnSpPr/>
      </xdr:nvCxnSpPr>
      <xdr:spPr>
        <a:xfrm flipH="1" flipV="1">
          <a:off x="6006354" y="23005678"/>
          <a:ext cx="1030940" cy="3697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493059</xdr:colOff>
      <xdr:row>133</xdr:row>
      <xdr:rowOff>128524</xdr:rowOff>
    </xdr:from>
    <xdr:to>
      <xdr:col>17</xdr:col>
      <xdr:colOff>11206</xdr:colOff>
      <xdr:row>134</xdr:row>
      <xdr:rowOff>123264</xdr:rowOff>
    </xdr:to>
    <xdr:cxnSp macro="">
      <xdr:nvCxnSpPr>
        <xdr:cNvPr id="43" name="直線矢印コネクタ 42">
          <a:extLst>
            <a:ext uri="{FF2B5EF4-FFF2-40B4-BE49-F238E27FC236}">
              <a16:creationId xmlns:a16="http://schemas.microsoft.com/office/drawing/2014/main" id="{07F89C23-A7BC-4E20-A40F-5016520C6CEC}"/>
            </a:ext>
          </a:extLst>
        </xdr:cNvPr>
        <xdr:cNvCxnSpPr/>
      </xdr:nvCxnSpPr>
      <xdr:spPr>
        <a:xfrm flipV="1">
          <a:off x="10746441" y="21890348"/>
          <a:ext cx="201706" cy="16282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520211</xdr:colOff>
      <xdr:row>79</xdr:row>
      <xdr:rowOff>117230</xdr:rowOff>
    </xdr:from>
    <xdr:to>
      <xdr:col>6</xdr:col>
      <xdr:colOff>527538</xdr:colOff>
      <xdr:row>82</xdr:row>
      <xdr:rowOff>36635</xdr:rowOff>
    </xdr:to>
    <xdr:cxnSp macro="">
      <xdr:nvCxnSpPr>
        <xdr:cNvPr id="47" name="直線矢印コネクタ 46">
          <a:extLst>
            <a:ext uri="{FF2B5EF4-FFF2-40B4-BE49-F238E27FC236}">
              <a16:creationId xmlns:a16="http://schemas.microsoft.com/office/drawing/2014/main" id="{92A9B3D8-BD0A-4D8B-9219-B0372B60059E}"/>
            </a:ext>
          </a:extLst>
        </xdr:cNvPr>
        <xdr:cNvCxnSpPr/>
      </xdr:nvCxnSpPr>
      <xdr:spPr>
        <a:xfrm flipV="1">
          <a:off x="3963865" y="14148288"/>
          <a:ext cx="7327" cy="42496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158002</xdr:colOff>
      <xdr:row>58</xdr:row>
      <xdr:rowOff>89087</xdr:rowOff>
    </xdr:from>
    <xdr:to>
      <xdr:col>9</xdr:col>
      <xdr:colOff>134472</xdr:colOff>
      <xdr:row>59</xdr:row>
      <xdr:rowOff>78442</xdr:rowOff>
    </xdr:to>
    <xdr:cxnSp macro="">
      <xdr:nvCxnSpPr>
        <xdr:cNvPr id="76" name="直線矢印コネクタ 75">
          <a:extLst>
            <a:ext uri="{FF2B5EF4-FFF2-40B4-BE49-F238E27FC236}">
              <a16:creationId xmlns:a16="http://schemas.microsoft.com/office/drawing/2014/main" id="{6D6D2B21-D8A1-40BF-B519-8B7D2CE4D5B4}"/>
            </a:ext>
          </a:extLst>
        </xdr:cNvPr>
        <xdr:cNvCxnSpPr>
          <a:endCxn id="6" idx="2"/>
        </xdr:cNvCxnSpPr>
      </xdr:nvCxnSpPr>
      <xdr:spPr>
        <a:xfrm flipH="1" flipV="1">
          <a:off x="4942914" y="9838205"/>
          <a:ext cx="660029" cy="15744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358589</xdr:colOff>
      <xdr:row>154</xdr:row>
      <xdr:rowOff>112061</xdr:rowOff>
    </xdr:from>
    <xdr:to>
      <xdr:col>16</xdr:col>
      <xdr:colOff>493059</xdr:colOff>
      <xdr:row>156</xdr:row>
      <xdr:rowOff>0</xdr:rowOff>
    </xdr:to>
    <xdr:cxnSp macro="">
      <xdr:nvCxnSpPr>
        <xdr:cNvPr id="94" name="直線矢印コネクタ 93">
          <a:extLst>
            <a:ext uri="{FF2B5EF4-FFF2-40B4-BE49-F238E27FC236}">
              <a16:creationId xmlns:a16="http://schemas.microsoft.com/office/drawing/2014/main" id="{A9F5CE87-DFCD-4687-9C17-7E04FEA8715A}"/>
            </a:ext>
          </a:extLst>
        </xdr:cNvPr>
        <xdr:cNvCxnSpPr/>
      </xdr:nvCxnSpPr>
      <xdr:spPr>
        <a:xfrm flipV="1">
          <a:off x="10611971" y="29684385"/>
          <a:ext cx="134470" cy="26893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57196</xdr:colOff>
      <xdr:row>173</xdr:row>
      <xdr:rowOff>78441</xdr:rowOff>
    </xdr:from>
    <xdr:to>
      <xdr:col>19</xdr:col>
      <xdr:colOff>515470</xdr:colOff>
      <xdr:row>176</xdr:row>
      <xdr:rowOff>134470</xdr:rowOff>
    </xdr:to>
    <xdr:sp macro="" textlink="">
      <xdr:nvSpPr>
        <xdr:cNvPr id="102" name="四角形: 角を丸くする 101">
          <a:extLst>
            <a:ext uri="{FF2B5EF4-FFF2-40B4-BE49-F238E27FC236}">
              <a16:creationId xmlns:a16="http://schemas.microsoft.com/office/drawing/2014/main" id="{03BC9FAB-A504-4507-B1DE-C0639313956A}"/>
            </a:ext>
          </a:extLst>
        </xdr:cNvPr>
        <xdr:cNvSpPr/>
      </xdr:nvSpPr>
      <xdr:spPr>
        <a:xfrm>
          <a:off x="12361255" y="26479500"/>
          <a:ext cx="458274" cy="560294"/>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242045</xdr:colOff>
      <xdr:row>170</xdr:row>
      <xdr:rowOff>141194</xdr:rowOff>
    </xdr:from>
    <xdr:to>
      <xdr:col>16</xdr:col>
      <xdr:colOff>544605</xdr:colOff>
      <xdr:row>176</xdr:row>
      <xdr:rowOff>156882</xdr:rowOff>
    </xdr:to>
    <xdr:sp macro="" textlink="">
      <xdr:nvSpPr>
        <xdr:cNvPr id="105" name="四角形: 角を丸くする 104">
          <a:extLst>
            <a:ext uri="{FF2B5EF4-FFF2-40B4-BE49-F238E27FC236}">
              <a16:creationId xmlns:a16="http://schemas.microsoft.com/office/drawing/2014/main" id="{F7E11A7A-F16C-4A78-9999-3AC343CB7487}"/>
            </a:ext>
          </a:extLst>
        </xdr:cNvPr>
        <xdr:cNvSpPr/>
      </xdr:nvSpPr>
      <xdr:spPr>
        <a:xfrm flipH="1">
          <a:off x="10495427" y="24301076"/>
          <a:ext cx="302560" cy="1024218"/>
        </a:xfrm>
        <a:prstGeom prst="roundRect">
          <a:avLst>
            <a:gd name="adj" fmla="val 1389"/>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549088</xdr:colOff>
      <xdr:row>155</xdr:row>
      <xdr:rowOff>56029</xdr:rowOff>
    </xdr:from>
    <xdr:to>
      <xdr:col>13</xdr:col>
      <xdr:colOff>212912</xdr:colOff>
      <xdr:row>158</xdr:row>
      <xdr:rowOff>0</xdr:rowOff>
    </xdr:to>
    <xdr:cxnSp macro="">
      <xdr:nvCxnSpPr>
        <xdr:cNvPr id="110" name="直線矢印コネクタ 109">
          <a:extLst>
            <a:ext uri="{FF2B5EF4-FFF2-40B4-BE49-F238E27FC236}">
              <a16:creationId xmlns:a16="http://schemas.microsoft.com/office/drawing/2014/main" id="{391E9813-3560-43C3-B6D2-D187B7877BE9}"/>
            </a:ext>
          </a:extLst>
        </xdr:cNvPr>
        <xdr:cNvCxnSpPr/>
      </xdr:nvCxnSpPr>
      <xdr:spPr>
        <a:xfrm flipH="1" flipV="1">
          <a:off x="8068235" y="29628353"/>
          <a:ext cx="347383" cy="44823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67233</xdr:colOff>
      <xdr:row>171</xdr:row>
      <xdr:rowOff>0</xdr:rowOff>
    </xdr:from>
    <xdr:to>
      <xdr:col>9</xdr:col>
      <xdr:colOff>470647</xdr:colOff>
      <xdr:row>176</xdr:row>
      <xdr:rowOff>129326</xdr:rowOff>
    </xdr:to>
    <xdr:sp macro="" textlink="">
      <xdr:nvSpPr>
        <xdr:cNvPr id="74" name="四角形: 角を丸くする 73">
          <a:extLst>
            <a:ext uri="{FF2B5EF4-FFF2-40B4-BE49-F238E27FC236}">
              <a16:creationId xmlns:a16="http://schemas.microsoft.com/office/drawing/2014/main" id="{D95D858E-AF8D-43A3-B4F7-5E881F714C19}"/>
            </a:ext>
          </a:extLst>
        </xdr:cNvPr>
        <xdr:cNvSpPr/>
      </xdr:nvSpPr>
      <xdr:spPr>
        <a:xfrm flipH="1">
          <a:off x="5535704" y="24384000"/>
          <a:ext cx="403414" cy="969767"/>
        </a:xfrm>
        <a:prstGeom prst="roundRect">
          <a:avLst>
            <a:gd name="adj" fmla="val 1389"/>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280147</xdr:colOff>
      <xdr:row>175</xdr:row>
      <xdr:rowOff>22412</xdr:rowOff>
    </xdr:from>
    <xdr:to>
      <xdr:col>19</xdr:col>
      <xdr:colOff>100853</xdr:colOff>
      <xdr:row>177</xdr:row>
      <xdr:rowOff>156882</xdr:rowOff>
    </xdr:to>
    <xdr:cxnSp macro="">
      <xdr:nvCxnSpPr>
        <xdr:cNvPr id="19" name="直線矢印コネクタ 18">
          <a:extLst>
            <a:ext uri="{FF2B5EF4-FFF2-40B4-BE49-F238E27FC236}">
              <a16:creationId xmlns:a16="http://schemas.microsoft.com/office/drawing/2014/main" id="{7D49E722-B18B-4CA1-94DD-633719913504}"/>
            </a:ext>
          </a:extLst>
        </xdr:cNvPr>
        <xdr:cNvCxnSpPr/>
      </xdr:nvCxnSpPr>
      <xdr:spPr>
        <a:xfrm flipV="1">
          <a:off x="11900647" y="26759647"/>
          <a:ext cx="504265" cy="47064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271096</xdr:colOff>
      <xdr:row>77</xdr:row>
      <xdr:rowOff>117230</xdr:rowOff>
    </xdr:from>
    <xdr:to>
      <xdr:col>19</xdr:col>
      <xdr:colOff>454269</xdr:colOff>
      <xdr:row>82</xdr:row>
      <xdr:rowOff>29308</xdr:rowOff>
    </xdr:to>
    <xdr:cxnSp macro="">
      <xdr:nvCxnSpPr>
        <xdr:cNvPr id="107" name="直線矢印コネクタ 106">
          <a:extLst>
            <a:ext uri="{FF2B5EF4-FFF2-40B4-BE49-F238E27FC236}">
              <a16:creationId xmlns:a16="http://schemas.microsoft.com/office/drawing/2014/main" id="{4FB997CE-3C22-44E7-B1E2-A4ECDF6C55FE}"/>
            </a:ext>
          </a:extLst>
        </xdr:cNvPr>
        <xdr:cNvCxnSpPr/>
      </xdr:nvCxnSpPr>
      <xdr:spPr>
        <a:xfrm flipV="1">
          <a:off x="12668250" y="14148288"/>
          <a:ext cx="183173" cy="75467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123266</xdr:colOff>
      <xdr:row>10</xdr:row>
      <xdr:rowOff>33618</xdr:rowOff>
    </xdr:from>
    <xdr:to>
      <xdr:col>20</xdr:col>
      <xdr:colOff>268941</xdr:colOff>
      <xdr:row>19</xdr:row>
      <xdr:rowOff>134471</xdr:rowOff>
    </xdr:to>
    <xdr:pic>
      <xdr:nvPicPr>
        <xdr:cNvPr id="112" name="図 111">
          <a:extLst>
            <a:ext uri="{FF2B5EF4-FFF2-40B4-BE49-F238E27FC236}">
              <a16:creationId xmlns:a16="http://schemas.microsoft.com/office/drawing/2014/main" id="{43246D85-8DBE-4724-948C-159AAB01678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95466" y="2138643"/>
          <a:ext cx="7003675" cy="1720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11205</xdr:colOff>
      <xdr:row>185</xdr:row>
      <xdr:rowOff>89645</xdr:rowOff>
    </xdr:from>
    <xdr:to>
      <xdr:col>14</xdr:col>
      <xdr:colOff>537882</xdr:colOff>
      <xdr:row>192</xdr:row>
      <xdr:rowOff>0</xdr:rowOff>
    </xdr:to>
    <xdr:pic>
      <xdr:nvPicPr>
        <xdr:cNvPr id="3" name="図 2">
          <a:extLst>
            <a:ext uri="{FF2B5EF4-FFF2-40B4-BE49-F238E27FC236}">
              <a16:creationId xmlns:a16="http://schemas.microsoft.com/office/drawing/2014/main" id="{87566CE1-8631-4523-9206-BF7A89C3E99B}"/>
            </a:ext>
          </a:extLst>
        </xdr:cNvPr>
        <xdr:cNvPicPr>
          <a:picLocks noChangeAspect="1"/>
        </xdr:cNvPicPr>
      </xdr:nvPicPr>
      <xdr:blipFill>
        <a:blip xmlns:r="http://schemas.openxmlformats.org/officeDocument/2006/relationships" r:embed="rId12"/>
        <a:stretch>
          <a:fillRect/>
        </a:stretch>
      </xdr:blipFill>
      <xdr:spPr>
        <a:xfrm>
          <a:off x="7587243" y="32254837"/>
          <a:ext cx="1904139" cy="1089990"/>
        </a:xfrm>
        <a:prstGeom prst="rect">
          <a:avLst/>
        </a:prstGeom>
      </xdr:spPr>
    </xdr:pic>
    <xdr:clientData/>
  </xdr:twoCellAnchor>
  <xdr:twoCellAnchor>
    <xdr:from>
      <xdr:col>7</xdr:col>
      <xdr:colOff>80020</xdr:colOff>
      <xdr:row>132</xdr:row>
      <xdr:rowOff>56031</xdr:rowOff>
    </xdr:from>
    <xdr:to>
      <xdr:col>7</xdr:col>
      <xdr:colOff>448235</xdr:colOff>
      <xdr:row>133</xdr:row>
      <xdr:rowOff>100854</xdr:rowOff>
    </xdr:to>
    <xdr:sp macro="" textlink="">
      <xdr:nvSpPr>
        <xdr:cNvPr id="78" name="四角形: 角を丸くする 77">
          <a:extLst>
            <a:ext uri="{FF2B5EF4-FFF2-40B4-BE49-F238E27FC236}">
              <a16:creationId xmlns:a16="http://schemas.microsoft.com/office/drawing/2014/main" id="{0951FA1E-4F42-4CD9-BC3A-C19542473183}"/>
            </a:ext>
          </a:extLst>
        </xdr:cNvPr>
        <xdr:cNvSpPr/>
      </xdr:nvSpPr>
      <xdr:spPr>
        <a:xfrm>
          <a:off x="4181373" y="22871207"/>
          <a:ext cx="368215" cy="21291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542192</xdr:colOff>
      <xdr:row>80</xdr:row>
      <xdr:rowOff>58616</xdr:rowOff>
    </xdr:from>
    <xdr:to>
      <xdr:col>12</xdr:col>
      <xdr:colOff>51289</xdr:colOff>
      <xdr:row>81</xdr:row>
      <xdr:rowOff>146538</xdr:rowOff>
    </xdr:to>
    <xdr:cxnSp macro="">
      <xdr:nvCxnSpPr>
        <xdr:cNvPr id="11" name="直線矢印コネクタ 10">
          <a:extLst>
            <a:ext uri="{FF2B5EF4-FFF2-40B4-BE49-F238E27FC236}">
              <a16:creationId xmlns:a16="http://schemas.microsoft.com/office/drawing/2014/main" id="{FDE84CC7-6480-4A8E-84CA-A1F0A7C8E09A}"/>
            </a:ext>
          </a:extLst>
        </xdr:cNvPr>
        <xdr:cNvCxnSpPr/>
      </xdr:nvCxnSpPr>
      <xdr:spPr>
        <a:xfrm flipV="1">
          <a:off x="7429500" y="14595231"/>
          <a:ext cx="197827" cy="25644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29510</xdr:colOff>
      <xdr:row>91</xdr:row>
      <xdr:rowOff>56055</xdr:rowOff>
    </xdr:from>
    <xdr:to>
      <xdr:col>13</xdr:col>
      <xdr:colOff>668473</xdr:colOff>
      <xdr:row>96</xdr:row>
      <xdr:rowOff>139212</xdr:rowOff>
    </xdr:to>
    <xdr:pic>
      <xdr:nvPicPr>
        <xdr:cNvPr id="83" name="図 82">
          <a:extLst>
            <a:ext uri="{FF2B5EF4-FFF2-40B4-BE49-F238E27FC236}">
              <a16:creationId xmlns:a16="http://schemas.microsoft.com/office/drawing/2014/main" id="{A178579D-0736-424C-B0C5-8AE8542AB11A}"/>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573310" y="16677180"/>
          <a:ext cx="2010563" cy="940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72</xdr:row>
      <xdr:rowOff>109904</xdr:rowOff>
    </xdr:from>
    <xdr:to>
      <xdr:col>5</xdr:col>
      <xdr:colOff>659422</xdr:colOff>
      <xdr:row>81</xdr:row>
      <xdr:rowOff>80596</xdr:rowOff>
    </xdr:to>
    <xdr:sp macro="" textlink="">
      <xdr:nvSpPr>
        <xdr:cNvPr id="85" name="四角形: 角を丸くする 84">
          <a:extLst>
            <a:ext uri="{FF2B5EF4-FFF2-40B4-BE49-F238E27FC236}">
              <a16:creationId xmlns:a16="http://schemas.microsoft.com/office/drawing/2014/main" id="{FD812CE9-86B1-4DEE-B510-69DC05AAE6F6}"/>
            </a:ext>
          </a:extLst>
        </xdr:cNvPr>
        <xdr:cNvSpPr/>
      </xdr:nvSpPr>
      <xdr:spPr>
        <a:xfrm>
          <a:off x="1377462" y="13298366"/>
          <a:ext cx="2036883" cy="148736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666750</xdr:colOff>
      <xdr:row>77</xdr:row>
      <xdr:rowOff>124557</xdr:rowOff>
    </xdr:from>
    <xdr:to>
      <xdr:col>9</xdr:col>
      <xdr:colOff>58615</xdr:colOff>
      <xdr:row>80</xdr:row>
      <xdr:rowOff>43962</xdr:rowOff>
    </xdr:to>
    <xdr:sp macro="" textlink="">
      <xdr:nvSpPr>
        <xdr:cNvPr id="86" name="四角形: 角を丸くする 85">
          <a:extLst>
            <a:ext uri="{FF2B5EF4-FFF2-40B4-BE49-F238E27FC236}">
              <a16:creationId xmlns:a16="http://schemas.microsoft.com/office/drawing/2014/main" id="{D331C2E3-F62E-411B-B9FC-8FCB9AD0AF84}"/>
            </a:ext>
          </a:extLst>
        </xdr:cNvPr>
        <xdr:cNvSpPr/>
      </xdr:nvSpPr>
      <xdr:spPr>
        <a:xfrm>
          <a:off x="4110404" y="14155615"/>
          <a:ext cx="1458057" cy="42496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278430</xdr:colOff>
      <xdr:row>72</xdr:row>
      <xdr:rowOff>109904</xdr:rowOff>
    </xdr:from>
    <xdr:to>
      <xdr:col>19</xdr:col>
      <xdr:colOff>197833</xdr:colOff>
      <xdr:row>81</xdr:row>
      <xdr:rowOff>65942</xdr:rowOff>
    </xdr:to>
    <xdr:sp macro="" textlink="">
      <xdr:nvSpPr>
        <xdr:cNvPr id="90" name="四角形: 角を丸くする 89">
          <a:extLst>
            <a:ext uri="{FF2B5EF4-FFF2-40B4-BE49-F238E27FC236}">
              <a16:creationId xmlns:a16="http://schemas.microsoft.com/office/drawing/2014/main" id="{76EAC83B-85B4-4497-B2DD-44EF86B3DDF7}"/>
            </a:ext>
          </a:extLst>
        </xdr:cNvPr>
        <xdr:cNvSpPr/>
      </xdr:nvSpPr>
      <xdr:spPr>
        <a:xfrm>
          <a:off x="11298122" y="13298366"/>
          <a:ext cx="1296865" cy="1472711"/>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542195</xdr:colOff>
      <xdr:row>72</xdr:row>
      <xdr:rowOff>109903</xdr:rowOff>
    </xdr:from>
    <xdr:to>
      <xdr:col>12</xdr:col>
      <xdr:colOff>388331</xdr:colOff>
      <xdr:row>80</xdr:row>
      <xdr:rowOff>36635</xdr:rowOff>
    </xdr:to>
    <xdr:sp macro="" textlink="">
      <xdr:nvSpPr>
        <xdr:cNvPr id="96" name="四角形: 角を丸くする 95">
          <a:extLst>
            <a:ext uri="{FF2B5EF4-FFF2-40B4-BE49-F238E27FC236}">
              <a16:creationId xmlns:a16="http://schemas.microsoft.com/office/drawing/2014/main" id="{14379180-F53D-446A-95BA-47F690D2FDB3}"/>
            </a:ext>
          </a:extLst>
        </xdr:cNvPr>
        <xdr:cNvSpPr/>
      </xdr:nvSpPr>
      <xdr:spPr>
        <a:xfrm>
          <a:off x="7429503" y="13298365"/>
          <a:ext cx="534866" cy="127488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87923</xdr:colOff>
      <xdr:row>80</xdr:row>
      <xdr:rowOff>0</xdr:rowOff>
    </xdr:from>
    <xdr:to>
      <xdr:col>10</xdr:col>
      <xdr:colOff>117230</xdr:colOff>
      <xdr:row>82</xdr:row>
      <xdr:rowOff>117231</xdr:rowOff>
    </xdr:to>
    <xdr:cxnSp macro="">
      <xdr:nvCxnSpPr>
        <xdr:cNvPr id="99" name="直線矢印コネクタ 98">
          <a:extLst>
            <a:ext uri="{FF2B5EF4-FFF2-40B4-BE49-F238E27FC236}">
              <a16:creationId xmlns:a16="http://schemas.microsoft.com/office/drawing/2014/main" id="{1E0DB0CD-F680-4048-B059-A7F3350810CC}"/>
            </a:ext>
          </a:extLst>
        </xdr:cNvPr>
        <xdr:cNvCxnSpPr/>
      </xdr:nvCxnSpPr>
      <xdr:spPr>
        <a:xfrm flipH="1" flipV="1">
          <a:off x="5597769" y="14536615"/>
          <a:ext cx="718038" cy="45427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9</xdr:row>
      <xdr:rowOff>9524</xdr:rowOff>
    </xdr:from>
    <xdr:to>
      <xdr:col>12</xdr:col>
      <xdr:colOff>247650</xdr:colOff>
      <xdr:row>12</xdr:row>
      <xdr:rowOff>180974</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19075" y="2247899"/>
          <a:ext cx="5695950" cy="942975"/>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・負荷率は県の標準テーブルで計算されます。</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・記入する欄は</a:t>
          </a:r>
          <a:r>
            <a:rPr kumimoji="1" lang="ja-JP" altLang="ja-JP" sz="1100">
              <a:solidFill>
                <a:schemeClr val="dk1"/>
              </a:solidFill>
              <a:effectLst/>
              <a:latin typeface="+mn-lt"/>
              <a:ea typeface="+mn-ea"/>
              <a:cs typeface="+mn-cs"/>
            </a:rPr>
            <a:t>白色の枠内</a:t>
          </a:r>
          <a:r>
            <a:rPr kumimoji="1" lang="ja-JP" altLang="en-US" sz="1100">
              <a:solidFill>
                <a:schemeClr val="dk1"/>
              </a:solidFill>
              <a:effectLst/>
              <a:latin typeface="+mn-lt"/>
              <a:ea typeface="+mn-ea"/>
              <a:cs typeface="+mn-cs"/>
            </a:rPr>
            <a:t>です</a:t>
          </a:r>
          <a:r>
            <a:rPr kumimoji="1" lang="ja-JP" altLang="ja-JP" sz="1100">
              <a:solidFill>
                <a:schemeClr val="dk1"/>
              </a:solidFill>
              <a:effectLst/>
              <a:latin typeface="+mn-lt"/>
              <a:ea typeface="+mn-ea"/>
              <a:cs typeface="+mn-cs"/>
            </a:rPr>
            <a:t>。色のついた欄は記載不要。</a:t>
          </a:r>
          <a:endParaRPr kumimoji="1" lang="en-US" altLang="ja-JP" sz="12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238125</xdr:colOff>
      <xdr:row>11</xdr:row>
      <xdr:rowOff>161925</xdr:rowOff>
    </xdr:from>
    <xdr:to>
      <xdr:col>13</xdr:col>
      <xdr:colOff>361950</xdr:colOff>
      <xdr:row>16</xdr:row>
      <xdr:rowOff>152400</xdr:rowOff>
    </xdr:to>
    <xdr:sp macro="" textlink="">
      <xdr:nvSpPr>
        <xdr:cNvPr id="5" name="テキスト ボックス 4">
          <a:extLst>
            <a:ext uri="{FF2B5EF4-FFF2-40B4-BE49-F238E27FC236}">
              <a16:creationId xmlns:a16="http://schemas.microsoft.com/office/drawing/2014/main" id="{1F3F02D1-2173-433F-A31D-C476E2354859}"/>
            </a:ext>
          </a:extLst>
        </xdr:cNvPr>
        <xdr:cNvSpPr txBox="1"/>
      </xdr:nvSpPr>
      <xdr:spPr>
        <a:xfrm>
          <a:off x="238125" y="3019425"/>
          <a:ext cx="6276975" cy="1276350"/>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・負荷率は県の標準テーブルで計算されます。</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・記入する欄は</a:t>
          </a:r>
          <a:r>
            <a:rPr kumimoji="1" lang="ja-JP" altLang="ja-JP" sz="1200">
              <a:solidFill>
                <a:schemeClr val="dk1"/>
              </a:solidFill>
              <a:effectLst/>
              <a:latin typeface="+mn-lt"/>
              <a:ea typeface="+mn-ea"/>
              <a:cs typeface="+mn-cs"/>
            </a:rPr>
            <a:t>白色の枠内で</a:t>
          </a:r>
          <a:r>
            <a:rPr kumimoji="1" lang="ja-JP" altLang="en-US" sz="1200">
              <a:solidFill>
                <a:schemeClr val="dk1"/>
              </a:solidFill>
              <a:effectLst/>
              <a:latin typeface="+mn-lt"/>
              <a:ea typeface="+mn-ea"/>
              <a:cs typeface="+mn-cs"/>
            </a:rPr>
            <a:t>す</a:t>
          </a:r>
          <a:r>
            <a:rPr kumimoji="1" lang="ja-JP" altLang="ja-JP" sz="1200">
              <a:solidFill>
                <a:schemeClr val="dk1"/>
              </a:solidFill>
              <a:effectLst/>
              <a:latin typeface="+mn-lt"/>
              <a:ea typeface="+mn-ea"/>
              <a:cs typeface="+mn-cs"/>
            </a:rPr>
            <a:t>。色のついた欄は記載不要。</a:t>
          </a:r>
          <a:endParaRPr kumimoji="1" lang="en-US" altLang="ja-JP"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・ガスの種類を選択します。更新後の燃転は考慮されません。</a:t>
          </a:r>
          <a:endParaRPr kumimoji="1" lang="en-US" altLang="ja-JP" sz="12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109219</xdr:colOff>
      <xdr:row>27</xdr:row>
      <xdr:rowOff>112057</xdr:rowOff>
    </xdr:from>
    <xdr:to>
      <xdr:col>21</xdr:col>
      <xdr:colOff>416053</xdr:colOff>
      <xdr:row>37</xdr:row>
      <xdr:rowOff>268941</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9376484" y="5995145"/>
          <a:ext cx="4161657" cy="2655796"/>
          <a:chOff x="8816190" y="6757147"/>
          <a:chExt cx="4004776" cy="2636645"/>
        </a:xfrm>
      </xdr:grpSpPr>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8816190" y="6757147"/>
            <a:ext cx="4004776" cy="2389654"/>
          </a:xfrm>
          <a:prstGeom prst="rect">
            <a:avLst/>
          </a:prstGeom>
          <a:effectLst>
            <a:outerShdw blurRad="50800" dist="38100" dir="2700000" algn="tl" rotWithShape="0">
              <a:prstClr val="black">
                <a:alpha val="40000"/>
              </a:prstClr>
            </a:outerShdw>
          </a:effectLst>
        </xdr:spPr>
      </xdr:pic>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531981" y="9129835"/>
            <a:ext cx="2274795" cy="2639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algn="ctr"/>
            <a:r>
              <a:rPr kumimoji="1" lang="ja-JP" altLang="en-US" sz="1100"/>
              <a:t>出典：各メーカカタログ図より</a:t>
            </a:r>
          </a:p>
        </xdr:txBody>
      </xdr:sp>
    </xdr:grpSp>
    <xdr:clientData/>
  </xdr:twoCellAnchor>
  <xdr:twoCellAnchor>
    <xdr:from>
      <xdr:col>0</xdr:col>
      <xdr:colOff>244289</xdr:colOff>
      <xdr:row>8</xdr:row>
      <xdr:rowOff>32018</xdr:rowOff>
    </xdr:from>
    <xdr:to>
      <xdr:col>12</xdr:col>
      <xdr:colOff>381000</xdr:colOff>
      <xdr:row>11</xdr:row>
      <xdr:rowOff>44825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44289" y="1993047"/>
          <a:ext cx="6288740" cy="707572"/>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・記入する欄は</a:t>
          </a:r>
          <a:r>
            <a:rPr kumimoji="1" lang="ja-JP" altLang="ja-JP" sz="1200">
              <a:solidFill>
                <a:schemeClr val="dk1"/>
              </a:solidFill>
              <a:effectLst/>
              <a:latin typeface="+mn-lt"/>
              <a:ea typeface="+mn-ea"/>
              <a:cs typeface="+mn-cs"/>
            </a:rPr>
            <a:t>白色の枠内で</a:t>
          </a:r>
          <a:r>
            <a:rPr kumimoji="1" lang="ja-JP" altLang="en-US" sz="1200">
              <a:solidFill>
                <a:schemeClr val="dk1"/>
              </a:solidFill>
              <a:effectLst/>
              <a:latin typeface="+mn-lt"/>
              <a:ea typeface="+mn-ea"/>
              <a:cs typeface="+mn-cs"/>
            </a:rPr>
            <a:t>す</a:t>
          </a:r>
          <a:r>
            <a:rPr kumimoji="1" lang="ja-JP" altLang="ja-JP" sz="1200">
              <a:solidFill>
                <a:schemeClr val="dk1"/>
              </a:solidFill>
              <a:effectLst/>
              <a:latin typeface="+mn-lt"/>
              <a:ea typeface="+mn-ea"/>
              <a:cs typeface="+mn-cs"/>
            </a:rPr>
            <a:t>。色のついた欄は記載不要。</a:t>
          </a:r>
          <a:endParaRPr lang="ja-JP" altLang="ja-JP" sz="1200">
            <a:effectLst/>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19049</xdr:colOff>
      <xdr:row>9</xdr:row>
      <xdr:rowOff>47625</xdr:rowOff>
    </xdr:from>
    <xdr:ext cx="7496175" cy="2171699"/>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66699" y="2390775"/>
          <a:ext cx="7496175" cy="2171699"/>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記入する欄は</a:t>
          </a:r>
          <a:r>
            <a:rPr kumimoji="1" lang="ja-JP" altLang="ja-JP" sz="1200">
              <a:solidFill>
                <a:schemeClr val="dk1"/>
              </a:solidFill>
              <a:effectLst/>
              <a:latin typeface="+mn-lt"/>
              <a:ea typeface="+mn-ea"/>
              <a:cs typeface="+mn-cs"/>
            </a:rPr>
            <a:t>白色の枠内で</a:t>
          </a:r>
          <a:r>
            <a:rPr kumimoji="1" lang="ja-JP" altLang="en-US" sz="1200">
              <a:solidFill>
                <a:schemeClr val="dk1"/>
              </a:solidFill>
              <a:effectLst/>
              <a:latin typeface="+mn-lt"/>
              <a:ea typeface="+mn-ea"/>
              <a:cs typeface="+mn-cs"/>
            </a:rPr>
            <a:t>す</a:t>
          </a:r>
          <a:r>
            <a:rPr kumimoji="1" lang="ja-JP" altLang="ja-JP" sz="1200">
              <a:solidFill>
                <a:schemeClr val="dk1"/>
              </a:solidFill>
              <a:effectLst/>
              <a:latin typeface="+mn-lt"/>
              <a:ea typeface="+mn-ea"/>
              <a:cs typeface="+mn-cs"/>
            </a:rPr>
            <a:t>。色のついた欄は記載不要。</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・燃料種別を選択後、燃料の種類を選択、各係数値を記入してください。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該当の燃料種類が無い場合は右表の欄で選択記入してください。１件のみ選択可能</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・更新後の機種の負荷をグループで按分する場合、按分比のグループ合計は１となるようにします。</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按分比が１：０の場合は０も記入します。</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・グループにした場合は、更新前の定格効率、稼働日数、</a:t>
          </a:r>
          <a:r>
            <a:rPr kumimoji="1" lang="en-US" altLang="ja-JP" sz="1200">
              <a:solidFill>
                <a:sysClr val="windowText" lastClr="000000"/>
              </a:solidFill>
              <a:effectLst/>
              <a:latin typeface="+mn-lt"/>
              <a:ea typeface="+mn-ea"/>
              <a:cs typeface="+mn-cs"/>
            </a:rPr>
            <a:t>1</a:t>
          </a:r>
          <a:r>
            <a:rPr kumimoji="1" lang="ja-JP" altLang="en-US" sz="1200">
              <a:solidFill>
                <a:sysClr val="windowText" lastClr="000000"/>
              </a:solidFill>
              <a:effectLst/>
              <a:latin typeface="+mn-lt"/>
              <a:ea typeface="+mn-ea"/>
              <a:cs typeface="+mn-cs"/>
            </a:rPr>
            <a:t>日あたり稼働時間、負荷率には空欄にせず、</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グループで同じ数値を必ず記入します。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ysClr val="windowText" lastClr="000000"/>
            </a:solidFill>
            <a:effectLst/>
            <a:latin typeface="+mn-lt"/>
            <a:ea typeface="+mn-ea"/>
            <a:cs typeface="+mn-cs"/>
          </a:endParaRPr>
        </a:p>
      </xdr:txBody>
    </xdr:sp>
    <xdr:clientData/>
  </xdr:oneCellAnchor>
  <xdr:twoCellAnchor editAs="oneCell">
    <xdr:from>
      <xdr:col>29</xdr:col>
      <xdr:colOff>352425</xdr:colOff>
      <xdr:row>10</xdr:row>
      <xdr:rowOff>38100</xdr:rowOff>
    </xdr:from>
    <xdr:to>
      <xdr:col>32</xdr:col>
      <xdr:colOff>361950</xdr:colOff>
      <xdr:row>19</xdr:row>
      <xdr:rowOff>19051</xdr:rowOff>
    </xdr:to>
    <xdr:pic>
      <xdr:nvPicPr>
        <xdr:cNvPr id="5" name="図 4">
          <a:extLst>
            <a:ext uri="{FF2B5EF4-FFF2-40B4-BE49-F238E27FC236}">
              <a16:creationId xmlns:a16="http://schemas.microsoft.com/office/drawing/2014/main" id="{A499453C-6E30-422F-AA31-FA47DF24F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96875" y="2638425"/>
          <a:ext cx="1619250" cy="2143126"/>
        </a:xfrm>
        <a:prstGeom prst="rect">
          <a:avLst/>
        </a:prstGeom>
        <a:solidFill>
          <a:schemeClr val="bg1">
            <a:lumMod val="95000"/>
          </a:schemeClr>
        </a:solidFill>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247650</xdr:colOff>
      <xdr:row>12</xdr:row>
      <xdr:rowOff>133349</xdr:rowOff>
    </xdr:from>
    <xdr:ext cx="7162800" cy="1181101"/>
    <xdr:sp macro="" textlink="">
      <xdr:nvSpPr>
        <xdr:cNvPr id="16" name="テキスト ボックス 15">
          <a:extLst>
            <a:ext uri="{FF2B5EF4-FFF2-40B4-BE49-F238E27FC236}">
              <a16:creationId xmlns:a16="http://schemas.microsoft.com/office/drawing/2014/main" id="{4B371E31-204E-4033-AD13-108D5BD32DCE}"/>
            </a:ext>
          </a:extLst>
        </xdr:cNvPr>
        <xdr:cNvSpPr txBox="1"/>
      </xdr:nvSpPr>
      <xdr:spPr>
        <a:xfrm>
          <a:off x="247650" y="2476499"/>
          <a:ext cx="7162800" cy="1181101"/>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・記入する欄は</a:t>
          </a:r>
          <a:r>
            <a:rPr kumimoji="1" lang="ja-JP" altLang="ja-JP" sz="1100">
              <a:solidFill>
                <a:schemeClr val="dk1"/>
              </a:solidFill>
              <a:effectLst/>
              <a:latin typeface="+mn-lt"/>
              <a:ea typeface="+mn-ea"/>
              <a:cs typeface="+mn-cs"/>
            </a:rPr>
            <a:t>白色の枠内で</a:t>
          </a:r>
          <a:r>
            <a:rPr kumimoji="1" lang="ja-JP" altLang="en-US" sz="1100">
              <a:solidFill>
                <a:schemeClr val="dk1"/>
              </a:solidFill>
              <a:effectLst/>
              <a:latin typeface="+mn-lt"/>
              <a:ea typeface="+mn-ea"/>
              <a:cs typeface="+mn-cs"/>
            </a:rPr>
            <a:t>す</a:t>
          </a:r>
          <a:r>
            <a:rPr kumimoji="1" lang="ja-JP" altLang="ja-JP" sz="1100">
              <a:solidFill>
                <a:schemeClr val="dk1"/>
              </a:solidFill>
              <a:effectLst/>
              <a:latin typeface="+mn-lt"/>
              <a:ea typeface="+mn-ea"/>
              <a:cs typeface="+mn-cs"/>
            </a:rPr>
            <a:t>。</a:t>
          </a:r>
          <a:r>
            <a:rPr kumimoji="1" lang="ja-JP" altLang="ja-JP" sz="1100">
              <a:solidFill>
                <a:srgbClr val="00B0F0"/>
              </a:solidFill>
              <a:effectLst/>
              <a:latin typeface="+mn-lt"/>
              <a:ea typeface="+mn-ea"/>
              <a:cs typeface="+mn-cs"/>
            </a:rPr>
            <a:t>水色</a:t>
          </a:r>
          <a:r>
            <a:rPr kumimoji="1" lang="ja-JP" altLang="ja-JP" sz="1100">
              <a:solidFill>
                <a:schemeClr val="dk1"/>
              </a:solidFill>
              <a:effectLst/>
              <a:latin typeface="+mn-lt"/>
              <a:ea typeface="+mn-ea"/>
              <a:cs typeface="+mn-cs"/>
            </a:rPr>
            <a:t>欄は任意記載。その他色のついた欄は記載不要。</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・仕様を選択、各数値を記入してください。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・統合する場合は、更新後の対象機に●をつけてください。更新前の統合対象は３台までです。</a:t>
          </a:r>
          <a:endParaRPr kumimoji="1" lang="en-US" altLang="ja-JP" sz="1200">
            <a:solidFill>
              <a:sysClr val="windowText" lastClr="000000"/>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19050</xdr:colOff>
      <xdr:row>9</xdr:row>
      <xdr:rowOff>123832</xdr:rowOff>
    </xdr:from>
    <xdr:ext cx="6546476" cy="1133468"/>
    <xdr:sp macro="" textlink="">
      <xdr:nvSpPr>
        <xdr:cNvPr id="2" name="テキスト ボックス 1">
          <a:extLst>
            <a:ext uri="{FF2B5EF4-FFF2-40B4-BE49-F238E27FC236}">
              <a16:creationId xmlns:a16="http://schemas.microsoft.com/office/drawing/2014/main" id="{6CD0FCF0-4E90-40A5-A6B6-E1C8F061BFFB}"/>
            </a:ext>
          </a:extLst>
        </xdr:cNvPr>
        <xdr:cNvSpPr txBox="1"/>
      </xdr:nvSpPr>
      <xdr:spPr>
        <a:xfrm>
          <a:off x="266700" y="2466982"/>
          <a:ext cx="6546476" cy="1133468"/>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記入できる欄は黄色の枠内です。</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燃料の種類を選択、各係数値を記入してください。該当の燃料種類が無い場合は</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右表の欄で選択記入する。１件のみ選択可能</a:t>
          </a:r>
          <a:endParaRPr kumimoji="1" lang="en-US" altLang="ja-JP" sz="1200">
            <a:solidFill>
              <a:sysClr val="windowText" lastClr="000000"/>
            </a:solidFill>
          </a:endParaRPr>
        </a:p>
      </xdr:txBody>
    </xdr:sp>
    <xdr:clientData/>
  </xdr:oneCellAnchor>
  <xdr:twoCellAnchor editAs="oneCell">
    <xdr:from>
      <xdr:col>32</xdr:col>
      <xdr:colOff>352425</xdr:colOff>
      <xdr:row>10</xdr:row>
      <xdr:rowOff>38100</xdr:rowOff>
    </xdr:from>
    <xdr:to>
      <xdr:col>35</xdr:col>
      <xdr:colOff>657225</xdr:colOff>
      <xdr:row>18</xdr:row>
      <xdr:rowOff>209551</xdr:rowOff>
    </xdr:to>
    <xdr:pic>
      <xdr:nvPicPr>
        <xdr:cNvPr id="3" name="図 2">
          <a:extLst>
            <a:ext uri="{FF2B5EF4-FFF2-40B4-BE49-F238E27FC236}">
              <a16:creationId xmlns:a16="http://schemas.microsoft.com/office/drawing/2014/main" id="{37F022AF-75BC-48DA-86FA-DE244319E2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96875" y="2638425"/>
          <a:ext cx="1619250" cy="2143126"/>
        </a:xfrm>
        <a:prstGeom prst="rect">
          <a:avLst/>
        </a:prstGeom>
        <a:solidFill>
          <a:schemeClr val="bg1">
            <a:lumMod val="95000"/>
          </a:schemeClr>
        </a:solidFill>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8</xdr:row>
      <xdr:rowOff>161925</xdr:rowOff>
    </xdr:from>
    <xdr:ext cx="6867525" cy="1485900"/>
    <xdr:sp macro="" textlink="">
      <xdr:nvSpPr>
        <xdr:cNvPr id="9" name="テキスト ボックス 8">
          <a:extLst>
            <a:ext uri="{FF2B5EF4-FFF2-40B4-BE49-F238E27FC236}">
              <a16:creationId xmlns:a16="http://schemas.microsoft.com/office/drawing/2014/main" id="{EC089A3C-D329-4813-97FF-AEFF14C56C7E}"/>
            </a:ext>
          </a:extLst>
        </xdr:cNvPr>
        <xdr:cNvSpPr txBox="1"/>
      </xdr:nvSpPr>
      <xdr:spPr>
        <a:xfrm>
          <a:off x="276225" y="1762125"/>
          <a:ext cx="6867525" cy="1485900"/>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ea"/>
              <a:ea typeface="+mn-ea"/>
              <a:cs typeface="+mn-cs"/>
            </a:rPr>
            <a:t>・記入例をご覧の上、設備更新による削減量を算定してください。</a:t>
          </a:r>
          <a:endParaRPr kumimoji="1" lang="en-US" altLang="ja-JP" sz="11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ea"/>
              <a:ea typeface="+mn-ea"/>
              <a:cs typeface="+mn-cs"/>
            </a:rPr>
            <a:t>・記入する欄は</a:t>
          </a:r>
          <a:r>
            <a:rPr kumimoji="1" lang="ja-JP" altLang="ja-JP" sz="1100">
              <a:solidFill>
                <a:schemeClr val="dk1"/>
              </a:solidFill>
              <a:effectLst/>
              <a:latin typeface="+mn-ea"/>
              <a:ea typeface="+mn-ea"/>
              <a:cs typeface="+mn-cs"/>
            </a:rPr>
            <a:t>白色の枠内で</a:t>
          </a:r>
          <a:r>
            <a:rPr kumimoji="1" lang="ja-JP" altLang="en-US" sz="1100">
              <a:solidFill>
                <a:schemeClr val="dk1"/>
              </a:solidFill>
              <a:effectLst/>
              <a:latin typeface="+mn-ea"/>
              <a:ea typeface="+mn-ea"/>
              <a:cs typeface="+mn-cs"/>
            </a:rPr>
            <a:t>す</a:t>
          </a:r>
          <a:r>
            <a:rPr kumimoji="1" lang="ja-JP" altLang="ja-JP" sz="1100">
              <a:solidFill>
                <a:schemeClr val="dk1"/>
              </a:solidFill>
              <a:effectLst/>
              <a:latin typeface="+mn-ea"/>
              <a:ea typeface="+mn-ea"/>
              <a:cs typeface="+mn-cs"/>
            </a:rPr>
            <a:t>。</a:t>
          </a:r>
          <a:r>
            <a:rPr kumimoji="1" lang="ja-JP" altLang="ja-JP" sz="1100">
              <a:solidFill>
                <a:srgbClr val="00B0F0"/>
              </a:solidFill>
              <a:effectLst/>
              <a:latin typeface="+mn-ea"/>
              <a:ea typeface="+mn-ea"/>
              <a:cs typeface="+mn-cs"/>
            </a:rPr>
            <a:t>水色</a:t>
          </a:r>
          <a:r>
            <a:rPr kumimoji="1" lang="ja-JP" altLang="ja-JP" sz="1100">
              <a:solidFill>
                <a:schemeClr val="dk1"/>
              </a:solidFill>
              <a:effectLst/>
              <a:latin typeface="+mn-ea"/>
              <a:ea typeface="+mn-ea"/>
              <a:cs typeface="+mn-cs"/>
            </a:rPr>
            <a:t>欄は任意記載。その他色のついた欄は記載不要。</a:t>
          </a:r>
          <a:endParaRPr lang="ja-JP" altLang="ja-JP" sz="1100">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ea"/>
              <a:ea typeface="+mn-ea"/>
              <a:cs typeface="+mn-cs"/>
            </a:rPr>
            <a:t>・設備の種類、モーター規格を選択します。定格出力を記入すると効率が表示されます</a:t>
          </a:r>
          <a:endParaRPr kumimoji="1" lang="en-US" altLang="ja-JP" sz="11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ea"/>
              <a:ea typeface="+mn-ea"/>
              <a:cs typeface="+mn-cs"/>
            </a:rPr>
            <a:t>・年間稼働日数、</a:t>
          </a:r>
          <a:r>
            <a:rPr kumimoji="1" lang="en-US" altLang="ja-JP" sz="1100">
              <a:solidFill>
                <a:sysClr val="windowText" lastClr="000000"/>
              </a:solidFill>
              <a:effectLst/>
              <a:latin typeface="+mn-ea"/>
              <a:ea typeface="+mn-ea"/>
              <a:cs typeface="+mn-cs"/>
            </a:rPr>
            <a:t>1</a:t>
          </a:r>
          <a:r>
            <a:rPr kumimoji="1" lang="ja-JP" altLang="en-US" sz="1100">
              <a:solidFill>
                <a:sysClr val="windowText" lastClr="000000"/>
              </a:solidFill>
              <a:effectLst/>
              <a:latin typeface="+mn-ea"/>
              <a:ea typeface="+mn-ea"/>
              <a:cs typeface="+mn-cs"/>
            </a:rPr>
            <a:t>日の稼働時間を記入します。間欠運転等であれば負荷率を記入します。</a:t>
          </a:r>
          <a:endParaRPr kumimoji="1" lang="en-US" altLang="ja-JP" sz="11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ea"/>
              <a:ea typeface="+mn-ea"/>
              <a:cs typeface="+mn-cs"/>
            </a:rPr>
            <a:t>・インバータや流量制御をして、出力が低減されている場合はその数値を記入します。</a:t>
          </a:r>
          <a:endParaRPr kumimoji="1" lang="en-US" altLang="ja-JP" sz="1100">
            <a:solidFill>
              <a:sysClr val="windowText" lastClr="000000"/>
            </a:solidFill>
            <a:effectLst/>
            <a:latin typeface="+mn-ea"/>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1207/Box/&#12304;02_&#35506;&#25152;&#20849;&#26377;&#12305;05_02_&#28201;&#26262;&#21270;&#23550;&#31574;&#35506;/R05&#24180;&#24230;/&#20013;&#23567;&#25285;&#24403;/22_&#20107;&#26989;&#32773;&#25903;&#25588;/22_05_CO2&#25490;&#20986;&#21066;&#28187;&#35373;&#20633;&#23566;&#20837;&#35036;&#21161;/22_05_040_&#35373;&#20633;&#35036;&#21161;&#12288;&#35036;&#21161;&#37329;/R5.5&#33256;&#26178;&#20250;&#23550;&#24540;/&#21215;&#38598;&#35201;&#38936;&#12539;&#27096;&#24335;/&#27096;&#24335;/&#27096;&#24335;&#31532;1&#21495;&#65288;&#35036;&#21161;&#37329;&#20132;&#20184;&#30003;&#35531;&#26360;&#65289;6.19&#65343;&#204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重要事項確認書"/>
      <sheetName val="事業実施者・事業内容"/>
      <sheetName val="事業費内訳"/>
      <sheetName val="ボイラ排出量算定（追加)"/>
      <sheetName val="Sheet1"/>
      <sheetName val="省エネ計画書"/>
      <sheetName val="CO2換算シート"/>
      <sheetName val="現況写真"/>
      <sheetName val="チェックリスト"/>
    </sheetNames>
    <sheetDataSet>
      <sheetData sheetId="0"/>
      <sheetData sheetId="1"/>
      <sheetData sheetId="2">
        <row r="66">
          <cell r="A66" t="str">
            <v>農業・林業</v>
          </cell>
          <cell r="B66" t="str">
            <v>漁業</v>
          </cell>
          <cell r="C66" t="str">
            <v>鉱業・採石業・砂利採取業</v>
          </cell>
          <cell r="D66" t="str">
            <v>建設業</v>
          </cell>
          <cell r="E66" t="str">
            <v>製造業</v>
          </cell>
          <cell r="F66" t="str">
            <v>電気・ガス・熱供給・水道業</v>
          </cell>
          <cell r="G66" t="str">
            <v>情報通信業</v>
          </cell>
          <cell r="H66" t="str">
            <v>運輸業・郵便業</v>
          </cell>
          <cell r="I66" t="str">
            <v>卸売業・小売業</v>
          </cell>
          <cell r="J66" t="str">
            <v>金融業・保険業</v>
          </cell>
          <cell r="K66" t="str">
            <v>不動産業・物品賃貸業</v>
          </cell>
          <cell r="L66" t="str">
            <v>学術研究・専門・技術サービス業</v>
          </cell>
          <cell r="M66" t="str">
            <v>宿泊業・飲食サービス業</v>
          </cell>
          <cell r="N66" t="str">
            <v>生活関連サービス業・娯楽業</v>
          </cell>
          <cell r="O66" t="str">
            <v>教育・学習支援業</v>
          </cell>
          <cell r="P66" t="str">
            <v>医療・福祉</v>
          </cell>
          <cell r="Q66" t="str">
            <v>複合サービス事業</v>
          </cell>
          <cell r="R66" t="str">
            <v>サービス業</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2C93-450A-4F63-9F1B-FE8781BC37CA}">
  <sheetPr>
    <tabColor rgb="FF00B0F0"/>
    <pageSetUpPr fitToPage="1"/>
  </sheetPr>
  <dimension ref="A2:AL80"/>
  <sheetViews>
    <sheetView tabSelected="1" view="pageBreakPreview" zoomScale="130" zoomScaleNormal="100" zoomScaleSheetLayoutView="130" workbookViewId="0">
      <selection activeCell="A16" sqref="A16:AH16"/>
    </sheetView>
  </sheetViews>
  <sheetFormatPr defaultColWidth="8.5" defaultRowHeight="19.7" customHeight="1"/>
  <cols>
    <col min="1" max="34" width="2.5" style="813" customWidth="1"/>
    <col min="35" max="36" width="2.625" style="815" customWidth="1"/>
    <col min="37" max="37" width="8.5" style="815"/>
    <col min="38" max="38" width="14.625" style="815" hidden="1" customWidth="1"/>
    <col min="39" max="39" width="14.625" style="815" bestFit="1" customWidth="1"/>
    <col min="40" max="40" width="16.75" style="815" bestFit="1" customWidth="1"/>
    <col min="41" max="41" width="19.875" style="815" bestFit="1" customWidth="1"/>
    <col min="42" max="42" width="12.5" style="815" bestFit="1" customWidth="1"/>
    <col min="43" max="43" width="7.875" style="815" bestFit="1" customWidth="1"/>
    <col min="44" max="44" width="12.5" style="815" bestFit="1" customWidth="1"/>
    <col min="45" max="16384" width="8.5" style="815"/>
  </cols>
  <sheetData>
    <row r="2" spans="1:34" ht="19.7" customHeight="1">
      <c r="B2" s="814"/>
      <c r="C2" s="814"/>
      <c r="D2" s="814"/>
      <c r="E2" s="814"/>
      <c r="F2" s="814"/>
      <c r="G2" s="814"/>
      <c r="H2" s="814"/>
      <c r="I2" s="814"/>
      <c r="J2" s="814"/>
      <c r="K2" s="814"/>
      <c r="L2" s="814"/>
      <c r="M2" s="814"/>
      <c r="N2" s="814"/>
      <c r="O2" s="814"/>
      <c r="P2" s="814"/>
      <c r="Q2" s="814"/>
      <c r="R2" s="814"/>
      <c r="S2" s="814"/>
      <c r="T2" s="814"/>
      <c r="U2" s="814"/>
      <c r="V2" s="814"/>
      <c r="W2" s="900"/>
      <c r="X2" s="900"/>
      <c r="Y2" s="900"/>
      <c r="Z2" s="900"/>
      <c r="AA2" s="900"/>
      <c r="AB2" s="900"/>
      <c r="AC2" s="900"/>
      <c r="AD2" s="900"/>
      <c r="AE2" s="900"/>
      <c r="AF2" s="900"/>
      <c r="AG2" s="900"/>
      <c r="AH2" s="900"/>
    </row>
    <row r="3" spans="1:34" ht="19.7" customHeight="1">
      <c r="A3" s="814"/>
      <c r="B3" s="814"/>
      <c r="C3" s="814"/>
      <c r="D3" s="814"/>
      <c r="E3" s="814"/>
      <c r="F3" s="814"/>
      <c r="G3" s="814"/>
      <c r="H3" s="814"/>
      <c r="I3" s="814"/>
      <c r="J3" s="814"/>
      <c r="K3" s="814"/>
      <c r="L3" s="814"/>
      <c r="M3" s="814"/>
      <c r="N3" s="814"/>
      <c r="O3" s="814"/>
      <c r="P3" s="814"/>
      <c r="Q3" s="814"/>
      <c r="R3" s="814"/>
      <c r="S3" s="814"/>
      <c r="T3" s="814"/>
      <c r="U3" s="814"/>
      <c r="V3" s="814"/>
      <c r="X3" s="814"/>
      <c r="Y3" s="814"/>
      <c r="Z3" s="814"/>
      <c r="AA3" s="814"/>
      <c r="AB3" s="814"/>
      <c r="AC3" s="814"/>
      <c r="AD3" s="814"/>
      <c r="AE3" s="814"/>
      <c r="AF3" s="814"/>
      <c r="AG3" s="814"/>
      <c r="AH3" s="814"/>
    </row>
    <row r="4" spans="1:34" ht="19.7" customHeight="1">
      <c r="A4" s="816"/>
      <c r="B4" s="816"/>
      <c r="C4" s="816"/>
      <c r="D4" s="816"/>
      <c r="E4" s="816"/>
      <c r="F4" s="816"/>
      <c r="G4" s="816"/>
      <c r="H4" s="816"/>
      <c r="I4" s="816"/>
      <c r="J4" s="816"/>
      <c r="K4" s="816"/>
      <c r="L4" s="816"/>
      <c r="M4" s="814"/>
      <c r="N4" s="814"/>
      <c r="O4" s="814"/>
      <c r="P4" s="814"/>
      <c r="Q4" s="814"/>
      <c r="R4" s="814"/>
      <c r="S4" s="814"/>
      <c r="T4" s="814"/>
      <c r="U4" s="814"/>
      <c r="V4" s="814"/>
      <c r="X4" s="814"/>
      <c r="Y4" s="814"/>
      <c r="Z4" s="814"/>
      <c r="AA4" s="814"/>
      <c r="AB4" s="814"/>
      <c r="AC4" s="814"/>
      <c r="AD4" s="814"/>
      <c r="AE4" s="814"/>
      <c r="AF4" s="814"/>
      <c r="AG4" s="814"/>
      <c r="AH4" s="814"/>
    </row>
    <row r="5" spans="1:34" ht="19.7" customHeight="1">
      <c r="B5" s="814"/>
      <c r="C5" s="814"/>
      <c r="D5" s="814"/>
      <c r="E5" s="814"/>
      <c r="F5" s="814"/>
      <c r="G5" s="814"/>
      <c r="H5" s="814"/>
      <c r="I5" s="814"/>
      <c r="J5" s="814"/>
      <c r="K5" s="814" t="s">
        <v>909</v>
      </c>
      <c r="L5" s="814"/>
      <c r="M5" s="814"/>
      <c r="N5" s="814"/>
      <c r="O5" s="817"/>
      <c r="P5" s="817"/>
      <c r="Q5" s="901"/>
      <c r="R5" s="901"/>
      <c r="S5" s="901"/>
      <c r="T5" s="901"/>
      <c r="U5" s="901"/>
      <c r="V5" s="901"/>
      <c r="W5" s="901"/>
      <c r="X5" s="901"/>
      <c r="Y5" s="901"/>
      <c r="Z5" s="901"/>
      <c r="AA5" s="901"/>
      <c r="AB5" s="901"/>
      <c r="AC5" s="901"/>
      <c r="AD5" s="901"/>
      <c r="AE5" s="901"/>
      <c r="AF5" s="901"/>
      <c r="AG5" s="901"/>
      <c r="AH5" s="901"/>
    </row>
    <row r="6" spans="1:34" ht="19.7" customHeight="1">
      <c r="B6" s="814"/>
      <c r="C6" s="814"/>
      <c r="D6" s="814"/>
      <c r="E6" s="814"/>
      <c r="F6" s="814"/>
      <c r="G6" s="814"/>
      <c r="H6" s="814"/>
      <c r="I6" s="814"/>
      <c r="J6" s="814"/>
      <c r="K6" s="814" t="s">
        <v>910</v>
      </c>
      <c r="L6" s="814"/>
      <c r="M6" s="814"/>
      <c r="N6" s="814"/>
      <c r="O6" s="902"/>
      <c r="P6" s="902"/>
      <c r="Q6" s="902"/>
      <c r="R6" s="902"/>
      <c r="S6" s="902"/>
      <c r="T6" s="902"/>
      <c r="U6" s="902"/>
      <c r="V6" s="902"/>
      <c r="W6" s="902"/>
      <c r="X6" s="902"/>
      <c r="Y6" s="902"/>
      <c r="Z6" s="902"/>
      <c r="AA6" s="902"/>
      <c r="AB6" s="902"/>
      <c r="AC6" s="902"/>
      <c r="AD6" s="902"/>
      <c r="AE6" s="902"/>
      <c r="AF6" s="902"/>
      <c r="AG6" s="902"/>
      <c r="AH6" s="902"/>
    </row>
    <row r="7" spans="1:34" ht="19.7" customHeight="1">
      <c r="B7" s="814"/>
      <c r="C7" s="814"/>
      <c r="D7" s="814"/>
      <c r="E7" s="814"/>
      <c r="F7" s="814"/>
      <c r="G7" s="814"/>
      <c r="H7" s="814"/>
      <c r="I7" s="814"/>
      <c r="J7" s="814"/>
      <c r="K7" s="814" t="s">
        <v>911</v>
      </c>
      <c r="L7" s="814"/>
      <c r="M7" s="814"/>
      <c r="N7" s="814"/>
      <c r="O7" s="903"/>
      <c r="P7" s="903"/>
      <c r="Q7" s="903"/>
      <c r="R7" s="903"/>
      <c r="S7" s="903"/>
      <c r="T7" s="903"/>
      <c r="U7" s="903"/>
      <c r="V7" s="903"/>
      <c r="W7" s="903"/>
      <c r="X7" s="903"/>
      <c r="Y7" s="903"/>
      <c r="Z7" s="903"/>
      <c r="AA7" s="903"/>
      <c r="AB7" s="903"/>
      <c r="AC7" s="903"/>
      <c r="AD7" s="903"/>
      <c r="AE7" s="903"/>
      <c r="AF7" s="903"/>
      <c r="AG7" s="903"/>
      <c r="AH7" s="903"/>
    </row>
    <row r="8" spans="1:34" ht="19.7" customHeight="1">
      <c r="B8" s="814"/>
      <c r="C8" s="814"/>
      <c r="D8" s="814"/>
      <c r="E8" s="814"/>
      <c r="F8" s="814"/>
      <c r="G8" s="814"/>
      <c r="H8" s="814"/>
      <c r="I8" s="814"/>
      <c r="J8" s="814"/>
      <c r="K8" s="814" t="s">
        <v>912</v>
      </c>
      <c r="L8" s="814"/>
      <c r="M8" s="814"/>
      <c r="N8" s="814"/>
      <c r="O8" s="817"/>
      <c r="P8" s="817"/>
      <c r="Q8" s="817"/>
      <c r="R8" s="902"/>
      <c r="S8" s="902"/>
      <c r="T8" s="902"/>
      <c r="U8" s="902"/>
      <c r="V8" s="902"/>
      <c r="W8" s="902"/>
      <c r="X8" s="902"/>
      <c r="Y8" s="902"/>
      <c r="Z8" s="902"/>
      <c r="AA8" s="902"/>
      <c r="AB8" s="902"/>
      <c r="AC8" s="902"/>
      <c r="AD8" s="902"/>
      <c r="AE8" s="902"/>
      <c r="AF8" s="902"/>
      <c r="AG8" s="902"/>
      <c r="AH8" s="902"/>
    </row>
    <row r="9" spans="1:34" ht="19.7" customHeight="1">
      <c r="B9" s="814"/>
      <c r="C9" s="814"/>
      <c r="D9" s="814"/>
      <c r="E9" s="814"/>
      <c r="F9" s="814"/>
      <c r="G9" s="814"/>
      <c r="H9" s="814"/>
      <c r="I9" s="814"/>
      <c r="J9" s="814"/>
      <c r="K9" s="814"/>
      <c r="L9" s="814"/>
      <c r="M9" s="814"/>
      <c r="N9" s="814"/>
      <c r="O9" s="814"/>
      <c r="P9" s="814"/>
      <c r="Q9" s="814"/>
      <c r="R9" s="814"/>
      <c r="S9" s="814"/>
      <c r="T9" s="814"/>
      <c r="U9" s="814"/>
      <c r="V9" s="814"/>
      <c r="X9" s="814"/>
      <c r="Y9" s="814"/>
      <c r="Z9" s="814"/>
      <c r="AA9" s="814"/>
      <c r="AB9" s="814"/>
      <c r="AC9" s="814"/>
      <c r="AD9" s="814"/>
      <c r="AE9" s="814"/>
      <c r="AF9" s="814"/>
      <c r="AG9" s="814"/>
      <c r="AH9" s="814"/>
    </row>
    <row r="10" spans="1:34" ht="19.7" customHeight="1">
      <c r="B10" s="814"/>
      <c r="C10" s="814"/>
      <c r="D10" s="814"/>
      <c r="E10" s="814"/>
      <c r="F10" s="814"/>
      <c r="G10" s="814"/>
      <c r="H10" s="814"/>
      <c r="I10" s="814"/>
      <c r="J10" s="814"/>
      <c r="K10" s="814" t="s">
        <v>913</v>
      </c>
      <c r="L10" s="814"/>
      <c r="M10" s="814"/>
      <c r="N10" s="814"/>
      <c r="O10" s="818"/>
      <c r="P10" s="818"/>
      <c r="Q10" s="899"/>
      <c r="R10" s="899"/>
      <c r="S10" s="899"/>
      <c r="T10" s="899"/>
      <c r="U10" s="899"/>
      <c r="V10" s="899"/>
      <c r="W10" s="899"/>
      <c r="X10" s="899"/>
      <c r="Y10" s="899"/>
      <c r="Z10" s="899"/>
      <c r="AA10" s="899"/>
      <c r="AB10" s="899"/>
      <c r="AC10" s="899"/>
      <c r="AD10" s="899"/>
      <c r="AE10" s="899"/>
      <c r="AF10" s="899"/>
      <c r="AG10" s="899"/>
      <c r="AH10" s="899"/>
    </row>
    <row r="11" spans="1:34" ht="19.7" customHeight="1">
      <c r="B11" s="814"/>
      <c r="C11" s="814"/>
      <c r="D11" s="814"/>
      <c r="E11" s="814"/>
      <c r="F11" s="814"/>
      <c r="G11" s="814"/>
      <c r="H11" s="814"/>
      <c r="I11" s="814"/>
      <c r="J11" s="814"/>
      <c r="K11" s="814" t="s">
        <v>910</v>
      </c>
      <c r="L11" s="814"/>
      <c r="M11" s="814"/>
      <c r="N11" s="814"/>
      <c r="O11" s="898"/>
      <c r="P11" s="898"/>
      <c r="Q11" s="898"/>
      <c r="R11" s="898"/>
      <c r="S11" s="898"/>
      <c r="T11" s="898"/>
      <c r="U11" s="898"/>
      <c r="V11" s="898"/>
      <c r="W11" s="898"/>
      <c r="X11" s="898"/>
      <c r="Y11" s="898"/>
      <c r="Z11" s="898"/>
      <c r="AA11" s="898"/>
      <c r="AB11" s="898"/>
      <c r="AC11" s="898"/>
      <c r="AD11" s="898"/>
      <c r="AE11" s="898"/>
      <c r="AF11" s="898"/>
      <c r="AG11" s="898"/>
      <c r="AH11" s="898"/>
    </row>
    <row r="12" spans="1:34" ht="19.7" customHeight="1">
      <c r="B12" s="814"/>
      <c r="C12" s="814"/>
      <c r="D12" s="814"/>
      <c r="E12" s="814"/>
      <c r="F12" s="814"/>
      <c r="G12" s="814"/>
      <c r="H12" s="814"/>
      <c r="I12" s="814"/>
      <c r="J12" s="814"/>
      <c r="K12" s="814" t="s">
        <v>911</v>
      </c>
      <c r="L12" s="814"/>
      <c r="M12" s="814"/>
      <c r="N12" s="814"/>
      <c r="O12" s="898"/>
      <c r="P12" s="898"/>
      <c r="Q12" s="898"/>
      <c r="R12" s="898"/>
      <c r="S12" s="898"/>
      <c r="T12" s="898"/>
      <c r="U12" s="898"/>
      <c r="V12" s="898"/>
      <c r="W12" s="898"/>
      <c r="X12" s="898"/>
      <c r="Y12" s="898"/>
      <c r="Z12" s="898"/>
      <c r="AA12" s="898"/>
      <c r="AB12" s="898"/>
      <c r="AC12" s="898"/>
      <c r="AD12" s="898"/>
      <c r="AE12" s="898"/>
      <c r="AF12" s="898"/>
      <c r="AG12" s="898"/>
      <c r="AH12" s="898"/>
    </row>
    <row r="13" spans="1:34" ht="19.7" customHeight="1">
      <c r="B13" s="814"/>
      <c r="C13" s="814"/>
      <c r="D13" s="814"/>
      <c r="E13" s="814"/>
      <c r="F13" s="814"/>
      <c r="G13" s="814"/>
      <c r="H13" s="814"/>
      <c r="I13" s="814"/>
      <c r="J13" s="814"/>
      <c r="K13" s="814" t="s">
        <v>914</v>
      </c>
      <c r="L13" s="814"/>
      <c r="M13" s="814"/>
      <c r="N13" s="814"/>
      <c r="O13" s="818"/>
      <c r="P13" s="818"/>
      <c r="Q13" s="818"/>
      <c r="R13" s="898"/>
      <c r="S13" s="898"/>
      <c r="T13" s="898"/>
      <c r="U13" s="898"/>
      <c r="V13" s="898"/>
      <c r="W13" s="898"/>
      <c r="X13" s="898"/>
      <c r="Y13" s="898"/>
      <c r="Z13" s="898"/>
      <c r="AA13" s="898"/>
      <c r="AB13" s="898"/>
      <c r="AC13" s="898"/>
      <c r="AD13" s="898"/>
      <c r="AE13" s="898"/>
      <c r="AF13" s="898"/>
      <c r="AG13" s="898"/>
      <c r="AH13" s="898"/>
    </row>
    <row r="14" spans="1:34" ht="19.7" customHeight="1">
      <c r="B14" s="814"/>
      <c r="C14" s="814"/>
      <c r="D14" s="814"/>
      <c r="E14" s="814"/>
      <c r="F14" s="814"/>
      <c r="G14" s="814"/>
      <c r="H14" s="814"/>
      <c r="I14" s="814"/>
      <c r="J14" s="814"/>
      <c r="K14" s="814"/>
      <c r="L14" s="814"/>
      <c r="M14" s="814"/>
      <c r="N14" s="814"/>
      <c r="O14" s="814"/>
      <c r="P14" s="814"/>
      <c r="Q14" s="814"/>
      <c r="R14" s="814"/>
      <c r="S14" s="814"/>
      <c r="T14" s="814"/>
      <c r="U14" s="814"/>
      <c r="V14" s="814"/>
      <c r="X14" s="814"/>
      <c r="Y14" s="814"/>
      <c r="Z14" s="814"/>
      <c r="AA14" s="814"/>
      <c r="AB14" s="814"/>
      <c r="AC14" s="814"/>
      <c r="AD14" s="814"/>
      <c r="AE14" s="814"/>
      <c r="AF14" s="814"/>
      <c r="AG14" s="814"/>
      <c r="AH14" s="814"/>
    </row>
    <row r="15" spans="1:34" ht="19.7" customHeight="1">
      <c r="A15" s="814"/>
      <c r="B15" s="814"/>
      <c r="C15" s="814"/>
      <c r="D15" s="814"/>
      <c r="E15" s="814"/>
      <c r="F15" s="814"/>
      <c r="G15" s="814"/>
      <c r="H15" s="814"/>
      <c r="I15" s="814"/>
      <c r="J15" s="814"/>
      <c r="K15" s="814"/>
      <c r="L15" s="814"/>
      <c r="M15" s="814"/>
      <c r="N15" s="814"/>
      <c r="O15" s="814"/>
      <c r="P15" s="814"/>
      <c r="Q15" s="814"/>
      <c r="R15" s="814"/>
      <c r="S15" s="814"/>
      <c r="T15" s="814"/>
      <c r="U15" s="814"/>
      <c r="V15" s="814"/>
      <c r="W15" s="814"/>
      <c r="X15" s="814"/>
      <c r="Y15" s="814"/>
      <c r="Z15" s="814"/>
      <c r="AA15" s="814"/>
      <c r="AB15" s="814"/>
      <c r="AC15" s="814"/>
      <c r="AD15" s="814"/>
      <c r="AE15" s="814"/>
      <c r="AF15" s="814"/>
      <c r="AG15" s="814"/>
      <c r="AH15" s="814"/>
    </row>
    <row r="16" spans="1:34" ht="19.7" customHeight="1">
      <c r="A16" s="897" t="s">
        <v>957</v>
      </c>
      <c r="B16" s="897"/>
      <c r="C16" s="897"/>
      <c r="D16" s="897"/>
      <c r="E16" s="897"/>
      <c r="F16" s="897"/>
      <c r="G16" s="897"/>
      <c r="H16" s="897"/>
      <c r="I16" s="897"/>
      <c r="J16" s="897"/>
      <c r="K16" s="897"/>
      <c r="L16" s="897"/>
      <c r="M16" s="897"/>
      <c r="N16" s="897"/>
      <c r="O16" s="897"/>
      <c r="P16" s="897"/>
      <c r="Q16" s="897"/>
      <c r="R16" s="897"/>
      <c r="S16" s="897"/>
      <c r="T16" s="897"/>
      <c r="U16" s="897"/>
      <c r="V16" s="897"/>
      <c r="W16" s="897"/>
      <c r="X16" s="897"/>
      <c r="Y16" s="897"/>
      <c r="Z16" s="897"/>
      <c r="AA16" s="897"/>
      <c r="AB16" s="897"/>
      <c r="AC16" s="897"/>
      <c r="AD16" s="897"/>
      <c r="AE16" s="897"/>
      <c r="AF16" s="897"/>
      <c r="AG16" s="897"/>
      <c r="AH16" s="897"/>
    </row>
    <row r="17" spans="1:35" ht="19.7" customHeight="1">
      <c r="A17" s="897" t="s">
        <v>915</v>
      </c>
      <c r="B17" s="897"/>
      <c r="C17" s="897"/>
      <c r="D17" s="897"/>
      <c r="E17" s="897"/>
      <c r="F17" s="897"/>
      <c r="G17" s="897"/>
      <c r="H17" s="897"/>
      <c r="I17" s="897"/>
      <c r="J17" s="897"/>
      <c r="K17" s="897"/>
      <c r="L17" s="897"/>
      <c r="M17" s="897"/>
      <c r="N17" s="897"/>
      <c r="O17" s="897"/>
      <c r="P17" s="897"/>
      <c r="Q17" s="897"/>
      <c r="R17" s="897"/>
      <c r="S17" s="897"/>
      <c r="T17" s="897"/>
      <c r="U17" s="897"/>
      <c r="V17" s="897"/>
      <c r="W17" s="897"/>
      <c r="X17" s="897"/>
      <c r="Y17" s="897"/>
      <c r="Z17" s="897"/>
      <c r="AA17" s="897"/>
      <c r="AB17" s="897"/>
      <c r="AC17" s="897"/>
      <c r="AD17" s="897"/>
      <c r="AE17" s="897"/>
      <c r="AF17" s="897"/>
      <c r="AG17" s="897"/>
      <c r="AH17" s="897"/>
    </row>
    <row r="18" spans="1:35" ht="19.7" customHeight="1">
      <c r="A18" s="897" t="s">
        <v>956</v>
      </c>
      <c r="B18" s="897"/>
      <c r="C18" s="897"/>
      <c r="D18" s="897"/>
      <c r="E18" s="897"/>
      <c r="F18" s="897"/>
      <c r="G18" s="897"/>
      <c r="H18" s="897"/>
      <c r="I18" s="897"/>
      <c r="J18" s="897"/>
      <c r="K18" s="897"/>
      <c r="L18" s="897"/>
      <c r="M18" s="897"/>
      <c r="N18" s="897"/>
      <c r="O18" s="897"/>
      <c r="P18" s="897"/>
      <c r="Q18" s="897"/>
      <c r="R18" s="897"/>
      <c r="S18" s="897"/>
      <c r="T18" s="897"/>
      <c r="U18" s="897"/>
      <c r="V18" s="897"/>
      <c r="W18" s="897"/>
      <c r="X18" s="897"/>
      <c r="Y18" s="897"/>
      <c r="Z18" s="897"/>
      <c r="AA18" s="897"/>
      <c r="AB18" s="897"/>
      <c r="AC18" s="897"/>
      <c r="AD18" s="897"/>
      <c r="AE18" s="897"/>
      <c r="AF18" s="897"/>
      <c r="AG18" s="897"/>
      <c r="AH18" s="897"/>
    </row>
    <row r="19" spans="1:35" ht="19.7" customHeight="1">
      <c r="A19" s="831"/>
      <c r="B19" s="831"/>
      <c r="C19" s="831"/>
      <c r="D19" s="831"/>
      <c r="E19" s="831"/>
      <c r="F19" s="831"/>
      <c r="G19" s="831"/>
      <c r="H19" s="831"/>
      <c r="I19" s="831"/>
      <c r="J19" s="831"/>
      <c r="K19" s="831"/>
      <c r="L19" s="831"/>
      <c r="M19" s="831"/>
      <c r="N19" s="831"/>
      <c r="O19" s="831"/>
      <c r="P19" s="831"/>
      <c r="Q19" s="831"/>
      <c r="R19" s="831"/>
      <c r="S19" s="831"/>
      <c r="T19" s="831"/>
      <c r="U19" s="831"/>
      <c r="V19" s="831"/>
      <c r="W19" s="831"/>
      <c r="X19" s="831"/>
      <c r="Y19" s="831"/>
      <c r="Z19" s="831"/>
      <c r="AA19" s="831"/>
      <c r="AB19" s="831"/>
      <c r="AC19" s="831"/>
      <c r="AD19" s="831"/>
      <c r="AE19" s="831"/>
      <c r="AF19" s="831"/>
      <c r="AG19" s="831"/>
      <c r="AH19" s="831"/>
    </row>
    <row r="20" spans="1:35" ht="19.7" customHeight="1">
      <c r="A20" s="831"/>
      <c r="B20" s="831"/>
      <c r="C20" s="831"/>
      <c r="D20" s="831"/>
      <c r="E20" s="831"/>
      <c r="F20" s="831"/>
      <c r="G20" s="831"/>
      <c r="H20" s="831"/>
      <c r="I20" s="831"/>
      <c r="J20" s="831"/>
      <c r="K20" s="831"/>
      <c r="L20" s="831"/>
      <c r="M20" s="831"/>
      <c r="N20" s="831"/>
      <c r="O20" s="831"/>
      <c r="P20" s="831"/>
      <c r="Q20" s="831"/>
      <c r="R20" s="831"/>
      <c r="S20" s="831"/>
      <c r="T20" s="831"/>
      <c r="U20" s="831"/>
      <c r="V20" s="831"/>
      <c r="W20" s="831"/>
      <c r="X20" s="831"/>
      <c r="Y20" s="831"/>
      <c r="Z20" s="831"/>
      <c r="AA20" s="831"/>
      <c r="AB20" s="831"/>
      <c r="AC20" s="831"/>
      <c r="AD20" s="831"/>
      <c r="AE20" s="831"/>
      <c r="AF20" s="831"/>
      <c r="AG20" s="831"/>
      <c r="AH20" s="831"/>
    </row>
    <row r="21" spans="1:35" ht="19.7" customHeight="1">
      <c r="A21" s="814"/>
      <c r="B21" s="814"/>
      <c r="C21" s="814"/>
      <c r="D21" s="814"/>
      <c r="E21" s="814"/>
      <c r="F21" s="814"/>
      <c r="G21" s="814"/>
      <c r="H21" s="814"/>
      <c r="I21" s="814"/>
      <c r="J21" s="814"/>
      <c r="K21" s="814"/>
      <c r="L21" s="814"/>
      <c r="M21" s="814"/>
      <c r="N21" s="814"/>
      <c r="O21" s="814"/>
      <c r="P21" s="814"/>
      <c r="Q21" s="814"/>
      <c r="R21" s="814"/>
      <c r="S21" s="814"/>
      <c r="T21" s="814"/>
      <c r="U21" s="814"/>
      <c r="V21" s="814"/>
      <c r="W21" s="814"/>
      <c r="X21" s="814"/>
      <c r="Y21" s="814"/>
      <c r="Z21" s="814"/>
      <c r="AA21" s="814"/>
      <c r="AB21" s="814"/>
      <c r="AC21" s="814"/>
      <c r="AD21" s="814"/>
      <c r="AE21" s="814"/>
      <c r="AF21" s="814"/>
      <c r="AG21" s="814"/>
      <c r="AH21" s="814"/>
    </row>
    <row r="22" spans="1:35" ht="19.7" customHeight="1">
      <c r="A22" s="814"/>
      <c r="B22" s="814"/>
      <c r="C22" s="814"/>
      <c r="D22" s="814"/>
      <c r="E22" s="814"/>
      <c r="F22" s="814"/>
      <c r="G22" s="814"/>
      <c r="H22" s="814"/>
      <c r="I22" s="814"/>
      <c r="J22" s="832"/>
      <c r="K22" s="832"/>
      <c r="L22" s="832"/>
      <c r="M22" s="832"/>
      <c r="N22" s="832"/>
      <c r="O22" s="832"/>
      <c r="P22" s="832"/>
      <c r="Q22" s="832"/>
      <c r="R22" s="832"/>
      <c r="S22" s="814"/>
      <c r="T22" s="814"/>
      <c r="U22" s="814"/>
      <c r="V22" s="814"/>
      <c r="W22" s="814"/>
      <c r="X22" s="814"/>
      <c r="Y22" s="814"/>
      <c r="Z22" s="814"/>
      <c r="AA22" s="814"/>
      <c r="AB22" s="814"/>
      <c r="AC22" s="814"/>
      <c r="AD22" s="814"/>
      <c r="AE22" s="814"/>
      <c r="AF22" s="814"/>
      <c r="AG22" s="814"/>
      <c r="AH22" s="814"/>
    </row>
    <row r="23" spans="1:35" ht="19.7" customHeight="1">
      <c r="A23" s="814"/>
      <c r="B23" s="814"/>
      <c r="C23" s="814"/>
      <c r="D23" s="814"/>
      <c r="E23" s="814"/>
      <c r="F23" s="814"/>
      <c r="G23" s="814"/>
      <c r="H23" s="814"/>
      <c r="I23" s="814"/>
      <c r="J23" s="814"/>
      <c r="K23" s="814"/>
      <c r="L23" s="814"/>
      <c r="M23" s="814"/>
      <c r="N23" s="814"/>
      <c r="O23" s="814"/>
      <c r="P23" s="814"/>
      <c r="Q23" s="814"/>
      <c r="R23" s="814"/>
      <c r="S23" s="814"/>
      <c r="T23" s="814"/>
      <c r="U23" s="814"/>
      <c r="V23" s="814"/>
      <c r="W23" s="814"/>
      <c r="X23" s="814"/>
      <c r="Y23" s="814"/>
      <c r="Z23" s="814"/>
      <c r="AA23" s="814"/>
      <c r="AB23" s="814"/>
      <c r="AC23" s="814"/>
      <c r="AD23" s="814"/>
      <c r="AE23" s="814"/>
      <c r="AF23" s="814"/>
      <c r="AG23" s="814"/>
      <c r="AH23" s="814"/>
    </row>
    <row r="24" spans="1:35" ht="19.7" customHeight="1">
      <c r="A24" s="814"/>
      <c r="B24" s="814"/>
      <c r="C24" s="814"/>
      <c r="D24" s="814"/>
      <c r="E24" s="814"/>
      <c r="F24" s="814"/>
      <c r="G24" s="814"/>
      <c r="H24" s="814"/>
      <c r="I24" s="814"/>
      <c r="J24" s="814"/>
      <c r="K24" s="814"/>
      <c r="L24" s="814"/>
      <c r="M24" s="814"/>
      <c r="N24" s="814"/>
      <c r="O24" s="814"/>
      <c r="P24" s="814"/>
      <c r="Q24" s="814"/>
      <c r="R24" s="814"/>
      <c r="S24" s="814"/>
      <c r="T24" s="814"/>
      <c r="U24" s="814"/>
      <c r="V24" s="814"/>
      <c r="W24" s="814"/>
      <c r="X24" s="814"/>
      <c r="Y24" s="814"/>
      <c r="Z24" s="814"/>
      <c r="AA24" s="814"/>
      <c r="AB24" s="814"/>
      <c r="AC24" s="814"/>
      <c r="AD24" s="814"/>
      <c r="AE24" s="814"/>
      <c r="AF24" s="814"/>
      <c r="AG24" s="814"/>
      <c r="AH24" s="814"/>
      <c r="AI24" s="819"/>
    </row>
    <row r="25" spans="1:35" ht="19.7" customHeight="1">
      <c r="A25" s="830"/>
      <c r="B25" s="830"/>
      <c r="C25" s="830"/>
      <c r="D25" s="830"/>
      <c r="E25" s="830"/>
      <c r="F25" s="830"/>
      <c r="G25" s="830"/>
      <c r="H25" s="830"/>
      <c r="I25" s="830"/>
      <c r="J25" s="830"/>
      <c r="K25" s="830"/>
      <c r="L25" s="830"/>
      <c r="M25" s="830"/>
      <c r="N25" s="830"/>
      <c r="O25" s="830"/>
      <c r="P25" s="830"/>
      <c r="Q25" s="830"/>
      <c r="R25" s="830"/>
      <c r="S25" s="830"/>
      <c r="T25" s="830"/>
      <c r="U25" s="830"/>
      <c r="V25" s="830"/>
      <c r="W25" s="830"/>
      <c r="X25" s="830"/>
      <c r="Y25" s="830"/>
      <c r="Z25" s="830"/>
      <c r="AA25" s="830"/>
      <c r="AB25" s="830"/>
      <c r="AC25" s="830"/>
      <c r="AD25" s="830"/>
      <c r="AE25" s="830"/>
      <c r="AF25" s="830"/>
      <c r="AG25" s="830"/>
      <c r="AH25" s="830"/>
      <c r="AI25" s="819"/>
    </row>
    <row r="26" spans="1:35" ht="19.7" customHeight="1">
      <c r="A26" s="830"/>
      <c r="B26" s="830"/>
      <c r="C26" s="830"/>
      <c r="D26" s="830"/>
      <c r="E26" s="830"/>
      <c r="F26" s="830"/>
      <c r="G26" s="830"/>
      <c r="H26" s="830"/>
      <c r="I26" s="830"/>
      <c r="J26" s="830"/>
      <c r="K26" s="830"/>
      <c r="L26" s="830"/>
      <c r="M26" s="830"/>
      <c r="N26" s="830"/>
      <c r="O26" s="830"/>
      <c r="P26" s="830"/>
      <c r="Q26" s="830"/>
      <c r="R26" s="830"/>
      <c r="S26" s="830"/>
      <c r="T26" s="830"/>
      <c r="U26" s="830"/>
      <c r="V26" s="830"/>
      <c r="W26" s="830"/>
      <c r="X26" s="830"/>
      <c r="Y26" s="830"/>
      <c r="Z26" s="830"/>
      <c r="AA26" s="830"/>
      <c r="AB26" s="830"/>
      <c r="AC26" s="830"/>
      <c r="AD26" s="830"/>
      <c r="AE26" s="830"/>
      <c r="AF26" s="830"/>
      <c r="AG26" s="830"/>
      <c r="AH26" s="830"/>
      <c r="AI26" s="819"/>
    </row>
    <row r="27" spans="1:35" ht="19.7" customHeight="1">
      <c r="A27" s="814"/>
      <c r="B27" s="814"/>
      <c r="C27" s="814"/>
      <c r="D27" s="814"/>
      <c r="E27" s="814"/>
      <c r="F27" s="814"/>
      <c r="G27" s="814"/>
      <c r="H27" s="814"/>
      <c r="I27" s="814"/>
      <c r="J27" s="814"/>
      <c r="K27" s="814"/>
      <c r="L27" s="814"/>
      <c r="M27" s="814"/>
      <c r="N27" s="814"/>
      <c r="O27" s="814"/>
      <c r="P27" s="814"/>
      <c r="Q27" s="814"/>
      <c r="R27" s="814"/>
      <c r="S27" s="814"/>
      <c r="T27" s="814"/>
      <c r="U27" s="814"/>
      <c r="V27" s="814"/>
      <c r="W27" s="814"/>
      <c r="X27" s="814"/>
      <c r="Y27" s="814"/>
      <c r="Z27" s="814"/>
      <c r="AA27" s="814"/>
      <c r="AB27" s="814"/>
      <c r="AC27" s="814"/>
      <c r="AD27" s="814"/>
      <c r="AE27" s="814"/>
      <c r="AF27" s="814"/>
      <c r="AG27" s="814"/>
      <c r="AH27" s="814"/>
      <c r="AI27" s="819"/>
    </row>
    <row r="28" spans="1:35" ht="19.7" customHeight="1">
      <c r="A28" s="814"/>
      <c r="B28" s="820"/>
      <c r="C28" s="820"/>
      <c r="D28" s="820"/>
      <c r="E28" s="820"/>
      <c r="F28" s="820"/>
      <c r="G28" s="820"/>
      <c r="H28" s="820"/>
      <c r="I28" s="820"/>
      <c r="J28" s="820"/>
      <c r="K28" s="820"/>
      <c r="L28" s="820"/>
      <c r="M28" s="820"/>
      <c r="N28" s="820"/>
      <c r="O28" s="814"/>
      <c r="P28" s="814"/>
      <c r="Q28" s="814"/>
      <c r="R28" s="814"/>
      <c r="S28" s="814"/>
      <c r="T28" s="814"/>
      <c r="U28" s="814"/>
      <c r="V28" s="814"/>
      <c r="W28" s="814"/>
      <c r="X28" s="814"/>
      <c r="Y28" s="814"/>
      <c r="Z28" s="814"/>
      <c r="AA28" s="814"/>
      <c r="AB28" s="814"/>
      <c r="AC28" s="814"/>
      <c r="AD28" s="814"/>
      <c r="AE28" s="814"/>
      <c r="AF28" s="814"/>
      <c r="AG28" s="814"/>
      <c r="AH28" s="814"/>
    </row>
    <row r="29" spans="1:35" ht="19.7" customHeight="1">
      <c r="A29" s="814"/>
      <c r="B29" s="820"/>
      <c r="C29" s="820"/>
      <c r="D29" s="820"/>
      <c r="E29" s="820"/>
      <c r="F29" s="820"/>
      <c r="G29" s="820"/>
      <c r="H29" s="820"/>
      <c r="I29" s="820"/>
      <c r="J29" s="820"/>
      <c r="K29" s="820"/>
      <c r="L29" s="820"/>
      <c r="M29" s="820"/>
      <c r="N29" s="820"/>
      <c r="O29" s="814"/>
      <c r="P29" s="814"/>
      <c r="Q29" s="814"/>
      <c r="R29" s="814"/>
      <c r="S29" s="814"/>
      <c r="T29" s="814"/>
      <c r="U29" s="814"/>
      <c r="V29" s="814"/>
      <c r="W29" s="814"/>
      <c r="X29" s="814"/>
      <c r="Y29" s="814"/>
      <c r="Z29" s="814"/>
      <c r="AA29" s="814"/>
      <c r="AB29" s="814"/>
      <c r="AC29" s="814"/>
      <c r="AD29" s="814"/>
      <c r="AE29" s="814"/>
      <c r="AF29" s="814"/>
      <c r="AG29" s="814"/>
      <c r="AH29" s="814"/>
    </row>
    <row r="30" spans="1:35" ht="19.7" customHeight="1">
      <c r="A30" s="814"/>
      <c r="B30" s="814"/>
      <c r="C30" s="814"/>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814"/>
      <c r="AC30" s="814"/>
      <c r="AD30" s="814"/>
      <c r="AE30" s="814"/>
      <c r="AF30" s="814"/>
      <c r="AG30" s="814"/>
      <c r="AH30" s="814"/>
    </row>
    <row r="31" spans="1:35" ht="19.7" customHeight="1">
      <c r="A31" s="814"/>
      <c r="B31" s="814"/>
      <c r="C31" s="814"/>
      <c r="D31" s="814"/>
      <c r="E31" s="814"/>
      <c r="F31" s="814"/>
      <c r="G31" s="814"/>
      <c r="H31" s="814"/>
      <c r="I31" s="814"/>
      <c r="J31" s="814"/>
      <c r="K31" s="814"/>
      <c r="L31" s="814"/>
      <c r="M31" s="814"/>
      <c r="N31" s="814"/>
      <c r="O31" s="814"/>
      <c r="P31" s="814"/>
      <c r="Q31" s="814"/>
      <c r="R31" s="814"/>
      <c r="S31" s="814"/>
      <c r="T31" s="814"/>
      <c r="U31" s="814"/>
      <c r="V31" s="814"/>
      <c r="W31" s="814"/>
      <c r="X31" s="814"/>
      <c r="Y31" s="814"/>
      <c r="Z31" s="814"/>
      <c r="AA31" s="814"/>
      <c r="AB31" s="814"/>
      <c r="AC31" s="814"/>
      <c r="AD31" s="814"/>
      <c r="AE31" s="814"/>
      <c r="AF31" s="814"/>
      <c r="AG31" s="814"/>
      <c r="AH31" s="814"/>
    </row>
    <row r="32" spans="1:35" ht="19.7" customHeight="1">
      <c r="A32" s="814"/>
      <c r="B32" s="814"/>
      <c r="C32" s="814"/>
      <c r="D32" s="814"/>
      <c r="E32" s="814"/>
      <c r="F32" s="814"/>
      <c r="G32" s="814"/>
      <c r="H32" s="814"/>
      <c r="I32" s="814"/>
      <c r="J32" s="814"/>
      <c r="K32" s="814"/>
      <c r="L32" s="814"/>
      <c r="M32" s="814"/>
      <c r="N32" s="814"/>
      <c r="O32" s="814"/>
      <c r="P32" s="814"/>
      <c r="Q32" s="814"/>
      <c r="R32" s="814"/>
      <c r="S32" s="814"/>
      <c r="T32" s="814"/>
      <c r="U32" s="814"/>
      <c r="V32" s="814"/>
      <c r="W32" s="814"/>
      <c r="X32" s="814"/>
      <c r="Y32" s="814"/>
      <c r="Z32" s="814"/>
      <c r="AA32" s="814"/>
      <c r="AB32" s="814"/>
      <c r="AC32" s="814"/>
      <c r="AD32" s="814"/>
      <c r="AE32" s="814"/>
      <c r="AF32" s="814"/>
      <c r="AG32" s="814"/>
      <c r="AH32" s="814"/>
    </row>
    <row r="33" spans="1:34" ht="19.7" customHeight="1">
      <c r="A33" s="814"/>
      <c r="B33" s="814"/>
      <c r="C33" s="814"/>
      <c r="D33" s="814"/>
      <c r="E33" s="814"/>
      <c r="F33" s="814"/>
      <c r="G33" s="814"/>
      <c r="H33" s="814"/>
      <c r="I33" s="814"/>
      <c r="J33" s="814"/>
      <c r="K33" s="814"/>
      <c r="L33" s="814"/>
      <c r="M33" s="814"/>
      <c r="N33" s="814"/>
      <c r="O33" s="814"/>
      <c r="P33" s="814"/>
      <c r="Q33" s="814"/>
      <c r="R33" s="814"/>
      <c r="S33" s="814"/>
      <c r="T33" s="814"/>
      <c r="U33" s="814"/>
      <c r="V33" s="814"/>
      <c r="W33" s="814"/>
      <c r="X33" s="814"/>
      <c r="Y33" s="814"/>
      <c r="Z33" s="814"/>
      <c r="AA33" s="814"/>
      <c r="AB33" s="814"/>
      <c r="AC33" s="814"/>
      <c r="AD33" s="814"/>
      <c r="AE33" s="814"/>
      <c r="AF33" s="814"/>
      <c r="AG33" s="814"/>
      <c r="AH33" s="814"/>
    </row>
    <row r="34" spans="1:34" ht="19.7" customHeight="1">
      <c r="A34" s="814"/>
      <c r="B34" s="814"/>
      <c r="C34" s="814"/>
      <c r="D34" s="814"/>
      <c r="E34" s="814"/>
      <c r="F34" s="814"/>
      <c r="G34" s="814"/>
      <c r="H34" s="814"/>
      <c r="I34" s="814"/>
      <c r="J34" s="814"/>
      <c r="K34" s="814"/>
      <c r="L34" s="814"/>
      <c r="M34" s="814"/>
      <c r="N34" s="814"/>
      <c r="O34" s="814"/>
      <c r="P34" s="814"/>
      <c r="Q34" s="814"/>
      <c r="R34" s="814"/>
      <c r="S34" s="814"/>
      <c r="T34" s="814"/>
      <c r="U34" s="814"/>
      <c r="V34" s="814"/>
      <c r="W34" s="814"/>
      <c r="X34" s="814"/>
      <c r="Y34" s="814"/>
      <c r="Z34" s="814"/>
      <c r="AA34" s="814"/>
      <c r="AB34" s="814"/>
      <c r="AC34" s="814"/>
      <c r="AD34" s="814"/>
      <c r="AE34" s="814"/>
      <c r="AF34" s="814"/>
      <c r="AG34" s="814"/>
      <c r="AH34" s="814"/>
    </row>
    <row r="35" spans="1:34" ht="19.7" customHeight="1">
      <c r="A35" s="821"/>
      <c r="B35" s="814"/>
      <c r="C35" s="814"/>
      <c r="D35" s="814"/>
      <c r="E35" s="814"/>
      <c r="F35" s="814"/>
      <c r="G35" s="814"/>
      <c r="H35" s="814"/>
      <c r="I35" s="814"/>
      <c r="J35" s="814"/>
      <c r="K35" s="814"/>
      <c r="L35" s="814"/>
      <c r="M35" s="814"/>
      <c r="N35" s="814"/>
      <c r="O35" s="814"/>
      <c r="P35" s="814"/>
      <c r="Q35" s="814"/>
      <c r="R35" s="814"/>
      <c r="S35" s="814"/>
      <c r="T35" s="814"/>
      <c r="U35" s="814"/>
      <c r="V35" s="814"/>
      <c r="W35" s="814"/>
      <c r="X35" s="814"/>
      <c r="Y35" s="814"/>
      <c r="Z35" s="814"/>
      <c r="AA35" s="814"/>
      <c r="AB35" s="814"/>
      <c r="AC35" s="814"/>
      <c r="AD35" s="814"/>
      <c r="AE35" s="814"/>
      <c r="AF35" s="814"/>
      <c r="AG35" s="814"/>
      <c r="AH35" s="814"/>
    </row>
    <row r="36" spans="1:34" ht="19.7" customHeight="1">
      <c r="A36" s="822"/>
      <c r="B36" s="821"/>
      <c r="C36" s="814"/>
      <c r="D36" s="814"/>
      <c r="E36" s="814"/>
      <c r="F36" s="814"/>
      <c r="G36" s="814"/>
      <c r="H36" s="814"/>
      <c r="I36" s="814"/>
      <c r="J36" s="814"/>
      <c r="K36" s="814"/>
      <c r="L36" s="814"/>
      <c r="M36" s="814"/>
      <c r="N36" s="814"/>
      <c r="O36" s="814"/>
      <c r="P36" s="814"/>
      <c r="Q36" s="814"/>
      <c r="R36" s="814"/>
      <c r="S36" s="814"/>
      <c r="T36" s="814"/>
      <c r="U36" s="814"/>
      <c r="V36" s="814"/>
      <c r="W36" s="814"/>
      <c r="X36" s="814"/>
      <c r="Y36" s="814"/>
      <c r="Z36" s="814"/>
      <c r="AA36" s="814"/>
      <c r="AB36" s="814"/>
      <c r="AC36" s="814"/>
      <c r="AD36" s="814"/>
      <c r="AE36" s="814"/>
      <c r="AF36" s="814"/>
      <c r="AG36" s="814"/>
      <c r="AH36" s="814"/>
    </row>
    <row r="37" spans="1:34" ht="19.7" customHeight="1">
      <c r="A37" s="821"/>
      <c r="B37" s="814"/>
      <c r="C37" s="814"/>
      <c r="D37" s="814"/>
      <c r="E37" s="814"/>
      <c r="F37" s="814"/>
      <c r="G37" s="814"/>
      <c r="H37" s="814"/>
      <c r="I37" s="814"/>
      <c r="J37" s="814"/>
      <c r="K37" s="814"/>
      <c r="L37" s="814"/>
      <c r="M37" s="814"/>
      <c r="N37" s="814"/>
      <c r="O37" s="814"/>
      <c r="P37" s="814"/>
      <c r="Q37" s="814"/>
      <c r="R37" s="814"/>
      <c r="S37" s="814"/>
      <c r="T37" s="814"/>
      <c r="U37" s="814"/>
      <c r="V37" s="814"/>
      <c r="W37" s="814"/>
      <c r="X37" s="814"/>
      <c r="Y37" s="814"/>
      <c r="Z37" s="814"/>
      <c r="AA37" s="814"/>
      <c r="AB37" s="814"/>
      <c r="AC37" s="814"/>
      <c r="AD37" s="814"/>
      <c r="AE37" s="814"/>
      <c r="AF37" s="814"/>
      <c r="AG37" s="814"/>
      <c r="AH37" s="814"/>
    </row>
    <row r="38" spans="1:34" ht="19.7" customHeight="1">
      <c r="B38" s="814"/>
      <c r="C38" s="814"/>
      <c r="D38" s="814"/>
      <c r="E38" s="814"/>
      <c r="F38" s="814"/>
      <c r="G38" s="814"/>
      <c r="H38" s="814"/>
      <c r="I38" s="814"/>
      <c r="J38" s="814"/>
      <c r="K38" s="814"/>
      <c r="L38" s="814"/>
      <c r="M38" s="814"/>
      <c r="N38" s="814"/>
      <c r="O38" s="814"/>
      <c r="P38" s="814"/>
      <c r="Q38" s="814"/>
      <c r="R38" s="814"/>
      <c r="S38" s="814"/>
      <c r="T38" s="814"/>
      <c r="U38" s="814"/>
      <c r="V38" s="814"/>
      <c r="W38" s="814"/>
      <c r="X38" s="814"/>
      <c r="Y38" s="814"/>
      <c r="Z38" s="814"/>
      <c r="AA38" s="814"/>
      <c r="AB38" s="814"/>
      <c r="AC38" s="814"/>
      <c r="AD38" s="814"/>
      <c r="AE38" s="814"/>
      <c r="AF38" s="814"/>
      <c r="AG38" s="814"/>
      <c r="AH38" s="814"/>
    </row>
    <row r="39" spans="1:34" ht="19.7" customHeight="1">
      <c r="A39" s="814"/>
      <c r="B39" s="814"/>
      <c r="C39" s="814"/>
      <c r="D39" s="814"/>
      <c r="E39" s="814"/>
      <c r="F39" s="814"/>
      <c r="G39" s="814"/>
      <c r="H39" s="814"/>
      <c r="I39" s="814"/>
      <c r="J39" s="814"/>
      <c r="K39" s="814"/>
      <c r="L39" s="814"/>
      <c r="M39" s="814"/>
      <c r="N39" s="814"/>
      <c r="O39" s="814"/>
      <c r="P39" s="814"/>
      <c r="Q39" s="814"/>
      <c r="R39" s="814"/>
      <c r="S39" s="814"/>
      <c r="T39" s="814"/>
      <c r="U39" s="814"/>
      <c r="V39" s="814"/>
      <c r="W39" s="814"/>
      <c r="X39" s="814"/>
      <c r="Y39" s="814"/>
      <c r="Z39" s="814"/>
      <c r="AA39" s="814"/>
      <c r="AB39" s="814"/>
      <c r="AC39" s="814"/>
      <c r="AD39" s="814"/>
      <c r="AE39" s="814"/>
      <c r="AF39" s="814"/>
      <c r="AG39" s="814"/>
      <c r="AH39" s="814"/>
    </row>
    <row r="42" spans="1:34" ht="19.7" customHeight="1">
      <c r="Q42" s="823"/>
      <c r="R42" s="823"/>
      <c r="S42" s="823"/>
      <c r="T42" s="823"/>
      <c r="AA42" s="824"/>
      <c r="AB42" s="825"/>
      <c r="AC42" s="825"/>
      <c r="AD42" s="825"/>
    </row>
    <row r="43" spans="1:34" ht="19.7" customHeight="1">
      <c r="G43" s="823"/>
      <c r="H43" s="825"/>
      <c r="I43" s="825"/>
      <c r="J43" s="825"/>
      <c r="Q43" s="823"/>
      <c r="R43" s="823"/>
      <c r="S43" s="823"/>
      <c r="T43" s="823"/>
      <c r="AA43" s="824"/>
      <c r="AB43" s="825"/>
      <c r="AC43" s="825"/>
      <c r="AD43" s="825"/>
    </row>
    <row r="44" spans="1:34" ht="19.7" customHeight="1">
      <c r="G44" s="823"/>
      <c r="H44" s="825"/>
      <c r="I44" s="825"/>
      <c r="J44" s="825"/>
      <c r="Q44" s="823"/>
      <c r="R44" s="823"/>
      <c r="S44" s="823"/>
      <c r="T44" s="823"/>
      <c r="AA44" s="824"/>
      <c r="AB44" s="825"/>
      <c r="AC44" s="825"/>
      <c r="AD44" s="825"/>
    </row>
    <row r="45" spans="1:34" ht="19.7" customHeight="1">
      <c r="G45" s="823"/>
      <c r="H45" s="825"/>
      <c r="I45" s="825"/>
      <c r="J45" s="825"/>
      <c r="Q45" s="823"/>
      <c r="R45" s="823"/>
      <c r="S45" s="823"/>
      <c r="T45" s="823"/>
      <c r="AA45" s="824"/>
      <c r="AB45" s="825"/>
      <c r="AC45" s="825"/>
      <c r="AD45" s="825"/>
    </row>
    <row r="46" spans="1:34" ht="19.7" customHeight="1">
      <c r="G46" s="823"/>
      <c r="H46" s="825"/>
      <c r="I46" s="825"/>
      <c r="J46" s="825"/>
      <c r="Q46" s="823"/>
      <c r="R46" s="823"/>
      <c r="S46" s="823"/>
      <c r="T46" s="823"/>
      <c r="AA46" s="824"/>
      <c r="AB46" s="825"/>
      <c r="AC46" s="825"/>
      <c r="AD46" s="825"/>
    </row>
    <row r="47" spans="1:34" ht="19.7" customHeight="1">
      <c r="G47" s="823"/>
      <c r="H47" s="825"/>
      <c r="I47" s="825"/>
      <c r="J47" s="825"/>
      <c r="Q47" s="823"/>
      <c r="R47" s="823"/>
      <c r="S47" s="823"/>
      <c r="T47" s="823"/>
      <c r="AA47" s="824"/>
      <c r="AB47" s="825"/>
      <c r="AC47" s="825"/>
      <c r="AD47" s="825"/>
    </row>
    <row r="48" spans="1:34" ht="19.7" customHeight="1">
      <c r="G48" s="823"/>
      <c r="H48" s="825"/>
      <c r="I48" s="825"/>
      <c r="J48" s="825"/>
      <c r="Q48" s="823"/>
      <c r="R48" s="823"/>
      <c r="S48" s="823"/>
      <c r="T48" s="823"/>
      <c r="AA48" s="824"/>
      <c r="AB48" s="825"/>
      <c r="AC48" s="825"/>
      <c r="AD48" s="825"/>
    </row>
    <row r="55" spans="1:38" s="827" customFormat="1" ht="19.7" customHeight="1">
      <c r="A55" s="826"/>
      <c r="B55" s="826"/>
      <c r="C55" s="826"/>
      <c r="D55" s="826"/>
      <c r="E55" s="826"/>
      <c r="F55" s="826"/>
      <c r="G55" s="826"/>
      <c r="H55" s="826"/>
      <c r="I55" s="826"/>
      <c r="J55" s="826"/>
      <c r="K55" s="826"/>
      <c r="L55" s="826"/>
      <c r="M55" s="826"/>
      <c r="N55" s="826"/>
      <c r="O55" s="826"/>
      <c r="P55" s="826"/>
      <c r="Q55" s="826"/>
      <c r="R55" s="826"/>
      <c r="S55" s="826"/>
      <c r="T55" s="826"/>
      <c r="U55" s="826"/>
      <c r="V55" s="826"/>
      <c r="W55" s="826"/>
      <c r="X55" s="826"/>
      <c r="Y55" s="826"/>
      <c r="Z55" s="826"/>
      <c r="AA55" s="826"/>
      <c r="AB55" s="826"/>
      <c r="AC55" s="826"/>
      <c r="AD55" s="826"/>
      <c r="AE55" s="826"/>
      <c r="AF55" s="826"/>
      <c r="AG55" s="826"/>
      <c r="AH55" s="826"/>
      <c r="AI55" s="826"/>
      <c r="AJ55" s="826"/>
      <c r="AL55" s="827" t="s">
        <v>916</v>
      </c>
    </row>
    <row r="56" spans="1:38" ht="19.7" customHeight="1">
      <c r="A56" s="826"/>
      <c r="B56" s="826"/>
      <c r="C56" s="826"/>
      <c r="D56" s="826"/>
      <c r="E56" s="826"/>
      <c r="F56" s="826"/>
      <c r="G56" s="826"/>
      <c r="H56" s="826"/>
      <c r="I56" s="826"/>
      <c r="J56" s="826"/>
      <c r="K56" s="826"/>
      <c r="L56" s="826"/>
      <c r="M56" s="826"/>
      <c r="N56" s="826"/>
      <c r="O56" s="826"/>
      <c r="P56" s="826"/>
      <c r="Q56" s="826"/>
      <c r="R56" s="826"/>
      <c r="S56" s="826"/>
      <c r="T56" s="826"/>
      <c r="U56" s="826"/>
      <c r="V56" s="826"/>
      <c r="W56" s="826"/>
      <c r="X56" s="826"/>
      <c r="Y56" s="826"/>
      <c r="Z56" s="826"/>
      <c r="AA56" s="826"/>
      <c r="AB56" s="826"/>
      <c r="AC56" s="826"/>
      <c r="AD56" s="826"/>
      <c r="AE56" s="826"/>
      <c r="AF56" s="826"/>
      <c r="AG56" s="826"/>
      <c r="AH56" s="826"/>
      <c r="AI56" s="826"/>
      <c r="AJ56" s="826"/>
      <c r="AL56" s="815" t="s">
        <v>917</v>
      </c>
    </row>
    <row r="57" spans="1:38" ht="19.7" customHeight="1">
      <c r="A57" s="826"/>
      <c r="B57" s="826"/>
      <c r="C57" s="826"/>
      <c r="D57" s="826"/>
      <c r="E57" s="826"/>
      <c r="F57" s="826"/>
      <c r="G57" s="826"/>
      <c r="H57" s="826"/>
      <c r="I57" s="826"/>
      <c r="J57" s="826"/>
      <c r="K57" s="826"/>
      <c r="L57" s="826"/>
      <c r="M57" s="826"/>
      <c r="N57" s="826"/>
      <c r="O57" s="826"/>
      <c r="P57" s="826"/>
      <c r="Q57" s="826"/>
      <c r="R57" s="826"/>
      <c r="S57" s="826"/>
      <c r="T57" s="826"/>
      <c r="U57" s="826"/>
      <c r="V57" s="826"/>
      <c r="W57" s="826"/>
      <c r="X57" s="826"/>
      <c r="Y57" s="826"/>
      <c r="Z57" s="826"/>
      <c r="AA57" s="826"/>
      <c r="AB57" s="826"/>
      <c r="AC57" s="826"/>
      <c r="AD57" s="826"/>
      <c r="AE57" s="826"/>
      <c r="AF57" s="826"/>
      <c r="AG57" s="826"/>
      <c r="AH57" s="826"/>
      <c r="AI57" s="826"/>
      <c r="AJ57" s="826"/>
      <c r="AL57" s="815" t="s">
        <v>918</v>
      </c>
    </row>
    <row r="58" spans="1:38" ht="19.7" customHeight="1">
      <c r="A58" s="826"/>
      <c r="B58" s="826"/>
      <c r="C58" s="826"/>
      <c r="D58" s="826"/>
      <c r="E58" s="826"/>
      <c r="F58" s="826"/>
      <c r="G58" s="826"/>
      <c r="H58" s="826"/>
      <c r="I58" s="826"/>
      <c r="J58" s="826"/>
      <c r="K58" s="826"/>
      <c r="L58" s="826"/>
      <c r="M58" s="826"/>
      <c r="N58" s="826"/>
      <c r="O58" s="826"/>
      <c r="P58" s="826"/>
      <c r="Q58" s="826"/>
      <c r="R58" s="826"/>
      <c r="S58" s="826"/>
      <c r="T58" s="826"/>
      <c r="U58" s="826"/>
      <c r="V58" s="826"/>
      <c r="W58" s="826"/>
      <c r="X58" s="826"/>
      <c r="Y58" s="826"/>
      <c r="Z58" s="826"/>
      <c r="AA58" s="826"/>
      <c r="AB58" s="826"/>
      <c r="AC58" s="826"/>
      <c r="AD58" s="826"/>
      <c r="AE58" s="826"/>
      <c r="AF58" s="826"/>
      <c r="AG58" s="826"/>
      <c r="AH58" s="826"/>
      <c r="AI58" s="826"/>
      <c r="AJ58" s="826"/>
      <c r="AL58" s="815" t="s">
        <v>919</v>
      </c>
    </row>
    <row r="59" spans="1:38" ht="19.7" customHeight="1">
      <c r="A59" s="826"/>
      <c r="B59" s="826"/>
      <c r="C59" s="826"/>
      <c r="D59" s="826"/>
      <c r="E59" s="826"/>
      <c r="F59" s="826"/>
      <c r="G59" s="826"/>
      <c r="H59" s="826"/>
      <c r="I59" s="826"/>
      <c r="J59" s="826"/>
      <c r="K59" s="826"/>
      <c r="L59" s="826"/>
      <c r="M59" s="826"/>
      <c r="N59" s="826"/>
      <c r="O59" s="826"/>
      <c r="P59" s="826"/>
      <c r="Q59" s="826"/>
      <c r="R59" s="826"/>
      <c r="S59" s="826"/>
      <c r="T59" s="826"/>
      <c r="U59" s="826"/>
      <c r="V59" s="826"/>
      <c r="W59" s="826"/>
      <c r="X59" s="826"/>
      <c r="Y59" s="826"/>
      <c r="Z59" s="826"/>
      <c r="AA59" s="826"/>
      <c r="AB59" s="826"/>
      <c r="AC59" s="826"/>
      <c r="AD59" s="826"/>
      <c r="AE59" s="826"/>
      <c r="AF59" s="826"/>
      <c r="AG59" s="826"/>
      <c r="AH59" s="826"/>
      <c r="AI59" s="826"/>
      <c r="AJ59" s="826"/>
    </row>
    <row r="60" spans="1:38" ht="19.7" customHeight="1">
      <c r="A60" s="826"/>
      <c r="B60" s="826"/>
      <c r="C60" s="826"/>
      <c r="D60" s="826"/>
      <c r="E60" s="826"/>
      <c r="F60" s="826"/>
      <c r="G60" s="826"/>
      <c r="H60" s="826"/>
      <c r="I60" s="826"/>
      <c r="J60" s="826"/>
      <c r="K60" s="826"/>
      <c r="L60" s="826"/>
      <c r="M60" s="826"/>
      <c r="N60" s="826"/>
      <c r="O60" s="826"/>
      <c r="P60" s="826"/>
      <c r="Q60" s="826"/>
      <c r="R60" s="826"/>
      <c r="S60" s="826"/>
      <c r="T60" s="826"/>
      <c r="U60" s="826"/>
      <c r="V60" s="826"/>
      <c r="W60" s="826"/>
      <c r="X60" s="826"/>
      <c r="Y60" s="826"/>
      <c r="Z60" s="826"/>
      <c r="AA60" s="826"/>
      <c r="AB60" s="826"/>
      <c r="AC60" s="826"/>
      <c r="AD60" s="826"/>
      <c r="AE60" s="826"/>
      <c r="AF60" s="826"/>
      <c r="AG60" s="826"/>
      <c r="AH60" s="826"/>
      <c r="AI60" s="826"/>
      <c r="AJ60" s="826"/>
    </row>
    <row r="61" spans="1:38" ht="19.7" customHeight="1">
      <c r="A61" s="826"/>
      <c r="B61" s="826"/>
      <c r="C61" s="826"/>
      <c r="D61" s="826"/>
      <c r="E61" s="826"/>
      <c r="F61" s="826"/>
      <c r="G61" s="826"/>
      <c r="H61" s="826"/>
      <c r="I61" s="826"/>
      <c r="J61" s="826"/>
      <c r="K61" s="826"/>
      <c r="L61" s="826"/>
      <c r="M61" s="826"/>
      <c r="N61" s="826"/>
      <c r="O61" s="826"/>
      <c r="P61" s="826"/>
      <c r="Q61" s="826"/>
      <c r="R61" s="826"/>
      <c r="S61" s="826"/>
      <c r="T61" s="826"/>
      <c r="U61" s="826"/>
      <c r="V61" s="826"/>
      <c r="W61" s="826"/>
      <c r="X61" s="826"/>
      <c r="Y61" s="826"/>
      <c r="Z61" s="826"/>
      <c r="AA61" s="826"/>
      <c r="AB61" s="826"/>
      <c r="AC61" s="826"/>
      <c r="AD61" s="826"/>
      <c r="AE61" s="826"/>
      <c r="AF61" s="826"/>
      <c r="AG61" s="826"/>
      <c r="AH61" s="826"/>
      <c r="AI61" s="826"/>
      <c r="AJ61" s="826"/>
    </row>
    <row r="62" spans="1:38" ht="19.7" customHeight="1">
      <c r="A62" s="826"/>
      <c r="B62" s="826"/>
      <c r="C62" s="826"/>
      <c r="D62" s="826"/>
      <c r="E62" s="826"/>
      <c r="F62" s="826"/>
      <c r="G62" s="826"/>
      <c r="H62" s="826"/>
      <c r="I62" s="826"/>
      <c r="J62" s="826"/>
      <c r="K62" s="826"/>
      <c r="L62" s="826"/>
      <c r="M62" s="826"/>
      <c r="N62" s="826"/>
      <c r="O62" s="826"/>
      <c r="P62" s="826"/>
      <c r="Q62" s="826"/>
      <c r="R62" s="826"/>
      <c r="S62" s="826"/>
      <c r="T62" s="826"/>
      <c r="U62" s="826"/>
      <c r="V62" s="826"/>
      <c r="W62" s="826"/>
      <c r="X62" s="826"/>
      <c r="Y62" s="826"/>
      <c r="Z62" s="826"/>
      <c r="AA62" s="826"/>
      <c r="AB62" s="826"/>
      <c r="AC62" s="826"/>
      <c r="AD62" s="826"/>
      <c r="AE62" s="826"/>
      <c r="AF62" s="826"/>
      <c r="AG62" s="826"/>
      <c r="AH62" s="826"/>
      <c r="AI62" s="826"/>
      <c r="AJ62" s="826"/>
    </row>
    <row r="63" spans="1:38" ht="19.7" customHeight="1">
      <c r="A63" s="826"/>
      <c r="B63" s="826"/>
      <c r="C63" s="826"/>
      <c r="D63" s="826"/>
      <c r="E63" s="826"/>
      <c r="F63" s="826"/>
      <c r="G63" s="826"/>
      <c r="H63" s="826"/>
      <c r="I63" s="826"/>
      <c r="J63" s="826"/>
      <c r="K63" s="826"/>
      <c r="L63" s="826"/>
      <c r="M63" s="826"/>
      <c r="N63" s="826"/>
      <c r="O63" s="826"/>
      <c r="P63" s="826"/>
      <c r="Q63" s="826"/>
      <c r="R63" s="826"/>
      <c r="S63" s="826"/>
      <c r="T63" s="826"/>
      <c r="U63" s="826"/>
      <c r="V63" s="826"/>
      <c r="W63" s="826"/>
      <c r="X63" s="826"/>
      <c r="Y63" s="826"/>
      <c r="Z63" s="826"/>
      <c r="AA63" s="826"/>
      <c r="AB63" s="826"/>
      <c r="AC63" s="826"/>
      <c r="AD63" s="826"/>
      <c r="AE63" s="826"/>
      <c r="AF63" s="826"/>
      <c r="AG63" s="826"/>
      <c r="AH63" s="826"/>
      <c r="AI63" s="826"/>
      <c r="AJ63" s="826"/>
    </row>
    <row r="64" spans="1:38" ht="19.7" customHeight="1">
      <c r="A64" s="826"/>
      <c r="B64" s="826"/>
      <c r="C64" s="826"/>
      <c r="D64" s="826"/>
      <c r="E64" s="826"/>
      <c r="F64" s="826"/>
      <c r="G64" s="826"/>
      <c r="H64" s="826"/>
      <c r="I64" s="826"/>
      <c r="J64" s="826"/>
      <c r="K64" s="826"/>
      <c r="L64" s="826"/>
      <c r="M64" s="826"/>
      <c r="N64" s="826"/>
      <c r="O64" s="826"/>
      <c r="P64" s="826"/>
      <c r="Q64" s="826"/>
      <c r="R64" s="826"/>
      <c r="S64" s="826"/>
      <c r="T64" s="826"/>
      <c r="U64" s="826"/>
      <c r="V64" s="826"/>
      <c r="W64" s="826"/>
      <c r="X64" s="826"/>
      <c r="Y64" s="826"/>
      <c r="Z64" s="826"/>
      <c r="AA64" s="826"/>
      <c r="AB64" s="826"/>
      <c r="AC64" s="826"/>
      <c r="AD64" s="826"/>
      <c r="AE64" s="826"/>
      <c r="AF64" s="826"/>
      <c r="AG64" s="826"/>
      <c r="AH64" s="826"/>
      <c r="AI64" s="826"/>
      <c r="AJ64" s="826"/>
    </row>
    <row r="65" spans="1:36" ht="19.7" customHeight="1">
      <c r="A65" s="826"/>
      <c r="B65" s="826"/>
      <c r="C65" s="826"/>
      <c r="D65" s="826"/>
      <c r="E65" s="826"/>
      <c r="F65" s="826"/>
      <c r="G65" s="826"/>
      <c r="H65" s="826"/>
      <c r="I65" s="826"/>
      <c r="J65" s="826"/>
      <c r="K65" s="826"/>
      <c r="L65" s="826"/>
      <c r="M65" s="826"/>
      <c r="N65" s="826"/>
      <c r="O65" s="826"/>
      <c r="P65" s="826"/>
      <c r="Q65" s="826"/>
      <c r="R65" s="826"/>
      <c r="S65" s="826"/>
      <c r="T65" s="826"/>
      <c r="U65" s="826"/>
      <c r="V65" s="826"/>
      <c r="W65" s="826"/>
      <c r="X65" s="826"/>
      <c r="Y65" s="826"/>
      <c r="Z65" s="826"/>
      <c r="AA65" s="826"/>
      <c r="AB65" s="826"/>
      <c r="AC65" s="826"/>
      <c r="AD65" s="826"/>
      <c r="AE65" s="826"/>
      <c r="AF65" s="826"/>
      <c r="AG65" s="826"/>
      <c r="AH65" s="826"/>
      <c r="AI65" s="826"/>
      <c r="AJ65" s="826"/>
    </row>
    <row r="66" spans="1:36" ht="19.7" customHeight="1">
      <c r="A66" s="826"/>
      <c r="B66" s="826"/>
      <c r="C66" s="826"/>
      <c r="D66" s="826"/>
      <c r="E66" s="826"/>
      <c r="F66" s="826"/>
      <c r="G66" s="826"/>
      <c r="H66" s="826"/>
      <c r="I66" s="826"/>
      <c r="J66" s="826"/>
      <c r="K66" s="826"/>
      <c r="L66" s="826"/>
      <c r="M66" s="826"/>
      <c r="N66" s="826"/>
      <c r="O66" s="826"/>
      <c r="P66" s="826"/>
      <c r="Q66" s="826"/>
      <c r="R66" s="826"/>
      <c r="S66" s="826"/>
      <c r="T66" s="826"/>
      <c r="U66" s="826"/>
      <c r="V66" s="826"/>
      <c r="W66" s="826"/>
      <c r="X66" s="826"/>
      <c r="Y66" s="826"/>
      <c r="Z66" s="826"/>
      <c r="AA66" s="826"/>
      <c r="AB66" s="826"/>
      <c r="AC66" s="826"/>
      <c r="AD66" s="826"/>
      <c r="AE66" s="826"/>
      <c r="AF66" s="826"/>
      <c r="AG66" s="826"/>
      <c r="AH66" s="826"/>
      <c r="AI66" s="826"/>
      <c r="AJ66" s="826"/>
    </row>
    <row r="67" spans="1:36" ht="19.7" customHeight="1">
      <c r="A67" s="826"/>
      <c r="B67" s="826"/>
      <c r="C67" s="826"/>
      <c r="D67" s="826"/>
      <c r="E67" s="826"/>
      <c r="F67" s="826"/>
      <c r="G67" s="826"/>
      <c r="H67" s="826"/>
      <c r="I67" s="826"/>
      <c r="J67" s="826"/>
      <c r="K67" s="826"/>
      <c r="L67" s="826"/>
      <c r="M67" s="826"/>
      <c r="N67" s="826"/>
      <c r="O67" s="826"/>
      <c r="P67" s="826"/>
      <c r="Q67" s="826"/>
      <c r="R67" s="826"/>
      <c r="S67" s="826"/>
      <c r="T67" s="826"/>
      <c r="U67" s="826"/>
      <c r="V67" s="826"/>
      <c r="W67" s="826"/>
      <c r="X67" s="826"/>
      <c r="Y67" s="826"/>
      <c r="Z67" s="826"/>
      <c r="AA67" s="826"/>
      <c r="AB67" s="826"/>
      <c r="AC67" s="826"/>
      <c r="AD67" s="826"/>
      <c r="AE67" s="826"/>
      <c r="AF67" s="826"/>
      <c r="AG67" s="826"/>
      <c r="AH67" s="826"/>
      <c r="AI67" s="826"/>
      <c r="AJ67" s="826"/>
    </row>
    <row r="68" spans="1:36" ht="19.7" customHeight="1">
      <c r="A68" s="826"/>
      <c r="B68" s="826"/>
      <c r="C68" s="826"/>
      <c r="D68" s="826"/>
      <c r="E68" s="826"/>
      <c r="F68" s="826"/>
      <c r="G68" s="826"/>
      <c r="H68" s="826"/>
      <c r="I68" s="826"/>
      <c r="J68" s="826"/>
      <c r="K68" s="826"/>
      <c r="L68" s="826"/>
      <c r="M68" s="826"/>
      <c r="N68" s="826"/>
      <c r="O68" s="826"/>
      <c r="P68" s="826"/>
      <c r="Q68" s="826"/>
      <c r="R68" s="826"/>
      <c r="S68" s="826"/>
      <c r="T68" s="826"/>
      <c r="U68" s="826"/>
      <c r="V68" s="826"/>
      <c r="W68" s="826"/>
      <c r="X68" s="826"/>
      <c r="Y68" s="826"/>
      <c r="Z68" s="826"/>
      <c r="AA68" s="826"/>
      <c r="AB68" s="826"/>
      <c r="AC68" s="826"/>
      <c r="AD68" s="826"/>
      <c r="AE68" s="826"/>
      <c r="AF68" s="826"/>
      <c r="AG68" s="826"/>
      <c r="AH68" s="826"/>
      <c r="AI68" s="826"/>
      <c r="AJ68" s="826"/>
    </row>
    <row r="69" spans="1:36" ht="19.7" customHeight="1">
      <c r="A69" s="826"/>
      <c r="B69" s="826"/>
      <c r="C69" s="826"/>
      <c r="D69" s="826"/>
      <c r="E69" s="826"/>
      <c r="F69" s="826"/>
      <c r="G69" s="826"/>
      <c r="H69" s="826"/>
      <c r="I69" s="826"/>
      <c r="J69" s="826"/>
      <c r="K69" s="826"/>
      <c r="L69" s="826"/>
      <c r="M69" s="826"/>
      <c r="N69" s="826"/>
      <c r="O69" s="826"/>
      <c r="P69" s="826"/>
      <c r="Q69" s="826"/>
      <c r="R69" s="826"/>
      <c r="S69" s="826"/>
      <c r="T69" s="826"/>
      <c r="U69" s="826"/>
      <c r="V69" s="826"/>
      <c r="W69" s="826"/>
      <c r="X69" s="826"/>
      <c r="Y69" s="826"/>
      <c r="Z69" s="826"/>
      <c r="AA69" s="826"/>
      <c r="AB69" s="826"/>
      <c r="AC69" s="826"/>
      <c r="AD69" s="826"/>
      <c r="AE69" s="826"/>
      <c r="AF69" s="826"/>
      <c r="AG69" s="826"/>
      <c r="AH69" s="826"/>
      <c r="AI69" s="826"/>
      <c r="AJ69" s="826"/>
    </row>
    <row r="70" spans="1:36" ht="19.7" customHeight="1">
      <c r="A70" s="826"/>
      <c r="B70" s="826"/>
      <c r="C70" s="826"/>
      <c r="D70" s="826"/>
      <c r="E70" s="826"/>
      <c r="F70" s="826"/>
      <c r="G70" s="826"/>
      <c r="H70" s="826"/>
      <c r="I70" s="826"/>
      <c r="J70" s="826"/>
      <c r="K70" s="826"/>
      <c r="L70" s="826"/>
      <c r="M70" s="826"/>
      <c r="N70" s="826"/>
      <c r="O70" s="826"/>
      <c r="P70" s="826"/>
      <c r="Q70" s="826"/>
      <c r="R70" s="826"/>
      <c r="S70" s="826"/>
      <c r="T70" s="826"/>
      <c r="U70" s="826"/>
      <c r="V70" s="826"/>
      <c r="W70" s="826"/>
      <c r="X70" s="826"/>
      <c r="Y70" s="826"/>
      <c r="Z70" s="826"/>
      <c r="AA70" s="826"/>
      <c r="AB70" s="826"/>
      <c r="AC70" s="826"/>
      <c r="AD70" s="826"/>
      <c r="AE70" s="826"/>
      <c r="AF70" s="826"/>
      <c r="AG70" s="826"/>
      <c r="AH70" s="826"/>
      <c r="AI70" s="826"/>
      <c r="AJ70" s="826"/>
    </row>
    <row r="71" spans="1:36" ht="19.7" customHeight="1">
      <c r="A71" s="826"/>
      <c r="B71" s="826"/>
      <c r="C71" s="826"/>
      <c r="D71" s="826"/>
      <c r="E71" s="826"/>
      <c r="F71" s="826"/>
      <c r="G71" s="826"/>
      <c r="H71" s="826"/>
      <c r="I71" s="826"/>
      <c r="J71" s="826"/>
      <c r="K71" s="826"/>
      <c r="L71" s="826"/>
      <c r="M71" s="826"/>
      <c r="N71" s="826"/>
      <c r="O71" s="826"/>
      <c r="P71" s="826"/>
      <c r="Q71" s="826"/>
      <c r="R71" s="826"/>
      <c r="S71" s="826"/>
      <c r="T71" s="826"/>
      <c r="U71" s="826"/>
      <c r="V71" s="826"/>
      <c r="W71" s="826"/>
      <c r="X71" s="826"/>
      <c r="Y71" s="826"/>
      <c r="Z71" s="826"/>
      <c r="AA71" s="826"/>
      <c r="AB71" s="826"/>
      <c r="AC71" s="826"/>
      <c r="AD71" s="826"/>
      <c r="AE71" s="826"/>
      <c r="AF71" s="826"/>
      <c r="AG71" s="826"/>
      <c r="AH71" s="826"/>
      <c r="AI71" s="826"/>
      <c r="AJ71" s="826"/>
    </row>
    <row r="72" spans="1:36" ht="19.7" customHeight="1">
      <c r="A72" s="826"/>
      <c r="B72" s="826"/>
      <c r="C72" s="826"/>
      <c r="D72" s="826"/>
      <c r="E72" s="826"/>
      <c r="F72" s="826"/>
      <c r="G72" s="826"/>
      <c r="H72" s="826"/>
      <c r="I72" s="826"/>
      <c r="J72" s="826"/>
      <c r="K72" s="826"/>
      <c r="L72" s="826"/>
      <c r="M72" s="826"/>
      <c r="N72" s="826"/>
      <c r="O72" s="826"/>
      <c r="P72" s="826"/>
      <c r="Q72" s="826"/>
      <c r="R72" s="826"/>
      <c r="S72" s="826"/>
      <c r="T72" s="826"/>
      <c r="U72" s="826"/>
      <c r="V72" s="826"/>
      <c r="W72" s="826"/>
      <c r="X72" s="826"/>
      <c r="Y72" s="826"/>
      <c r="Z72" s="826"/>
      <c r="AA72" s="826"/>
      <c r="AB72" s="826"/>
      <c r="AC72" s="826"/>
      <c r="AD72" s="826"/>
      <c r="AE72" s="826"/>
      <c r="AF72" s="826"/>
      <c r="AG72" s="826"/>
      <c r="AH72" s="826"/>
      <c r="AI72" s="826"/>
      <c r="AJ72" s="826"/>
    </row>
    <row r="73" spans="1:36" ht="19.7" customHeight="1">
      <c r="A73" s="826"/>
      <c r="B73" s="826"/>
      <c r="C73" s="826"/>
      <c r="D73" s="826"/>
      <c r="E73" s="826"/>
      <c r="F73" s="826"/>
      <c r="G73" s="826"/>
      <c r="H73" s="826"/>
      <c r="I73" s="826"/>
      <c r="J73" s="826"/>
      <c r="K73" s="826"/>
      <c r="L73" s="826"/>
      <c r="M73" s="826"/>
      <c r="N73" s="826"/>
      <c r="O73" s="826"/>
      <c r="P73" s="826"/>
      <c r="Q73" s="826"/>
      <c r="R73" s="826"/>
      <c r="S73" s="826"/>
      <c r="T73" s="826"/>
      <c r="U73" s="826"/>
      <c r="V73" s="826"/>
      <c r="W73" s="826"/>
      <c r="X73" s="826"/>
      <c r="Y73" s="826"/>
      <c r="Z73" s="826"/>
      <c r="AA73" s="826"/>
      <c r="AB73" s="826"/>
      <c r="AC73" s="826"/>
      <c r="AD73" s="826"/>
      <c r="AE73" s="826"/>
      <c r="AF73" s="826"/>
      <c r="AG73" s="826"/>
      <c r="AH73" s="826"/>
      <c r="AI73" s="826"/>
      <c r="AJ73" s="826"/>
    </row>
    <row r="74" spans="1:36" ht="19.7" customHeight="1">
      <c r="A74" s="826"/>
      <c r="B74" s="826"/>
      <c r="C74" s="826"/>
      <c r="D74" s="826"/>
      <c r="E74" s="826"/>
      <c r="F74" s="826"/>
      <c r="G74" s="826"/>
      <c r="H74" s="826"/>
      <c r="I74" s="826"/>
      <c r="J74" s="826"/>
      <c r="K74" s="826"/>
      <c r="L74" s="826"/>
      <c r="M74" s="826"/>
      <c r="N74" s="826"/>
      <c r="O74" s="826"/>
      <c r="P74" s="826"/>
      <c r="Q74" s="826"/>
      <c r="R74" s="826"/>
      <c r="S74" s="826"/>
      <c r="T74" s="826"/>
      <c r="U74" s="826"/>
      <c r="V74" s="826"/>
      <c r="W74" s="826"/>
      <c r="X74" s="826"/>
      <c r="Y74" s="826"/>
      <c r="Z74" s="826"/>
      <c r="AA74" s="826"/>
      <c r="AB74" s="826"/>
      <c r="AC74" s="826"/>
      <c r="AD74" s="826"/>
      <c r="AE74" s="826"/>
      <c r="AF74" s="826"/>
      <c r="AG74" s="826"/>
      <c r="AH74" s="826"/>
      <c r="AI74" s="826"/>
      <c r="AJ74" s="826"/>
    </row>
    <row r="75" spans="1:36" ht="19.7" customHeight="1">
      <c r="A75" s="826"/>
      <c r="B75" s="826"/>
      <c r="C75" s="826"/>
      <c r="D75" s="826"/>
      <c r="E75" s="826"/>
      <c r="F75" s="826"/>
      <c r="G75" s="826"/>
      <c r="H75" s="826"/>
      <c r="I75" s="826"/>
      <c r="J75" s="826"/>
      <c r="K75" s="826"/>
      <c r="L75" s="826"/>
      <c r="M75" s="826"/>
      <c r="N75" s="826"/>
      <c r="O75" s="826"/>
      <c r="P75" s="826"/>
      <c r="Q75" s="826"/>
      <c r="R75" s="826"/>
      <c r="S75" s="826"/>
      <c r="T75" s="826"/>
      <c r="U75" s="826"/>
      <c r="V75" s="826"/>
      <c r="W75" s="826"/>
      <c r="X75" s="826"/>
      <c r="Y75" s="826"/>
      <c r="Z75" s="826"/>
      <c r="AA75" s="826"/>
      <c r="AB75" s="826"/>
      <c r="AC75" s="826"/>
      <c r="AD75" s="826"/>
      <c r="AE75" s="826"/>
      <c r="AF75" s="826"/>
      <c r="AG75" s="826"/>
      <c r="AH75" s="826"/>
      <c r="AI75" s="826"/>
      <c r="AJ75" s="826"/>
    </row>
    <row r="76" spans="1:36" ht="19.7" customHeight="1">
      <c r="A76" s="826"/>
      <c r="B76" s="826"/>
      <c r="C76" s="826"/>
      <c r="D76" s="826"/>
      <c r="E76" s="826"/>
      <c r="F76" s="826"/>
      <c r="G76" s="826"/>
      <c r="H76" s="826"/>
      <c r="I76" s="826"/>
      <c r="J76" s="826"/>
      <c r="K76" s="826"/>
      <c r="L76" s="826"/>
      <c r="M76" s="826"/>
      <c r="N76" s="826"/>
      <c r="O76" s="826"/>
      <c r="P76" s="826"/>
      <c r="Q76" s="826"/>
      <c r="R76" s="826"/>
      <c r="S76" s="826"/>
      <c r="T76" s="826"/>
      <c r="U76" s="826"/>
      <c r="V76" s="826"/>
      <c r="W76" s="826"/>
      <c r="X76" s="826"/>
      <c r="Y76" s="826"/>
      <c r="Z76" s="826"/>
      <c r="AA76" s="826"/>
      <c r="AB76" s="826"/>
      <c r="AC76" s="826"/>
      <c r="AD76" s="826"/>
      <c r="AE76" s="826"/>
      <c r="AF76" s="826"/>
      <c r="AG76" s="826"/>
      <c r="AH76" s="826"/>
      <c r="AI76" s="826"/>
      <c r="AJ76" s="826"/>
    </row>
    <row r="77" spans="1:36" ht="19.7" customHeight="1">
      <c r="A77" s="826"/>
      <c r="B77" s="826"/>
      <c r="C77" s="826"/>
      <c r="D77" s="826"/>
      <c r="E77" s="826"/>
      <c r="F77" s="826"/>
      <c r="G77" s="826"/>
      <c r="H77" s="826"/>
      <c r="I77" s="826"/>
      <c r="J77" s="826"/>
      <c r="K77" s="826"/>
      <c r="L77" s="826"/>
      <c r="M77" s="826"/>
      <c r="N77" s="826"/>
      <c r="O77" s="826"/>
      <c r="P77" s="826"/>
      <c r="Q77" s="826"/>
      <c r="R77" s="826"/>
      <c r="S77" s="826"/>
      <c r="T77" s="826"/>
      <c r="U77" s="826"/>
      <c r="V77" s="826"/>
      <c r="W77" s="826"/>
      <c r="X77" s="826"/>
      <c r="Y77" s="826"/>
      <c r="Z77" s="826"/>
      <c r="AA77" s="826"/>
      <c r="AB77" s="826"/>
      <c r="AC77" s="826"/>
      <c r="AD77" s="826"/>
      <c r="AE77" s="826"/>
      <c r="AF77" s="826"/>
      <c r="AG77" s="826"/>
      <c r="AH77" s="826"/>
      <c r="AI77" s="826"/>
      <c r="AJ77" s="826"/>
    </row>
    <row r="78" spans="1:36" ht="19.7" customHeight="1">
      <c r="A78" s="826"/>
      <c r="B78" s="826"/>
      <c r="C78" s="826"/>
      <c r="D78" s="826"/>
      <c r="E78" s="826"/>
      <c r="F78" s="826"/>
      <c r="G78" s="826"/>
      <c r="H78" s="826"/>
      <c r="I78" s="826"/>
      <c r="J78" s="826"/>
      <c r="K78" s="826"/>
      <c r="L78" s="826"/>
      <c r="M78" s="826"/>
      <c r="N78" s="826"/>
      <c r="O78" s="826"/>
      <c r="P78" s="826"/>
      <c r="Q78" s="826"/>
      <c r="R78" s="826"/>
      <c r="S78" s="826"/>
      <c r="T78" s="826"/>
      <c r="U78" s="826"/>
      <c r="V78" s="826"/>
      <c r="W78" s="826"/>
      <c r="X78" s="826"/>
      <c r="Y78" s="826"/>
      <c r="Z78" s="826"/>
      <c r="AA78" s="826"/>
      <c r="AB78" s="826"/>
      <c r="AC78" s="826"/>
      <c r="AD78" s="826"/>
      <c r="AE78" s="826"/>
      <c r="AF78" s="826"/>
      <c r="AG78" s="826"/>
      <c r="AH78" s="826"/>
      <c r="AI78" s="826"/>
      <c r="AJ78" s="826"/>
    </row>
    <row r="79" spans="1:36" ht="19.7" customHeight="1">
      <c r="A79" s="826"/>
      <c r="B79" s="826"/>
      <c r="C79" s="826"/>
      <c r="D79" s="826"/>
      <c r="E79" s="826"/>
      <c r="F79" s="826"/>
      <c r="G79" s="826"/>
      <c r="H79" s="826"/>
      <c r="I79" s="826"/>
      <c r="J79" s="826"/>
      <c r="K79" s="826"/>
      <c r="L79" s="826"/>
      <c r="M79" s="826"/>
      <c r="N79" s="826"/>
      <c r="O79" s="826"/>
      <c r="P79" s="826"/>
      <c r="Q79" s="826"/>
      <c r="R79" s="826"/>
      <c r="S79" s="826"/>
      <c r="T79" s="826"/>
      <c r="U79" s="826"/>
      <c r="V79" s="826"/>
      <c r="W79" s="826"/>
      <c r="X79" s="826"/>
      <c r="Y79" s="826"/>
      <c r="Z79" s="826"/>
      <c r="AA79" s="826"/>
      <c r="AB79" s="826"/>
      <c r="AC79" s="826"/>
      <c r="AD79" s="826"/>
      <c r="AE79" s="826"/>
      <c r="AF79" s="826"/>
      <c r="AG79" s="826"/>
      <c r="AH79" s="826"/>
      <c r="AI79" s="826"/>
      <c r="AJ79" s="826"/>
    </row>
    <row r="80" spans="1:36" ht="19.7" customHeight="1">
      <c r="A80" s="826"/>
      <c r="B80" s="826"/>
      <c r="C80" s="826"/>
      <c r="D80" s="826"/>
      <c r="E80" s="826"/>
      <c r="F80" s="826"/>
      <c r="G80" s="826"/>
      <c r="H80" s="826"/>
      <c r="I80" s="826"/>
      <c r="J80" s="826"/>
      <c r="K80" s="826"/>
      <c r="L80" s="826"/>
      <c r="M80" s="826"/>
      <c r="N80" s="826"/>
      <c r="O80" s="826"/>
      <c r="P80" s="826"/>
      <c r="Q80" s="826"/>
      <c r="R80" s="826"/>
      <c r="S80" s="826"/>
      <c r="T80" s="826"/>
      <c r="U80" s="826"/>
      <c r="V80" s="826"/>
      <c r="W80" s="826"/>
      <c r="X80" s="826"/>
      <c r="Y80" s="826"/>
      <c r="Z80" s="826"/>
      <c r="AA80" s="826"/>
      <c r="AB80" s="826"/>
      <c r="AC80" s="826"/>
      <c r="AD80" s="826"/>
      <c r="AE80" s="826"/>
      <c r="AF80" s="826"/>
      <c r="AG80" s="826"/>
      <c r="AH80" s="826"/>
      <c r="AI80" s="826"/>
      <c r="AJ80" s="826"/>
    </row>
  </sheetData>
  <sheetProtection password="D73A" sheet="1" formatCells="0"/>
  <mergeCells count="12">
    <mergeCell ref="Q10:AH10"/>
    <mergeCell ref="W2:AH2"/>
    <mergeCell ref="Q5:AH5"/>
    <mergeCell ref="O6:AH6"/>
    <mergeCell ref="O7:AH7"/>
    <mergeCell ref="R8:AH8"/>
    <mergeCell ref="A18:AH18"/>
    <mergeCell ref="O11:AH11"/>
    <mergeCell ref="O12:AH12"/>
    <mergeCell ref="R13:AH13"/>
    <mergeCell ref="A16:AH16"/>
    <mergeCell ref="A17:AH17"/>
  </mergeCells>
  <phoneticPr fontId="3"/>
  <conditionalFormatting sqref="O11:AH11">
    <cfRule type="containsBlanks" dxfId="90" priority="4">
      <formula>LEN(TRIM(O11))=0</formula>
    </cfRule>
  </conditionalFormatting>
  <conditionalFormatting sqref="O12:AH12 R13:AH13">
    <cfRule type="containsBlanks" dxfId="89" priority="5">
      <formula>LEN(TRIM(O12))=0</formula>
    </cfRule>
  </conditionalFormatting>
  <conditionalFormatting sqref="O6:AH7 R8:AH8">
    <cfRule type="containsBlanks" dxfId="88" priority="1">
      <formula>LEN(TRIM(O6))=0</formula>
    </cfRule>
  </conditionalFormatting>
  <dataValidations count="1">
    <dataValidation imeMode="on" allowBlank="1" showInputMessage="1" showErrorMessage="1" sqref="R13 O11:O12" xr:uid="{5E67BA0D-9707-43C8-AB6C-FD3FCCC89652}"/>
  </dataValidations>
  <printOptions horizontalCentered="1"/>
  <pageMargins left="0.59055118110236227" right="0.59055118110236227" top="0.35433070866141736" bottom="0" header="0.31496062992125984" footer="0.31496062992125984"/>
  <pageSetup paperSize="9" orientation="portrait" r:id="rId1"/>
  <headerFooter>
    <oddHeader>&amp;L様式第1-1号（別紙）</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C3F1D-8905-4970-9FED-19963272253F}">
  <sheetPr>
    <tabColor rgb="FF00B0F0"/>
    <pageSetUpPr fitToPage="1"/>
  </sheetPr>
  <dimension ref="A1:BE80"/>
  <sheetViews>
    <sheetView view="pageBreakPreview" topLeftCell="A4" zoomScaleNormal="100" zoomScaleSheetLayoutView="100" workbookViewId="0">
      <selection activeCell="I25" sqref="I25"/>
    </sheetView>
  </sheetViews>
  <sheetFormatPr defaultColWidth="9" defaultRowHeight="18.75"/>
  <cols>
    <col min="1" max="1" width="3.25" style="137" customWidth="1"/>
    <col min="2" max="2" width="18.125" style="137" customWidth="1"/>
    <col min="3" max="6" width="8.5" style="137" customWidth="1"/>
    <col min="7" max="7" width="9.75" style="137" customWidth="1"/>
    <col min="8" max="8" width="8.875" style="137" customWidth="1"/>
    <col min="9" max="9" width="6.875" style="137" customWidth="1"/>
    <col min="10" max="12" width="10.25" style="137" customWidth="1"/>
    <col min="13" max="13" width="8.375" style="137" customWidth="1"/>
    <col min="14" max="14" width="9.25" style="137" customWidth="1"/>
    <col min="15" max="15" width="8" style="137" customWidth="1"/>
    <col min="16" max="16" width="7.375" style="137" customWidth="1"/>
    <col min="17" max="17" width="8.625" style="137" customWidth="1"/>
    <col min="18" max="18" width="8.375" style="137" customWidth="1"/>
    <col min="19" max="19" width="8.625" style="137" customWidth="1"/>
    <col min="20" max="20" width="7.375" style="137" customWidth="1"/>
    <col min="21" max="22" width="5.625" style="137" hidden="1" customWidth="1"/>
    <col min="23" max="27" width="9" style="141" hidden="1" customWidth="1"/>
    <col min="28" max="48" width="9" style="141" customWidth="1"/>
    <col min="49" max="51" width="9" style="141"/>
    <col min="52" max="16384" width="9" style="137"/>
  </cols>
  <sheetData>
    <row r="1" spans="1:51" ht="28.5" customHeight="1">
      <c r="A1" s="69" t="s">
        <v>769</v>
      </c>
      <c r="N1" s="1010">
        <f>CO２削減量算定シート!O7</f>
        <v>0</v>
      </c>
      <c r="O1" s="1011"/>
      <c r="P1" s="1011"/>
      <c r="Q1" s="1011"/>
      <c r="R1" s="1011"/>
      <c r="S1" s="1011"/>
      <c r="T1" s="1012"/>
      <c r="AY1" s="137"/>
    </row>
    <row r="2" spans="1:51">
      <c r="A2" s="136" t="s">
        <v>312</v>
      </c>
      <c r="B2" s="1"/>
      <c r="C2" s="1"/>
      <c r="D2" s="1"/>
      <c r="E2" s="1"/>
      <c r="F2" s="1"/>
      <c r="G2" s="1"/>
      <c r="H2" s="1"/>
      <c r="I2" s="1"/>
      <c r="J2" s="1"/>
      <c r="S2" s="258"/>
      <c r="AY2" s="137"/>
    </row>
    <row r="3" spans="1:51" ht="20.100000000000001" customHeight="1">
      <c r="A3" s="1"/>
      <c r="B3" s="923" t="s">
        <v>0</v>
      </c>
      <c r="C3" s="924"/>
      <c r="D3" s="404" t="s">
        <v>598</v>
      </c>
      <c r="E3" s="923" t="s">
        <v>761</v>
      </c>
      <c r="F3" s="924"/>
      <c r="G3" s="1117" t="s">
        <v>760</v>
      </c>
      <c r="H3" s="1117"/>
      <c r="I3" s="923" t="s">
        <v>740</v>
      </c>
      <c r="J3" s="925"/>
      <c r="K3" s="405" t="s">
        <v>763</v>
      </c>
      <c r="Y3" s="141" t="s">
        <v>736</v>
      </c>
      <c r="Z3" s="141" t="s">
        <v>746</v>
      </c>
      <c r="AK3" s="137"/>
      <c r="AL3" s="137"/>
      <c r="AM3" s="137"/>
      <c r="AN3" s="137"/>
      <c r="AO3" s="137"/>
      <c r="AP3" s="137"/>
      <c r="AQ3" s="137"/>
      <c r="AR3" s="137"/>
      <c r="AS3" s="137"/>
      <c r="AT3" s="137"/>
      <c r="AU3" s="137"/>
      <c r="AV3" s="137"/>
      <c r="AW3" s="137"/>
      <c r="AX3" s="137"/>
      <c r="AY3" s="137"/>
    </row>
    <row r="4" spans="1:51" ht="20.100000000000001" customHeight="1">
      <c r="A4" s="1"/>
      <c r="B4" s="1119" t="s">
        <v>762</v>
      </c>
      <c r="C4" s="1120"/>
      <c r="D4" s="429" t="s">
        <v>643</v>
      </c>
      <c r="E4" s="976">
        <f>J21</f>
        <v>0</v>
      </c>
      <c r="F4" s="977"/>
      <c r="G4" s="1116">
        <f>K21</f>
        <v>0</v>
      </c>
      <c r="H4" s="1116"/>
      <c r="I4" s="1102">
        <f>L21</f>
        <v>0</v>
      </c>
      <c r="J4" s="1103"/>
      <c r="K4" s="527" t="str">
        <f>IFERROR(I4/E4,"")</f>
        <v/>
      </c>
      <c r="Y4" s="141" t="s">
        <v>737</v>
      </c>
      <c r="Z4" s="141" t="s">
        <v>747</v>
      </c>
      <c r="AK4" s="137"/>
      <c r="AL4" s="137"/>
      <c r="AM4" s="137"/>
      <c r="AN4" s="137"/>
      <c r="AO4" s="137"/>
      <c r="AP4" s="137"/>
      <c r="AQ4" s="137"/>
      <c r="AR4" s="137"/>
      <c r="AS4" s="137"/>
      <c r="AT4" s="137"/>
      <c r="AU4" s="137"/>
      <c r="AV4" s="137"/>
      <c r="AW4" s="137"/>
      <c r="AX4" s="137"/>
      <c r="AY4" s="137"/>
    </row>
    <row r="5" spans="1:51" ht="20.100000000000001" customHeight="1">
      <c r="A5" s="1"/>
      <c r="B5" s="1119" t="s">
        <v>764</v>
      </c>
      <c r="C5" s="1120"/>
      <c r="D5" s="125" t="s">
        <v>484</v>
      </c>
      <c r="E5" s="1121">
        <f>J21*0.495*0.001</f>
        <v>0</v>
      </c>
      <c r="F5" s="1122"/>
      <c r="G5" s="1118">
        <f>K21*0.495*0.001</f>
        <v>0</v>
      </c>
      <c r="H5" s="1118"/>
      <c r="I5" s="1104">
        <f>N21</f>
        <v>0</v>
      </c>
      <c r="J5" s="1105"/>
      <c r="K5" s="527" t="str">
        <f>IFERROR(I5/E5,"")</f>
        <v/>
      </c>
      <c r="Z5" s="141" t="s">
        <v>748</v>
      </c>
      <c r="AK5" s="137"/>
      <c r="AL5" s="137"/>
      <c r="AM5" s="137"/>
      <c r="AN5" s="137"/>
      <c r="AO5" s="137"/>
      <c r="AP5" s="137"/>
      <c r="AQ5" s="137"/>
      <c r="AR5" s="137"/>
      <c r="AS5" s="137"/>
      <c r="AT5" s="137"/>
      <c r="AU5" s="137"/>
      <c r="AV5" s="137"/>
      <c r="AW5" s="137"/>
      <c r="AX5" s="137"/>
      <c r="AY5" s="137"/>
    </row>
    <row r="6" spans="1:51" ht="20.100000000000001" customHeight="1">
      <c r="A6" s="1"/>
      <c r="B6" s="923" t="s">
        <v>765</v>
      </c>
      <c r="C6" s="925"/>
      <c r="D6" s="125" t="s">
        <v>13</v>
      </c>
      <c r="E6" s="978">
        <f>E4*9.76*0.0258</f>
        <v>0</v>
      </c>
      <c r="F6" s="979"/>
      <c r="G6" s="1115">
        <f>G4*9.76*0.0258</f>
        <v>0</v>
      </c>
      <c r="H6" s="1115"/>
      <c r="I6" s="1102">
        <f>I4*9.76*0.0258</f>
        <v>0</v>
      </c>
      <c r="J6" s="1103"/>
      <c r="K6" s="527" t="str">
        <f>IFERROR(I6/E6,"")</f>
        <v/>
      </c>
      <c r="AK6" s="137"/>
      <c r="AL6" s="137"/>
      <c r="AM6" s="137"/>
      <c r="AN6" s="137"/>
      <c r="AO6" s="137"/>
      <c r="AP6" s="137"/>
      <c r="AQ6" s="137"/>
      <c r="AR6" s="137"/>
      <c r="AS6" s="137"/>
      <c r="AT6" s="137"/>
      <c r="AU6" s="137"/>
      <c r="AV6" s="137"/>
      <c r="AW6" s="137"/>
      <c r="AX6" s="137"/>
      <c r="AY6" s="137"/>
    </row>
    <row r="7" spans="1:51" ht="20.100000000000001" customHeight="1">
      <c r="A7" s="1"/>
      <c r="S7" s="261"/>
      <c r="AK7" s="137"/>
      <c r="AL7" s="137"/>
      <c r="AM7" s="137"/>
      <c r="AN7" s="137"/>
      <c r="AO7" s="137"/>
      <c r="AP7" s="137"/>
      <c r="AQ7" s="137"/>
      <c r="AR7" s="137"/>
      <c r="AS7" s="137"/>
      <c r="AT7" s="137"/>
      <c r="AU7" s="137"/>
      <c r="AV7" s="137"/>
      <c r="AW7" s="137"/>
      <c r="AX7" s="137"/>
      <c r="AY7" s="137"/>
    </row>
    <row r="8" spans="1:51" ht="20.25" customHeight="1">
      <c r="A8" s="109" t="s">
        <v>313</v>
      </c>
      <c r="Y8" s="141" t="s">
        <v>750</v>
      </c>
      <c r="AK8" s="137"/>
      <c r="AL8" s="137"/>
      <c r="AM8" s="137"/>
      <c r="AN8" s="137"/>
      <c r="AO8" s="137"/>
      <c r="AP8" s="137"/>
      <c r="AQ8" s="137"/>
      <c r="AR8" s="137"/>
      <c r="AS8" s="137"/>
      <c r="AT8" s="137"/>
      <c r="AU8" s="137"/>
      <c r="AV8" s="137"/>
      <c r="AW8" s="137"/>
      <c r="AX8" s="137"/>
      <c r="AY8" s="137"/>
    </row>
    <row r="9" spans="1:51" ht="20.25" customHeight="1">
      <c r="Y9" s="141" t="s">
        <v>751</v>
      </c>
      <c r="AK9" s="137"/>
      <c r="AL9" s="137"/>
      <c r="AM9" s="137"/>
      <c r="AN9" s="137"/>
      <c r="AO9" s="137"/>
      <c r="AP9" s="137"/>
      <c r="AQ9" s="137"/>
      <c r="AR9" s="137"/>
      <c r="AS9" s="137"/>
      <c r="AT9" s="137"/>
      <c r="AU9" s="137"/>
      <c r="AV9" s="137"/>
      <c r="AW9" s="137"/>
      <c r="AX9" s="137"/>
      <c r="AY9" s="137"/>
    </row>
    <row r="10" spans="1:51" ht="20.25" customHeight="1">
      <c r="AK10" s="137"/>
      <c r="AL10" s="137"/>
      <c r="AM10" s="137"/>
      <c r="AN10" s="137"/>
      <c r="AO10" s="137"/>
      <c r="AP10" s="137"/>
      <c r="AQ10" s="137"/>
      <c r="AR10" s="137"/>
      <c r="AS10" s="137"/>
      <c r="AT10" s="137"/>
      <c r="AU10" s="137"/>
      <c r="AV10" s="137"/>
      <c r="AW10" s="137"/>
      <c r="AX10" s="137"/>
      <c r="AY10" s="137"/>
    </row>
    <row r="11" spans="1:51" ht="20.25" customHeight="1">
      <c r="Y11" s="141" t="s">
        <v>772</v>
      </c>
      <c r="AK11" s="137"/>
      <c r="AL11" s="137"/>
      <c r="AM11" s="137"/>
      <c r="AN11" s="137"/>
      <c r="AO11" s="137"/>
      <c r="AP11" s="137"/>
      <c r="AQ11" s="137"/>
      <c r="AR11" s="137"/>
      <c r="AS11" s="137"/>
      <c r="AT11" s="137"/>
      <c r="AU11" s="137"/>
      <c r="AV11" s="137"/>
      <c r="AW11" s="137"/>
      <c r="AX11" s="137"/>
      <c r="AY11" s="137"/>
    </row>
    <row r="12" spans="1:51" ht="12" customHeight="1">
      <c r="Y12" s="141" t="s">
        <v>771</v>
      </c>
      <c r="AK12" s="137"/>
      <c r="AL12" s="137"/>
      <c r="AM12" s="137"/>
      <c r="AN12" s="137"/>
      <c r="AO12" s="137"/>
      <c r="AP12" s="137"/>
      <c r="AQ12" s="137"/>
      <c r="AR12" s="137"/>
      <c r="AS12" s="137"/>
      <c r="AT12" s="137"/>
      <c r="AU12" s="137"/>
      <c r="AV12" s="137"/>
      <c r="AW12" s="137"/>
      <c r="AX12" s="137"/>
      <c r="AY12" s="137"/>
    </row>
    <row r="13" spans="1:51" ht="20.100000000000001" customHeight="1">
      <c r="O13" s="812"/>
      <c r="P13" s="812"/>
      <c r="AY13" s="137"/>
    </row>
    <row r="14" spans="1:51" ht="20.100000000000001" customHeight="1">
      <c r="A14" s="214"/>
      <c r="B14" s="327"/>
      <c r="C14" s="327"/>
      <c r="D14" s="327"/>
      <c r="E14" s="327"/>
      <c r="F14" s="327"/>
      <c r="G14" s="328"/>
      <c r="H14" s="328"/>
      <c r="I14" s="328"/>
      <c r="J14" s="328"/>
      <c r="K14" s="328"/>
      <c r="L14" s="328"/>
      <c r="M14" s="329"/>
      <c r="N14" s="329"/>
      <c r="O14" s="328"/>
      <c r="P14" s="254"/>
      <c r="Q14" s="254"/>
      <c r="R14" s="329"/>
      <c r="S14" s="329"/>
      <c r="T14" s="216"/>
      <c r="U14" s="216"/>
      <c r="AY14" s="137"/>
    </row>
    <row r="15" spans="1:51" ht="20.100000000000001" customHeight="1">
      <c r="A15" s="139"/>
      <c r="B15" s="213"/>
      <c r="C15" s="213"/>
      <c r="D15" s="213"/>
      <c r="E15" s="417"/>
      <c r="F15" s="417"/>
      <c r="G15" s="417"/>
      <c r="H15" s="419"/>
      <c r="I15" s="213"/>
      <c r="J15" s="213"/>
      <c r="K15" s="536" t="s">
        <v>778</v>
      </c>
      <c r="L15" s="213"/>
      <c r="M15" s="213"/>
      <c r="N15" s="213"/>
      <c r="O15" s="213"/>
      <c r="P15" s="213"/>
      <c r="Q15" s="213"/>
      <c r="R15" s="213"/>
      <c r="S15" s="213"/>
      <c r="T15" s="216"/>
      <c r="U15" s="216"/>
      <c r="AY15" s="137"/>
    </row>
    <row r="16" spans="1:51" ht="17.25" customHeight="1">
      <c r="A16" s="947" t="s">
        <v>0</v>
      </c>
      <c r="B16" s="220" t="s">
        <v>766</v>
      </c>
      <c r="C16" s="221"/>
      <c r="D16" s="221"/>
      <c r="E16" s="221"/>
      <c r="F16" s="221"/>
      <c r="G16" s="221"/>
      <c r="H16" s="221"/>
      <c r="I16" s="221"/>
      <c r="J16" s="221"/>
      <c r="K16" s="222"/>
      <c r="L16" s="222"/>
      <c r="M16" s="222"/>
      <c r="N16" s="226"/>
      <c r="O16" s="225"/>
      <c r="P16" s="220" t="s">
        <v>742</v>
      </c>
      <c r="Q16" s="221"/>
      <c r="R16" s="221"/>
      <c r="S16" s="221"/>
      <c r="T16" s="589"/>
      <c r="V16" s="140"/>
      <c r="W16" s="140"/>
    </row>
    <row r="17" spans="1:51" ht="15.75" customHeight="1">
      <c r="A17" s="948"/>
      <c r="B17" s="227"/>
      <c r="C17" s="228"/>
      <c r="D17" s="228"/>
      <c r="E17" s="228"/>
      <c r="F17" s="228"/>
      <c r="G17" s="228"/>
      <c r="H17" s="228"/>
      <c r="I17" s="228"/>
      <c r="J17" s="333" t="s">
        <v>50</v>
      </c>
      <c r="K17" s="226"/>
      <c r="L17" s="226"/>
      <c r="M17" s="226"/>
      <c r="N17" s="226"/>
      <c r="O17" s="226"/>
      <c r="P17" s="227"/>
      <c r="Q17" s="228"/>
      <c r="R17" s="228"/>
      <c r="S17" s="228"/>
      <c r="T17" s="229"/>
      <c r="U17" s="141"/>
      <c r="V17" s="141"/>
      <c r="AG17" s="137"/>
      <c r="AH17" s="137"/>
      <c r="AI17" s="137"/>
      <c r="AJ17" s="137"/>
      <c r="AK17" s="137"/>
      <c r="AL17" s="137"/>
      <c r="AM17" s="137"/>
      <c r="AN17" s="137"/>
      <c r="AO17" s="137"/>
      <c r="AP17" s="137"/>
      <c r="AQ17" s="137"/>
      <c r="AR17" s="137"/>
      <c r="AS17" s="137"/>
      <c r="AT17" s="137"/>
      <c r="AU17" s="137"/>
      <c r="AV17" s="137"/>
      <c r="AW17" s="137"/>
      <c r="AX17" s="137"/>
      <c r="AY17" s="137"/>
    </row>
    <row r="18" spans="1:51" ht="35.25" customHeight="1">
      <c r="A18" s="949"/>
      <c r="B18" s="232" t="s">
        <v>15</v>
      </c>
      <c r="C18" s="566" t="s">
        <v>754</v>
      </c>
      <c r="D18" s="566" t="s">
        <v>739</v>
      </c>
      <c r="E18" s="566" t="s">
        <v>738</v>
      </c>
      <c r="F18" s="566" t="s">
        <v>734</v>
      </c>
      <c r="G18" s="566" t="s">
        <v>757</v>
      </c>
      <c r="H18" s="233" t="s">
        <v>744</v>
      </c>
      <c r="I18" s="1046" t="s">
        <v>745</v>
      </c>
      <c r="J18" s="566" t="s">
        <v>752</v>
      </c>
      <c r="K18" s="521" t="s">
        <v>776</v>
      </c>
      <c r="L18" s="566" t="s">
        <v>777</v>
      </c>
      <c r="M18" s="566" t="s">
        <v>749</v>
      </c>
      <c r="N18" s="566" t="s">
        <v>741</v>
      </c>
      <c r="O18" s="566" t="s">
        <v>753</v>
      </c>
      <c r="P18" s="1046" t="s">
        <v>773</v>
      </c>
      <c r="Q18" s="566" t="s">
        <v>755</v>
      </c>
      <c r="R18" s="566" t="s">
        <v>908</v>
      </c>
      <c r="S18" s="566" t="s">
        <v>758</v>
      </c>
      <c r="T18" s="566" t="s">
        <v>759</v>
      </c>
      <c r="U18" s="141"/>
      <c r="V18" s="141"/>
      <c r="AG18" s="137"/>
      <c r="AH18" s="137"/>
      <c r="AI18" s="137"/>
      <c r="AJ18" s="137"/>
      <c r="AK18" s="137"/>
      <c r="AL18" s="137"/>
      <c r="AM18" s="137"/>
      <c r="AN18" s="137"/>
      <c r="AO18" s="137"/>
      <c r="AP18" s="137"/>
      <c r="AQ18" s="137"/>
      <c r="AR18" s="137"/>
      <c r="AS18" s="137"/>
      <c r="AT18" s="137"/>
      <c r="AU18" s="137"/>
      <c r="AV18" s="137"/>
      <c r="AW18" s="137"/>
      <c r="AX18" s="137"/>
      <c r="AY18" s="137"/>
    </row>
    <row r="19" spans="1:51" s="141" customFormat="1" ht="18" customHeight="1">
      <c r="A19" s="133" t="s">
        <v>1</v>
      </c>
      <c r="B19" s="128"/>
      <c r="C19" s="528" t="s">
        <v>639</v>
      </c>
      <c r="D19" s="125" t="s">
        <v>756</v>
      </c>
      <c r="E19" s="125" t="s">
        <v>268</v>
      </c>
      <c r="F19" s="125" t="s">
        <v>735</v>
      </c>
      <c r="G19" s="125" t="s">
        <v>639</v>
      </c>
      <c r="H19" s="125" t="s">
        <v>733</v>
      </c>
      <c r="I19" s="1047"/>
      <c r="J19" s="529" t="s">
        <v>732</v>
      </c>
      <c r="K19" s="529" t="s">
        <v>732</v>
      </c>
      <c r="L19" s="125" t="s">
        <v>647</v>
      </c>
      <c r="M19" s="125" t="s">
        <v>268</v>
      </c>
      <c r="N19" s="125" t="s">
        <v>484</v>
      </c>
      <c r="O19" s="125" t="s">
        <v>268</v>
      </c>
      <c r="P19" s="1047"/>
      <c r="Q19" s="529" t="s">
        <v>58</v>
      </c>
      <c r="R19" s="529" t="s">
        <v>60</v>
      </c>
      <c r="S19" s="125" t="s">
        <v>743</v>
      </c>
      <c r="T19" s="125" t="s">
        <v>743</v>
      </c>
    </row>
    <row r="20" spans="1:51" s="141" customFormat="1" ht="21" customHeight="1">
      <c r="A20" s="357" t="s">
        <v>424</v>
      </c>
      <c r="B20" s="590" t="s">
        <v>232</v>
      </c>
      <c r="C20" s="571">
        <v>22</v>
      </c>
      <c r="D20" s="643">
        <v>240</v>
      </c>
      <c r="E20" s="619">
        <v>0.23</v>
      </c>
      <c r="F20" s="572">
        <v>104</v>
      </c>
      <c r="G20" s="573">
        <v>22</v>
      </c>
      <c r="H20" s="572">
        <v>260</v>
      </c>
      <c r="I20" s="619" t="s">
        <v>750</v>
      </c>
      <c r="J20" s="572">
        <v>185000</v>
      </c>
      <c r="K20" s="572">
        <v>24010</v>
      </c>
      <c r="L20" s="572">
        <v>17200</v>
      </c>
      <c r="M20" s="522">
        <f>L20/K20</f>
        <v>0.71636817992503121</v>
      </c>
      <c r="N20" s="332">
        <f>IF(L20="","",L20*0.495*0.001)</f>
        <v>8.5139999999999993</v>
      </c>
      <c r="O20" s="525">
        <f>IFERROR(N20/(J20*0.495*0.001),"")</f>
        <v>9.2972972972972967E-2</v>
      </c>
      <c r="P20" s="574" t="s">
        <v>772</v>
      </c>
      <c r="Q20" s="571">
        <v>11.2</v>
      </c>
      <c r="R20" s="591">
        <v>4</v>
      </c>
      <c r="S20" s="568">
        <v>4</v>
      </c>
      <c r="T20" s="568">
        <v>8</v>
      </c>
      <c r="U20" s="141">
        <f>IFERROR(MATCH(P20,$Y$11:$Y$12,0),"")</f>
        <v>1</v>
      </c>
      <c r="V20" s="141" t="str">
        <f>IF(U20=2,"○","")</f>
        <v/>
      </c>
    </row>
    <row r="21" spans="1:51" s="141" customFormat="1" ht="23.25" customHeight="1" thickBot="1">
      <c r="A21" s="713" t="s">
        <v>30</v>
      </c>
      <c r="B21" s="740"/>
      <c r="C21" s="745">
        <f t="shared" ref="C21:F21" si="0">_xlfn.AGGREGATE(9,7,C22:C26)</f>
        <v>0</v>
      </c>
      <c r="D21" s="745">
        <f t="shared" si="0"/>
        <v>0</v>
      </c>
      <c r="E21" s="744"/>
      <c r="F21" s="745">
        <f t="shared" si="0"/>
        <v>0</v>
      </c>
      <c r="G21" s="744"/>
      <c r="H21" s="794"/>
      <c r="I21" s="807"/>
      <c r="J21" s="745">
        <f>_xlfn.AGGREGATE(9,7,J22:J26)</f>
        <v>0</v>
      </c>
      <c r="K21" s="745">
        <f>_xlfn.AGGREGATE(9,7,K22:K26)</f>
        <v>0</v>
      </c>
      <c r="L21" s="745">
        <f>_xlfn.AGGREGATE(9,7,L22:L26)</f>
        <v>0</v>
      </c>
      <c r="M21" s="805" t="str">
        <f>IF(K21=0,"",L21/K21)</f>
        <v/>
      </c>
      <c r="N21" s="746">
        <f>_xlfn.AGGREGATE(9,7,N22:N26)</f>
        <v>0</v>
      </c>
      <c r="O21" s="806" t="str">
        <f t="shared" ref="O21:O26" si="1">IFERROR(N21/(J21*0.495*0.001),"")</f>
        <v/>
      </c>
      <c r="P21" s="741"/>
      <c r="Q21" s="792">
        <f>_xlfn.AGGREGATE(9,7,Q22:Q26)</f>
        <v>0</v>
      </c>
      <c r="R21" s="792">
        <f>_xlfn.AGGREGATE(9,7,R22:R26)</f>
        <v>0</v>
      </c>
      <c r="S21" s="719"/>
      <c r="T21" s="719"/>
      <c r="U21" s="141" t="str">
        <f>IFERROR(MATCH(P21,$Y$11:$Y$12,0),"")</f>
        <v/>
      </c>
    </row>
    <row r="22" spans="1:51" s="141" customFormat="1" ht="24.95" customHeight="1">
      <c r="A22" s="728">
        <v>1</v>
      </c>
      <c r="B22" s="684"/>
      <c r="C22" s="685"/>
      <c r="D22" s="796"/>
      <c r="E22" s="797"/>
      <c r="F22" s="798"/>
      <c r="G22" s="799"/>
      <c r="H22" s="798"/>
      <c r="I22" s="800"/>
      <c r="J22" s="798"/>
      <c r="K22" s="689"/>
      <c r="L22" s="791"/>
      <c r="M22" s="801" t="str">
        <f>IFERROR(L22/K22,"")</f>
        <v/>
      </c>
      <c r="N22" s="702" t="str">
        <f t="shared" ref="N22:N26" si="2">IF(L22="","",L22*0.495*0.001)</f>
        <v/>
      </c>
      <c r="O22" s="802" t="str">
        <f t="shared" si="1"/>
        <v/>
      </c>
      <c r="P22" s="803"/>
      <c r="Q22" s="804"/>
      <c r="R22" s="804"/>
      <c r="S22" s="804"/>
      <c r="T22" s="804"/>
      <c r="U22" s="141" t="str">
        <f>IFERROR(MATCH(P22,$Y$11:$Y$12,0),"")</f>
        <v/>
      </c>
      <c r="V22" s="141" t="str">
        <f t="shared" ref="V22:V26" si="3">IF(U22=2,"○","")</f>
        <v/>
      </c>
    </row>
    <row r="23" spans="1:51" s="141" customFormat="1" ht="24.95" customHeight="1">
      <c r="A23" s="22">
        <v>2</v>
      </c>
      <c r="B23" s="616"/>
      <c r="C23" s="489"/>
      <c r="D23" s="526"/>
      <c r="E23" s="637"/>
      <c r="F23" s="638"/>
      <c r="G23" s="639"/>
      <c r="H23" s="638"/>
      <c r="I23" s="640"/>
      <c r="J23" s="638"/>
      <c r="K23" s="641"/>
      <c r="L23" s="416"/>
      <c r="M23" s="523" t="str">
        <f t="shared" ref="M23:M26" si="4">IFERROR(L23/K23,"")</f>
        <v/>
      </c>
      <c r="N23" s="425" t="str">
        <f t="shared" si="2"/>
        <v/>
      </c>
      <c r="O23" s="524" t="str">
        <f t="shared" si="1"/>
        <v/>
      </c>
      <c r="P23" s="535"/>
      <c r="Q23" s="642"/>
      <c r="R23" s="642"/>
      <c r="S23" s="642"/>
      <c r="T23" s="642"/>
      <c r="U23" s="141" t="str">
        <f t="shared" ref="U23:U26" si="5">IFERROR(MATCH(P23,$Y$11:$Y$12,0),"")</f>
        <v/>
      </c>
      <c r="V23" s="141" t="str">
        <f t="shared" si="3"/>
        <v/>
      </c>
    </row>
    <row r="24" spans="1:51" s="141" customFormat="1" ht="24.95" customHeight="1">
      <c r="A24" s="22">
        <v>3</v>
      </c>
      <c r="B24" s="616"/>
      <c r="C24" s="489"/>
      <c r="D24" s="526"/>
      <c r="E24" s="637"/>
      <c r="F24" s="638"/>
      <c r="G24" s="639"/>
      <c r="H24" s="638"/>
      <c r="I24" s="640"/>
      <c r="J24" s="638"/>
      <c r="K24" s="641"/>
      <c r="L24" s="416"/>
      <c r="M24" s="523" t="str">
        <f t="shared" si="4"/>
        <v/>
      </c>
      <c r="N24" s="425" t="str">
        <f t="shared" si="2"/>
        <v/>
      </c>
      <c r="O24" s="524" t="str">
        <f t="shared" si="1"/>
        <v/>
      </c>
      <c r="P24" s="535"/>
      <c r="Q24" s="642"/>
      <c r="R24" s="642"/>
      <c r="S24" s="642"/>
      <c r="T24" s="642"/>
      <c r="U24" s="141" t="str">
        <f t="shared" si="5"/>
        <v/>
      </c>
      <c r="V24" s="141" t="str">
        <f t="shared" si="3"/>
        <v/>
      </c>
    </row>
    <row r="25" spans="1:51" s="141" customFormat="1" ht="24.95" customHeight="1">
      <c r="A25" s="22">
        <v>4</v>
      </c>
      <c r="B25" s="616"/>
      <c r="C25" s="489"/>
      <c r="D25" s="526"/>
      <c r="E25" s="637"/>
      <c r="F25" s="638"/>
      <c r="G25" s="639"/>
      <c r="H25" s="638"/>
      <c r="I25" s="640"/>
      <c r="J25" s="638"/>
      <c r="K25" s="641"/>
      <c r="L25" s="416"/>
      <c r="M25" s="523" t="str">
        <f t="shared" si="4"/>
        <v/>
      </c>
      <c r="N25" s="425" t="str">
        <f t="shared" si="2"/>
        <v/>
      </c>
      <c r="O25" s="524" t="str">
        <f t="shared" si="1"/>
        <v/>
      </c>
      <c r="P25" s="535"/>
      <c r="Q25" s="642"/>
      <c r="R25" s="642"/>
      <c r="S25" s="642"/>
      <c r="T25" s="642"/>
      <c r="U25" s="141" t="str">
        <f t="shared" si="5"/>
        <v/>
      </c>
      <c r="V25" s="141" t="str">
        <f t="shared" si="3"/>
        <v/>
      </c>
    </row>
    <row r="26" spans="1:51" s="141" customFormat="1" ht="24.95" customHeight="1">
      <c r="A26" s="22">
        <v>5</v>
      </c>
      <c r="B26" s="616"/>
      <c r="C26" s="489"/>
      <c r="D26" s="526"/>
      <c r="E26" s="637"/>
      <c r="F26" s="638"/>
      <c r="G26" s="639"/>
      <c r="H26" s="638"/>
      <c r="I26" s="640"/>
      <c r="J26" s="638"/>
      <c r="K26" s="641"/>
      <c r="L26" s="416"/>
      <c r="M26" s="523" t="str">
        <f t="shared" si="4"/>
        <v/>
      </c>
      <c r="N26" s="425" t="str">
        <f t="shared" si="2"/>
        <v/>
      </c>
      <c r="O26" s="524" t="str">
        <f t="shared" si="1"/>
        <v/>
      </c>
      <c r="P26" s="535"/>
      <c r="Q26" s="642"/>
      <c r="R26" s="642"/>
      <c r="S26" s="642"/>
      <c r="T26" s="642"/>
      <c r="U26" s="141" t="str">
        <f t="shared" si="5"/>
        <v/>
      </c>
      <c r="V26" s="141" t="str">
        <f t="shared" si="3"/>
        <v/>
      </c>
    </row>
    <row r="27" spans="1:51" s="141" customFormat="1" ht="12.75" customHeight="1">
      <c r="A27" s="140"/>
      <c r="B27" s="140"/>
      <c r="C27" s="140"/>
      <c r="D27" s="140"/>
      <c r="E27" s="140"/>
      <c r="F27" s="140"/>
      <c r="G27" s="140"/>
      <c r="H27" s="196"/>
      <c r="I27" s="196"/>
      <c r="J27" s="196"/>
      <c r="K27" s="196"/>
      <c r="L27" s="196"/>
      <c r="M27" s="331"/>
      <c r="N27" s="331"/>
      <c r="O27" s="179"/>
      <c r="P27" s="179"/>
      <c r="Q27" s="179"/>
      <c r="R27" s="179"/>
      <c r="S27" s="179"/>
    </row>
    <row r="28" spans="1:51" s="141" customFormat="1" ht="18" customHeight="1">
      <c r="A28" s="530" t="s">
        <v>768</v>
      </c>
      <c r="B28" s="530"/>
      <c r="C28" s="531"/>
      <c r="D28" s="530"/>
      <c r="E28" s="532"/>
      <c r="F28" s="533"/>
      <c r="G28" s="532"/>
      <c r="H28" s="534"/>
      <c r="I28" s="534"/>
      <c r="J28" s="534"/>
      <c r="K28" s="534"/>
      <c r="L28" s="534"/>
      <c r="M28" s="137"/>
      <c r="N28" s="137"/>
      <c r="O28" s="137"/>
      <c r="P28" s="137"/>
      <c r="Q28" s="182"/>
      <c r="R28" s="140"/>
      <c r="S28" s="140"/>
      <c r="U28" s="144"/>
      <c r="V28" s="144"/>
      <c r="W28" s="144"/>
      <c r="X28" s="157"/>
      <c r="AA28" s="154"/>
      <c r="AB28" s="154"/>
      <c r="AD28" s="264"/>
      <c r="AE28" s="157"/>
    </row>
    <row r="29" spans="1:51" s="141" customFormat="1" ht="18" customHeight="1">
      <c r="A29" s="950" t="s">
        <v>767</v>
      </c>
      <c r="B29" s="985"/>
      <c r="C29" s="931" t="str">
        <f>IFERROR(IF(OR(COUNTIF(V22:V26,"○")&gt;0,AND(M21&lt;0.65,M21&gt;0)=TRUE,VALUE(M21)&gt;1,AND(O21&gt;0,O21&lt;0.05)=TRUE,VALUE(O21)&gt;1),"太陽光の蓄電用途ですか？あるいは自家消費電力比率やCO₂削減率が非常に小さいようです。確認し、変更なければ下欄に事由を記載してください。",""),"")</f>
        <v/>
      </c>
      <c r="D29" s="932"/>
      <c r="E29" s="932"/>
      <c r="F29" s="932"/>
      <c r="G29" s="932"/>
      <c r="H29" s="932"/>
      <c r="I29" s="932"/>
      <c r="J29" s="932"/>
      <c r="K29" s="932"/>
      <c r="L29" s="932"/>
      <c r="M29" s="932"/>
      <c r="N29" s="932"/>
      <c r="O29" s="932"/>
      <c r="P29" s="933"/>
      <c r="Q29" s="187"/>
      <c r="R29" s="140"/>
      <c r="S29" s="140"/>
      <c r="U29" s="144"/>
      <c r="V29" s="144"/>
      <c r="W29" s="157"/>
      <c r="Z29" s="154"/>
      <c r="AA29" s="154"/>
      <c r="AC29" s="264"/>
      <c r="AD29" s="157"/>
    </row>
    <row r="30" spans="1:51" s="141" customFormat="1" ht="18" customHeight="1">
      <c r="A30" s="19" t="s">
        <v>691</v>
      </c>
      <c r="B30" s="17"/>
      <c r="C30" s="17"/>
      <c r="D30" s="17"/>
      <c r="E30" s="111"/>
      <c r="F30" s="111"/>
      <c r="G30" s="111"/>
      <c r="H30" s="111"/>
      <c r="I30" s="111"/>
      <c r="J30" s="111"/>
      <c r="K30" s="111"/>
      <c r="L30" s="111"/>
      <c r="M30" s="111"/>
      <c r="N30" s="111"/>
      <c r="O30" s="111"/>
      <c r="P30" s="112"/>
      <c r="Q30" s="182"/>
      <c r="T30" s="144"/>
      <c r="U30" s="144"/>
      <c r="V30" s="144"/>
      <c r="X30" s="265"/>
      <c r="Z30" s="154"/>
      <c r="AB30" s="265"/>
      <c r="AC30" s="264"/>
      <c r="AE30" s="265"/>
    </row>
    <row r="31" spans="1:51" s="141" customFormat="1" ht="18" customHeight="1">
      <c r="A31" s="1106"/>
      <c r="B31" s="1107"/>
      <c r="C31" s="1107"/>
      <c r="D31" s="1107"/>
      <c r="E31" s="1107"/>
      <c r="F31" s="1107"/>
      <c r="G31" s="1107"/>
      <c r="H31" s="1107"/>
      <c r="I31" s="1107"/>
      <c r="J31" s="1107"/>
      <c r="K31" s="1107"/>
      <c r="L31" s="1107"/>
      <c r="M31" s="1107"/>
      <c r="N31" s="1107"/>
      <c r="O31" s="1107"/>
      <c r="P31" s="1108"/>
      <c r="Q31" s="195"/>
      <c r="R31" s="182"/>
      <c r="S31" s="182"/>
      <c r="T31" s="144"/>
      <c r="U31" s="144"/>
      <c r="V31" s="144"/>
      <c r="AK31" s="266"/>
      <c r="AL31" s="266"/>
      <c r="AM31" s="266"/>
      <c r="AN31" s="266"/>
      <c r="AO31" s="266"/>
      <c r="AP31" s="266"/>
      <c r="AQ31" s="266"/>
      <c r="AR31" s="266"/>
      <c r="AS31" s="266"/>
      <c r="AT31" s="266"/>
    </row>
    <row r="32" spans="1:51" s="141" customFormat="1" ht="18" customHeight="1">
      <c r="A32" s="1109"/>
      <c r="B32" s="1110"/>
      <c r="C32" s="1110"/>
      <c r="D32" s="1110"/>
      <c r="E32" s="1110"/>
      <c r="F32" s="1110"/>
      <c r="G32" s="1110"/>
      <c r="H32" s="1110"/>
      <c r="I32" s="1110"/>
      <c r="J32" s="1110"/>
      <c r="K32" s="1110"/>
      <c r="L32" s="1110"/>
      <c r="M32" s="1110"/>
      <c r="N32" s="1110"/>
      <c r="O32" s="1110"/>
      <c r="P32" s="1111"/>
      <c r="Q32" s="195"/>
      <c r="R32" s="182"/>
      <c r="S32" s="182"/>
      <c r="T32" s="144"/>
      <c r="U32" s="144"/>
      <c r="V32" s="144"/>
      <c r="AK32" s="266"/>
      <c r="AL32" s="267"/>
      <c r="AM32" s="266"/>
      <c r="AN32" s="266"/>
      <c r="AO32" s="266"/>
      <c r="AP32" s="266"/>
      <c r="AQ32" s="266"/>
      <c r="AR32" s="266"/>
      <c r="AS32" s="266"/>
      <c r="AT32" s="266"/>
    </row>
    <row r="33" spans="1:47" s="141" customFormat="1" ht="18" customHeight="1">
      <c r="A33" s="1109"/>
      <c r="B33" s="1110"/>
      <c r="C33" s="1110"/>
      <c r="D33" s="1110"/>
      <c r="E33" s="1110"/>
      <c r="F33" s="1110"/>
      <c r="G33" s="1110"/>
      <c r="H33" s="1110"/>
      <c r="I33" s="1110"/>
      <c r="J33" s="1110"/>
      <c r="K33" s="1110"/>
      <c r="L33" s="1110"/>
      <c r="M33" s="1110"/>
      <c r="N33" s="1110"/>
      <c r="O33" s="1110"/>
      <c r="P33" s="1111"/>
      <c r="T33" s="144"/>
      <c r="U33" s="144"/>
      <c r="V33" s="144"/>
      <c r="AK33" s="266"/>
      <c r="AL33" s="267"/>
      <c r="AM33" s="266"/>
      <c r="AN33" s="266"/>
      <c r="AO33" s="266"/>
      <c r="AP33" s="266"/>
      <c r="AQ33" s="266"/>
      <c r="AR33" s="266"/>
      <c r="AS33" s="266"/>
      <c r="AT33" s="266"/>
    </row>
    <row r="34" spans="1:47" s="141" customFormat="1" ht="18" customHeight="1">
      <c r="A34" s="1109"/>
      <c r="B34" s="1110"/>
      <c r="C34" s="1110"/>
      <c r="D34" s="1110"/>
      <c r="E34" s="1110"/>
      <c r="F34" s="1110"/>
      <c r="G34" s="1110"/>
      <c r="H34" s="1110"/>
      <c r="I34" s="1110"/>
      <c r="J34" s="1110"/>
      <c r="K34" s="1110"/>
      <c r="L34" s="1110"/>
      <c r="M34" s="1110"/>
      <c r="N34" s="1110"/>
      <c r="O34" s="1110"/>
      <c r="P34" s="1111"/>
      <c r="T34" s="144"/>
      <c r="U34" s="144"/>
      <c r="V34" s="144"/>
      <c r="AK34" s="266"/>
      <c r="AL34" s="266"/>
      <c r="AM34" s="266"/>
      <c r="AN34" s="266"/>
      <c r="AO34" s="266"/>
      <c r="AP34" s="266"/>
      <c r="AQ34" s="266"/>
      <c r="AR34" s="266"/>
      <c r="AS34" s="266"/>
      <c r="AT34" s="266"/>
    </row>
    <row r="35" spans="1:47" s="141" customFormat="1" ht="18" customHeight="1">
      <c r="A35" s="1109"/>
      <c r="B35" s="1110"/>
      <c r="C35" s="1110"/>
      <c r="D35" s="1110"/>
      <c r="E35" s="1110"/>
      <c r="F35" s="1110"/>
      <c r="G35" s="1110"/>
      <c r="H35" s="1110"/>
      <c r="I35" s="1110"/>
      <c r="J35" s="1110"/>
      <c r="K35" s="1110"/>
      <c r="L35" s="1110"/>
      <c r="M35" s="1110"/>
      <c r="N35" s="1110"/>
      <c r="O35" s="1110"/>
      <c r="P35" s="1111"/>
      <c r="T35" s="144"/>
      <c r="U35" s="144"/>
      <c r="V35" s="144"/>
      <c r="AH35" s="171"/>
      <c r="AK35" s="266"/>
      <c r="AL35" s="266"/>
      <c r="AM35" s="266"/>
      <c r="AN35" s="266"/>
      <c r="AO35" s="266"/>
      <c r="AP35" s="266"/>
      <c r="AQ35" s="266"/>
      <c r="AR35" s="266"/>
      <c r="AS35" s="266"/>
      <c r="AT35" s="266"/>
    </row>
    <row r="36" spans="1:47" s="141" customFormat="1" ht="15" customHeight="1">
      <c r="A36" s="1112"/>
      <c r="B36" s="1113"/>
      <c r="C36" s="1113"/>
      <c r="D36" s="1113"/>
      <c r="E36" s="1113"/>
      <c r="F36" s="1113"/>
      <c r="G36" s="1113"/>
      <c r="H36" s="1113"/>
      <c r="I36" s="1113"/>
      <c r="J36" s="1113"/>
      <c r="K36" s="1113"/>
      <c r="L36" s="1113"/>
      <c r="M36" s="1113"/>
      <c r="N36" s="1113"/>
      <c r="O36" s="1113"/>
      <c r="P36" s="1114"/>
      <c r="T36" s="144"/>
      <c r="U36" s="137"/>
      <c r="V36" s="137"/>
      <c r="AI36" s="171"/>
      <c r="AL36" s="266"/>
      <c r="AM36" s="266"/>
      <c r="AN36" s="266"/>
      <c r="AO36" s="266"/>
      <c r="AP36" s="268"/>
      <c r="AQ36" s="268"/>
      <c r="AR36" s="268"/>
      <c r="AS36" s="269"/>
      <c r="AT36" s="269"/>
      <c r="AU36" s="269"/>
    </row>
    <row r="37" spans="1:47" s="141" customFormat="1" ht="15" customHeight="1">
      <c r="A37" s="137"/>
      <c r="B37" s="137"/>
      <c r="C37" s="137"/>
      <c r="D37" s="137"/>
      <c r="E37" s="137"/>
      <c r="F37" s="137"/>
      <c r="T37" s="143"/>
      <c r="U37" s="144"/>
      <c r="V37" s="144"/>
      <c r="W37" s="238"/>
      <c r="X37" s="271"/>
      <c r="Y37" s="271"/>
      <c r="Z37" s="176"/>
      <c r="AI37" s="171"/>
      <c r="AL37" s="266"/>
      <c r="AM37" s="266"/>
      <c r="AN37" s="266"/>
      <c r="AO37" s="266"/>
      <c r="AP37" s="268"/>
      <c r="AQ37" s="268"/>
      <c r="AR37" s="268"/>
      <c r="AS37" s="269"/>
      <c r="AT37" s="269"/>
      <c r="AU37" s="269"/>
    </row>
    <row r="38" spans="1:47" s="141" customFormat="1" ht="15" customHeight="1">
      <c r="A38" s="137"/>
      <c r="B38" s="137"/>
      <c r="C38" s="137"/>
      <c r="D38" s="137"/>
      <c r="E38" s="137"/>
      <c r="F38" s="137"/>
      <c r="G38" s="137"/>
      <c r="H38" s="137"/>
      <c r="I38" s="137"/>
      <c r="J38" s="137"/>
      <c r="K38" s="137"/>
      <c r="L38" s="137"/>
      <c r="M38" s="137"/>
      <c r="N38" s="137"/>
      <c r="O38" s="137"/>
      <c r="P38" s="137"/>
      <c r="Q38" s="137"/>
      <c r="R38" s="137"/>
      <c r="S38" s="137"/>
      <c r="T38" s="143"/>
      <c r="U38" s="144"/>
      <c r="V38" s="144"/>
      <c r="W38" s="176"/>
      <c r="X38" s="176"/>
      <c r="Y38" s="176"/>
      <c r="Z38" s="176"/>
      <c r="AI38" s="171"/>
      <c r="AL38" s="266"/>
      <c r="AM38" s="266"/>
      <c r="AN38" s="266"/>
      <c r="AO38" s="266"/>
      <c r="AP38" s="268"/>
      <c r="AQ38" s="268"/>
      <c r="AR38" s="268"/>
      <c r="AS38" s="269"/>
      <c r="AT38" s="269"/>
      <c r="AU38" s="269"/>
    </row>
    <row r="39" spans="1:47" s="141" customFormat="1" ht="15" customHeight="1">
      <c r="A39" s="137"/>
      <c r="B39" s="137"/>
      <c r="C39" s="137"/>
      <c r="D39" s="137"/>
      <c r="E39" s="137"/>
      <c r="F39" s="137"/>
      <c r="G39" s="137"/>
      <c r="H39" s="137"/>
      <c r="I39" s="137"/>
      <c r="J39" s="137"/>
      <c r="K39" s="137"/>
      <c r="L39" s="137"/>
      <c r="M39" s="137"/>
      <c r="N39" s="137"/>
      <c r="O39" s="137"/>
      <c r="P39" s="137"/>
      <c r="Q39" s="137"/>
      <c r="R39" s="137"/>
      <c r="S39" s="137"/>
      <c r="T39" s="143"/>
      <c r="U39" s="144"/>
      <c r="V39" s="144"/>
      <c r="W39" s="176"/>
      <c r="X39" s="176"/>
      <c r="Y39" s="176"/>
      <c r="Z39" s="176"/>
      <c r="AI39" s="171"/>
      <c r="AL39" s="266"/>
      <c r="AM39" s="266"/>
      <c r="AN39" s="266"/>
      <c r="AO39" s="266"/>
      <c r="AP39" s="268"/>
      <c r="AQ39" s="268"/>
      <c r="AR39" s="268"/>
      <c r="AS39" s="269"/>
      <c r="AT39" s="269"/>
      <c r="AU39" s="269"/>
    </row>
    <row r="40" spans="1:47" s="141" customFormat="1" ht="15" customHeight="1">
      <c r="A40" s="137"/>
      <c r="B40" s="137"/>
      <c r="C40" s="137"/>
      <c r="D40" s="137"/>
      <c r="E40" s="137"/>
      <c r="F40" s="137"/>
      <c r="G40" s="137"/>
      <c r="H40" s="137"/>
      <c r="I40" s="137"/>
      <c r="J40" s="137"/>
      <c r="K40" s="137"/>
      <c r="L40" s="137"/>
      <c r="M40" s="137"/>
      <c r="N40" s="137"/>
      <c r="O40" s="137"/>
      <c r="P40" s="137"/>
      <c r="Q40" s="137"/>
      <c r="R40" s="137"/>
      <c r="S40" s="137"/>
      <c r="T40" s="143"/>
      <c r="U40" s="144"/>
      <c r="V40" s="144"/>
      <c r="W40" s="176"/>
      <c r="X40" s="176"/>
      <c r="Y40" s="176"/>
      <c r="Z40" s="176"/>
      <c r="AI40" s="171"/>
      <c r="AL40" s="266"/>
      <c r="AM40" s="266"/>
      <c r="AN40" s="266"/>
      <c r="AO40" s="266"/>
      <c r="AP40" s="268"/>
      <c r="AQ40" s="268"/>
      <c r="AR40" s="268"/>
      <c r="AS40" s="269"/>
      <c r="AT40" s="269"/>
      <c r="AU40" s="269"/>
    </row>
    <row r="41" spans="1:47" s="141" customFormat="1" ht="15" customHeight="1">
      <c r="A41" s="137"/>
      <c r="B41" s="137"/>
      <c r="C41" s="137"/>
      <c r="D41" s="137"/>
      <c r="E41" s="137"/>
      <c r="F41" s="137"/>
      <c r="G41" s="137"/>
      <c r="H41" s="137"/>
      <c r="I41" s="137"/>
      <c r="J41" s="137"/>
      <c r="K41" s="137"/>
      <c r="L41" s="137"/>
      <c r="M41" s="137"/>
      <c r="N41" s="137"/>
      <c r="O41" s="137"/>
      <c r="P41" s="137"/>
      <c r="Q41" s="137"/>
      <c r="R41" s="137"/>
      <c r="S41" s="137"/>
      <c r="T41" s="143"/>
      <c r="U41" s="144"/>
      <c r="V41" s="144"/>
      <c r="W41" s="176"/>
      <c r="X41" s="176"/>
      <c r="Y41" s="176"/>
      <c r="Z41" s="176"/>
      <c r="AI41" s="171"/>
      <c r="AL41" s="266"/>
      <c r="AM41" s="266"/>
      <c r="AN41" s="266"/>
      <c r="AO41" s="266"/>
      <c r="AP41" s="268"/>
      <c r="AQ41" s="268"/>
      <c r="AR41" s="268"/>
      <c r="AS41" s="269"/>
      <c r="AT41" s="269"/>
      <c r="AU41" s="269"/>
    </row>
    <row r="42" spans="1:47" s="141" customFormat="1" ht="15" customHeight="1">
      <c r="A42" s="137"/>
      <c r="B42" s="137"/>
      <c r="C42" s="137"/>
      <c r="D42" s="137"/>
      <c r="E42" s="137"/>
      <c r="F42" s="137"/>
      <c r="G42" s="137"/>
      <c r="H42" s="137"/>
      <c r="I42" s="137"/>
      <c r="J42" s="137"/>
      <c r="K42" s="137"/>
      <c r="L42" s="137"/>
      <c r="M42" s="137"/>
      <c r="N42" s="137"/>
      <c r="O42" s="137"/>
      <c r="P42" s="137"/>
      <c r="Q42" s="137"/>
      <c r="R42" s="137"/>
      <c r="S42" s="137"/>
      <c r="T42" s="143"/>
      <c r="U42" s="144"/>
      <c r="V42" s="144"/>
      <c r="W42" s="176"/>
      <c r="X42" s="176"/>
      <c r="Y42" s="176"/>
      <c r="Z42" s="176"/>
      <c r="AI42" s="171"/>
      <c r="AL42" s="266"/>
      <c r="AM42" s="266"/>
      <c r="AN42" s="266"/>
      <c r="AO42" s="266"/>
      <c r="AP42" s="268"/>
      <c r="AQ42" s="268"/>
      <c r="AR42" s="268"/>
      <c r="AS42" s="269"/>
      <c r="AT42" s="269"/>
      <c r="AU42" s="269"/>
    </row>
    <row r="43" spans="1:47" s="141" customFormat="1" ht="15" customHeight="1">
      <c r="A43" s="137"/>
      <c r="B43" s="137"/>
      <c r="C43" s="137"/>
      <c r="D43" s="137"/>
      <c r="E43" s="137"/>
      <c r="F43" s="137"/>
      <c r="G43" s="137"/>
      <c r="H43" s="137"/>
      <c r="I43" s="137"/>
      <c r="J43" s="137"/>
      <c r="K43" s="137"/>
      <c r="L43" s="137"/>
      <c r="M43" s="137"/>
      <c r="N43" s="137"/>
      <c r="O43" s="137"/>
      <c r="P43" s="137"/>
      <c r="Q43" s="137"/>
      <c r="R43" s="137"/>
      <c r="S43" s="137"/>
      <c r="T43" s="143"/>
      <c r="U43" s="144"/>
      <c r="V43" s="144"/>
      <c r="W43" s="176"/>
      <c r="X43" s="176"/>
      <c r="Y43" s="176"/>
      <c r="Z43" s="176"/>
      <c r="AI43" s="171"/>
      <c r="AL43" s="266"/>
      <c r="AM43" s="266"/>
      <c r="AN43" s="266"/>
      <c r="AO43" s="266"/>
      <c r="AP43" s="268"/>
      <c r="AQ43" s="272"/>
      <c r="AR43" s="268"/>
      <c r="AS43" s="269"/>
      <c r="AT43" s="273"/>
      <c r="AU43" s="269"/>
    </row>
    <row r="44" spans="1:47" s="141" customFormat="1" ht="15" customHeight="1">
      <c r="A44" s="137"/>
      <c r="B44" s="137"/>
      <c r="C44" s="137"/>
      <c r="D44" s="137"/>
      <c r="E44" s="137"/>
      <c r="F44" s="137"/>
      <c r="G44" s="137"/>
      <c r="H44" s="137"/>
      <c r="I44" s="137"/>
      <c r="J44" s="137"/>
      <c r="K44" s="137"/>
      <c r="L44" s="137"/>
      <c r="M44" s="137"/>
      <c r="N44" s="137"/>
      <c r="O44" s="137"/>
      <c r="P44" s="137"/>
      <c r="Q44" s="137"/>
      <c r="R44" s="137"/>
      <c r="S44" s="137"/>
      <c r="T44" s="143"/>
      <c r="U44" s="144"/>
      <c r="V44" s="144"/>
      <c r="W44" s="176"/>
      <c r="X44" s="176"/>
      <c r="Y44" s="176"/>
      <c r="Z44" s="176"/>
      <c r="AI44" s="171"/>
      <c r="AL44" s="266"/>
      <c r="AM44" s="266"/>
      <c r="AN44" s="266"/>
      <c r="AO44" s="266"/>
      <c r="AP44" s="268"/>
      <c r="AQ44" s="268"/>
      <c r="AR44" s="268"/>
      <c r="AS44" s="269"/>
      <c r="AT44" s="269"/>
      <c r="AU44" s="269"/>
    </row>
    <row r="45" spans="1:47" s="141" customFormat="1" ht="15" customHeight="1">
      <c r="A45" s="137"/>
      <c r="B45" s="137"/>
      <c r="C45" s="137"/>
      <c r="D45" s="137"/>
      <c r="E45" s="137"/>
      <c r="F45" s="137"/>
      <c r="G45" s="137"/>
      <c r="H45" s="137"/>
      <c r="I45" s="137"/>
      <c r="J45" s="137"/>
      <c r="K45" s="137"/>
      <c r="L45" s="137"/>
      <c r="M45" s="137"/>
      <c r="N45" s="137"/>
      <c r="O45" s="137"/>
      <c r="P45" s="137"/>
      <c r="Q45" s="137"/>
      <c r="R45" s="137"/>
      <c r="S45" s="137"/>
      <c r="T45" s="143"/>
      <c r="U45" s="144"/>
      <c r="V45" s="144"/>
      <c r="W45" s="176"/>
      <c r="X45" s="176"/>
      <c r="Y45" s="176"/>
      <c r="Z45" s="176"/>
      <c r="AI45" s="171"/>
      <c r="AL45" s="266"/>
      <c r="AM45" s="266"/>
      <c r="AN45" s="266"/>
      <c r="AO45" s="266"/>
      <c r="AP45" s="268"/>
      <c r="AQ45" s="268"/>
      <c r="AR45" s="268"/>
      <c r="AS45" s="269"/>
      <c r="AT45" s="269"/>
      <c r="AU45" s="269"/>
    </row>
    <row r="46" spans="1:47" s="141" customFormat="1" ht="15" customHeight="1">
      <c r="A46" s="137"/>
      <c r="B46" s="137"/>
      <c r="C46" s="137"/>
      <c r="D46" s="137"/>
      <c r="E46" s="137"/>
      <c r="F46" s="137"/>
      <c r="G46" s="137"/>
      <c r="H46" s="137"/>
      <c r="I46" s="137"/>
      <c r="J46" s="137"/>
      <c r="K46" s="137"/>
      <c r="L46" s="137"/>
      <c r="M46" s="137"/>
      <c r="N46" s="137"/>
      <c r="O46" s="137"/>
      <c r="P46" s="137"/>
      <c r="Q46" s="137"/>
      <c r="R46" s="137"/>
      <c r="S46" s="137"/>
      <c r="T46" s="143"/>
      <c r="U46" s="144"/>
      <c r="V46" s="144"/>
      <c r="W46" s="176"/>
      <c r="X46" s="176"/>
      <c r="Y46" s="176"/>
      <c r="Z46" s="176"/>
      <c r="AI46" s="171"/>
      <c r="AL46" s="266"/>
      <c r="AM46" s="266"/>
      <c r="AN46" s="266"/>
      <c r="AO46" s="266"/>
      <c r="AP46" s="268"/>
      <c r="AQ46" s="268"/>
      <c r="AR46" s="268"/>
      <c r="AS46" s="269"/>
      <c r="AT46" s="269"/>
      <c r="AU46" s="269"/>
    </row>
    <row r="47" spans="1:47" s="141" customFormat="1" ht="15" customHeight="1">
      <c r="A47" s="137"/>
      <c r="B47" s="137"/>
      <c r="C47" s="137"/>
      <c r="D47" s="137"/>
      <c r="E47" s="137"/>
      <c r="F47" s="137"/>
      <c r="G47" s="137"/>
      <c r="H47" s="137"/>
      <c r="I47" s="137"/>
      <c r="J47" s="137"/>
      <c r="K47" s="137"/>
      <c r="L47" s="137"/>
      <c r="M47" s="137"/>
      <c r="N47" s="137"/>
      <c r="O47" s="137"/>
      <c r="P47" s="137"/>
      <c r="Q47" s="137"/>
      <c r="R47" s="137"/>
      <c r="S47" s="137"/>
      <c r="T47" s="143"/>
      <c r="U47" s="144"/>
      <c r="V47" s="144"/>
      <c r="W47" s="237"/>
      <c r="X47" s="271"/>
      <c r="Y47" s="271"/>
      <c r="Z47" s="176"/>
      <c r="AI47" s="171"/>
      <c r="AL47" s="266"/>
      <c r="AM47" s="266"/>
      <c r="AN47" s="266"/>
      <c r="AO47" s="266"/>
      <c r="AP47" s="268"/>
      <c r="AQ47" s="268"/>
      <c r="AR47" s="266"/>
      <c r="AS47" s="269"/>
      <c r="AT47" s="269"/>
      <c r="AU47" s="269"/>
    </row>
    <row r="48" spans="1:47" s="141" customFormat="1" ht="15" customHeight="1">
      <c r="A48" s="137"/>
      <c r="B48" s="137"/>
      <c r="C48" s="137"/>
      <c r="D48" s="137"/>
      <c r="E48" s="137"/>
      <c r="F48" s="137"/>
      <c r="G48" s="137"/>
      <c r="H48" s="137"/>
      <c r="I48" s="137"/>
      <c r="J48" s="137"/>
      <c r="K48" s="137"/>
      <c r="L48" s="137"/>
      <c r="M48" s="137"/>
      <c r="N48" s="137"/>
      <c r="O48" s="137"/>
      <c r="P48" s="137"/>
      <c r="Q48" s="137"/>
      <c r="R48" s="137"/>
      <c r="S48" s="137"/>
      <c r="T48" s="143"/>
      <c r="U48" s="144"/>
      <c r="V48" s="144"/>
      <c r="W48" s="176"/>
      <c r="X48" s="176"/>
      <c r="Y48" s="176"/>
      <c r="Z48" s="176"/>
      <c r="AI48" s="171"/>
      <c r="AL48" s="266"/>
      <c r="AM48" s="266"/>
      <c r="AN48" s="266"/>
      <c r="AO48" s="266"/>
      <c r="AP48" s="266"/>
      <c r="AQ48" s="268"/>
      <c r="AR48" s="266"/>
      <c r="AS48" s="269"/>
      <c r="AT48" s="269"/>
      <c r="AU48" s="269"/>
    </row>
    <row r="49" spans="1:57" s="141" customFormat="1" ht="15" customHeight="1">
      <c r="A49" s="137"/>
      <c r="B49" s="137"/>
      <c r="C49" s="137"/>
      <c r="D49" s="137"/>
      <c r="E49" s="137"/>
      <c r="F49" s="137"/>
      <c r="G49" s="137"/>
      <c r="H49" s="137"/>
      <c r="I49" s="137"/>
      <c r="J49" s="137"/>
      <c r="K49" s="137"/>
      <c r="L49" s="137"/>
      <c r="M49" s="137"/>
      <c r="N49" s="137"/>
      <c r="O49" s="137"/>
      <c r="P49" s="137"/>
      <c r="Q49" s="137"/>
      <c r="R49" s="137"/>
      <c r="S49" s="137"/>
      <c r="T49" s="143"/>
      <c r="U49" s="144"/>
      <c r="V49" s="144"/>
      <c r="W49" s="176"/>
      <c r="X49" s="176"/>
      <c r="Y49" s="176"/>
      <c r="Z49" s="176"/>
      <c r="AI49" s="171"/>
      <c r="AL49" s="266"/>
      <c r="AM49" s="266"/>
      <c r="AN49" s="266"/>
      <c r="AO49" s="266"/>
      <c r="AP49" s="266"/>
      <c r="AQ49" s="268"/>
      <c r="AR49" s="266"/>
      <c r="AS49" s="269"/>
      <c r="AT49" s="269"/>
      <c r="AU49" s="269"/>
    </row>
    <row r="50" spans="1:57" s="141" customFormat="1" ht="15" customHeight="1">
      <c r="A50" s="137"/>
      <c r="B50" s="137"/>
      <c r="C50" s="137"/>
      <c r="D50" s="137"/>
      <c r="E50" s="137"/>
      <c r="F50" s="137"/>
      <c r="G50" s="137"/>
      <c r="H50" s="137"/>
      <c r="I50" s="137"/>
      <c r="J50" s="137"/>
      <c r="K50" s="137"/>
      <c r="L50" s="137"/>
      <c r="M50" s="137"/>
      <c r="N50" s="137"/>
      <c r="O50" s="137"/>
      <c r="P50" s="137"/>
      <c r="Q50" s="137"/>
      <c r="R50" s="137"/>
      <c r="S50" s="137"/>
      <c r="T50" s="143"/>
      <c r="U50" s="144"/>
      <c r="V50" s="144"/>
      <c r="W50" s="176"/>
      <c r="X50" s="176"/>
      <c r="Y50" s="176"/>
      <c r="Z50" s="176"/>
      <c r="AI50" s="171"/>
      <c r="AL50" s="266"/>
      <c r="AM50" s="266"/>
      <c r="AN50" s="266"/>
      <c r="AO50" s="266"/>
      <c r="AP50" s="266"/>
      <c r="AQ50" s="268"/>
      <c r="AR50" s="266"/>
      <c r="AS50" s="269"/>
      <c r="AT50" s="269"/>
      <c r="AU50" s="269"/>
    </row>
    <row r="51" spans="1:57" s="141" customFormat="1" ht="15" customHeight="1">
      <c r="A51" s="137"/>
      <c r="B51" s="137"/>
      <c r="C51" s="137"/>
      <c r="D51" s="137"/>
      <c r="E51" s="137"/>
      <c r="F51" s="137"/>
      <c r="G51" s="137"/>
      <c r="H51" s="137"/>
      <c r="I51" s="137"/>
      <c r="J51" s="137"/>
      <c r="K51" s="137"/>
      <c r="L51" s="137"/>
      <c r="M51" s="137"/>
      <c r="N51" s="137"/>
      <c r="O51" s="137"/>
      <c r="P51" s="137"/>
      <c r="Q51" s="137"/>
      <c r="R51" s="137"/>
      <c r="S51" s="137"/>
      <c r="T51" s="143"/>
      <c r="U51" s="144"/>
      <c r="V51" s="144"/>
      <c r="W51" s="176"/>
      <c r="X51" s="176"/>
      <c r="Y51" s="176"/>
      <c r="Z51" s="176"/>
      <c r="AI51" s="171"/>
      <c r="AL51" s="266"/>
      <c r="AM51" s="266"/>
      <c r="AN51" s="266"/>
      <c r="AO51" s="266"/>
      <c r="AP51" s="266"/>
      <c r="AQ51" s="268"/>
      <c r="AR51" s="266"/>
      <c r="AS51" s="269"/>
      <c r="AT51" s="269"/>
      <c r="AU51" s="269"/>
    </row>
    <row r="52" spans="1:57" s="141" customFormat="1" ht="15" customHeight="1">
      <c r="A52" s="137"/>
      <c r="B52" s="137"/>
      <c r="C52" s="137"/>
      <c r="D52" s="137"/>
      <c r="E52" s="137"/>
      <c r="F52" s="137"/>
      <c r="G52" s="137"/>
      <c r="H52" s="137"/>
      <c r="I52" s="137"/>
      <c r="J52" s="137"/>
      <c r="K52" s="137"/>
      <c r="L52" s="137"/>
      <c r="M52" s="137"/>
      <c r="N52" s="137"/>
      <c r="O52" s="137"/>
      <c r="P52" s="137"/>
      <c r="Q52" s="137"/>
      <c r="R52" s="137"/>
      <c r="S52" s="137"/>
      <c r="T52" s="143"/>
      <c r="U52" s="144"/>
      <c r="V52" s="144"/>
      <c r="W52" s="274"/>
      <c r="X52" s="271"/>
      <c r="Y52" s="271"/>
      <c r="Z52" s="176"/>
      <c r="AI52" s="171"/>
      <c r="AL52" s="266"/>
      <c r="AM52" s="266"/>
      <c r="AN52" s="266"/>
      <c r="AO52" s="266"/>
      <c r="AP52" s="266"/>
      <c r="AQ52" s="268"/>
      <c r="AR52" s="266"/>
      <c r="AS52" s="269"/>
      <c r="AT52" s="269"/>
      <c r="AU52" s="269"/>
    </row>
    <row r="53" spans="1:57" s="141" customFormat="1" ht="15" customHeight="1">
      <c r="A53" s="137"/>
      <c r="B53" s="137"/>
      <c r="C53" s="137"/>
      <c r="D53" s="137"/>
      <c r="E53" s="137"/>
      <c r="F53" s="137"/>
      <c r="G53" s="137"/>
      <c r="H53" s="137"/>
      <c r="I53" s="137"/>
      <c r="J53" s="137"/>
      <c r="K53" s="137"/>
      <c r="L53" s="137"/>
      <c r="M53" s="137"/>
      <c r="N53" s="137"/>
      <c r="O53" s="137"/>
      <c r="P53" s="137"/>
      <c r="Q53" s="137"/>
      <c r="R53" s="137"/>
      <c r="S53" s="137"/>
      <c r="T53" s="143"/>
      <c r="U53" s="144"/>
      <c r="V53" s="144"/>
      <c r="W53" s="176"/>
      <c r="X53" s="176"/>
      <c r="Y53" s="176"/>
      <c r="Z53" s="176"/>
      <c r="AI53" s="171"/>
      <c r="AL53" s="266"/>
      <c r="AM53" s="266"/>
      <c r="AN53" s="266"/>
      <c r="AO53" s="266"/>
      <c r="AP53" s="266"/>
      <c r="AQ53" s="268"/>
      <c r="AR53" s="266"/>
      <c r="AS53" s="269"/>
      <c r="AT53" s="269"/>
      <c r="AU53" s="269"/>
    </row>
    <row r="54" spans="1:57" s="141" customFormat="1" ht="15" customHeight="1">
      <c r="A54" s="137"/>
      <c r="B54" s="137"/>
      <c r="C54" s="137"/>
      <c r="D54" s="137"/>
      <c r="E54" s="137"/>
      <c r="F54" s="137"/>
      <c r="G54" s="137"/>
      <c r="H54" s="137"/>
      <c r="I54" s="137"/>
      <c r="J54" s="137"/>
      <c r="K54" s="137"/>
      <c r="L54" s="137"/>
      <c r="M54" s="137"/>
      <c r="N54" s="137"/>
      <c r="O54" s="137"/>
      <c r="P54" s="137"/>
      <c r="Q54" s="137"/>
      <c r="R54" s="137"/>
      <c r="S54" s="137"/>
      <c r="T54" s="143"/>
      <c r="U54" s="144"/>
      <c r="V54" s="144"/>
      <c r="W54" s="176"/>
      <c r="X54" s="176"/>
      <c r="Y54" s="176"/>
      <c r="Z54" s="176"/>
      <c r="AI54" s="171"/>
      <c r="AL54" s="266"/>
      <c r="AM54" s="266"/>
      <c r="AN54" s="266"/>
      <c r="AO54" s="266"/>
      <c r="AP54" s="266"/>
      <c r="AQ54" s="268"/>
      <c r="AR54" s="266"/>
      <c r="AS54" s="269"/>
      <c r="AT54" s="269"/>
      <c r="AU54" s="269"/>
    </row>
    <row r="55" spans="1:57" s="141" customFormat="1" ht="15" customHeight="1">
      <c r="A55" s="137"/>
      <c r="B55" s="137"/>
      <c r="C55" s="137"/>
      <c r="D55" s="137"/>
      <c r="E55" s="137"/>
      <c r="F55" s="137"/>
      <c r="G55" s="137"/>
      <c r="H55" s="137"/>
      <c r="I55" s="137"/>
      <c r="J55" s="137"/>
      <c r="K55" s="137"/>
      <c r="L55" s="137"/>
      <c r="M55" s="137"/>
      <c r="N55" s="137"/>
      <c r="O55" s="137"/>
      <c r="P55" s="137"/>
      <c r="Q55" s="137"/>
      <c r="R55" s="137"/>
      <c r="S55" s="137"/>
      <c r="T55" s="143"/>
      <c r="U55" s="144"/>
      <c r="V55" s="144"/>
      <c r="W55" s="176"/>
      <c r="X55" s="176"/>
      <c r="Y55" s="176"/>
      <c r="Z55" s="176"/>
      <c r="AI55" s="171"/>
      <c r="AL55" s="266"/>
      <c r="AM55" s="266"/>
      <c r="AN55" s="266"/>
      <c r="AO55" s="266"/>
      <c r="AP55" s="266"/>
      <c r="AQ55" s="268"/>
      <c r="AR55" s="266"/>
      <c r="AS55" s="269"/>
      <c r="AT55" s="269"/>
      <c r="AU55" s="269"/>
    </row>
    <row r="56" spans="1:57" s="141" customFormat="1" ht="15" customHeight="1">
      <c r="A56" s="137"/>
      <c r="B56" s="137"/>
      <c r="C56" s="137"/>
      <c r="D56" s="137"/>
      <c r="E56" s="137"/>
      <c r="F56" s="137"/>
      <c r="G56" s="137"/>
      <c r="H56" s="137"/>
      <c r="I56" s="137"/>
      <c r="J56" s="137"/>
      <c r="K56" s="137"/>
      <c r="L56" s="137"/>
      <c r="M56" s="137"/>
      <c r="N56" s="137"/>
      <c r="O56" s="137"/>
      <c r="P56" s="137"/>
      <c r="Q56" s="137"/>
      <c r="R56" s="137"/>
      <c r="S56" s="137"/>
      <c r="T56" s="143"/>
      <c r="U56" s="144"/>
      <c r="V56" s="144"/>
      <c r="W56" s="176"/>
      <c r="X56" s="176"/>
      <c r="Y56" s="176"/>
      <c r="Z56" s="176"/>
      <c r="AI56" s="171"/>
      <c r="AL56" s="266"/>
      <c r="AM56" s="266"/>
      <c r="AN56" s="266"/>
      <c r="AO56" s="266"/>
      <c r="AP56" s="266"/>
      <c r="AQ56" s="268"/>
      <c r="AR56" s="266"/>
      <c r="AS56" s="269"/>
      <c r="AT56" s="269"/>
      <c r="AU56" s="269"/>
    </row>
    <row r="57" spans="1:57" s="141" customFormat="1" ht="15" customHeight="1">
      <c r="A57" s="137"/>
      <c r="B57" s="137"/>
      <c r="C57" s="137"/>
      <c r="D57" s="137"/>
      <c r="E57" s="137"/>
      <c r="F57" s="137"/>
      <c r="G57" s="137"/>
      <c r="H57" s="137"/>
      <c r="I57" s="137"/>
      <c r="J57" s="137"/>
      <c r="K57" s="137"/>
      <c r="L57" s="137"/>
      <c r="M57" s="137"/>
      <c r="N57" s="137"/>
      <c r="O57" s="137"/>
      <c r="P57" s="137"/>
      <c r="Q57" s="137"/>
      <c r="R57" s="137"/>
      <c r="S57" s="137"/>
      <c r="T57" s="143"/>
      <c r="U57" s="144"/>
      <c r="V57" s="144"/>
      <c r="W57" s="274"/>
      <c r="X57" s="271"/>
      <c r="Y57" s="271"/>
      <c r="Z57" s="176"/>
      <c r="AI57" s="171"/>
      <c r="AL57" s="266"/>
      <c r="AM57" s="266"/>
      <c r="AN57" s="266"/>
      <c r="AO57" s="266"/>
      <c r="AP57" s="266"/>
      <c r="AQ57" s="268"/>
      <c r="AR57" s="266"/>
      <c r="AS57" s="269"/>
      <c r="AT57" s="269"/>
      <c r="AU57" s="269"/>
    </row>
    <row r="58" spans="1:57" s="141" customFormat="1" ht="15" customHeight="1">
      <c r="A58" s="137"/>
      <c r="B58" s="137"/>
      <c r="C58" s="137"/>
      <c r="D58" s="137"/>
      <c r="E58" s="137"/>
      <c r="F58" s="137"/>
      <c r="G58" s="137"/>
      <c r="H58" s="137"/>
      <c r="I58" s="137"/>
      <c r="J58" s="137"/>
      <c r="K58" s="137"/>
      <c r="L58" s="137"/>
      <c r="M58" s="137"/>
      <c r="N58" s="137"/>
      <c r="O58" s="137"/>
      <c r="P58" s="137"/>
      <c r="Q58" s="137"/>
      <c r="R58" s="137"/>
      <c r="S58" s="137"/>
      <c r="T58" s="143"/>
      <c r="U58" s="144"/>
      <c r="V58" s="144"/>
      <c r="W58" s="202"/>
      <c r="X58" s="202"/>
      <c r="Y58" s="202"/>
      <c r="Z58" s="176"/>
      <c r="AI58" s="171"/>
      <c r="AL58" s="266"/>
      <c r="AM58" s="266"/>
      <c r="AN58" s="266"/>
      <c r="AO58" s="266"/>
      <c r="AP58" s="266"/>
      <c r="AQ58" s="268"/>
      <c r="AR58" s="266"/>
      <c r="AS58" s="269"/>
      <c r="AT58" s="269"/>
      <c r="AU58" s="269"/>
    </row>
    <row r="59" spans="1:57" s="141" customFormat="1" ht="15" customHeight="1">
      <c r="A59" s="137"/>
      <c r="B59" s="137"/>
      <c r="C59" s="137"/>
      <c r="D59" s="137"/>
      <c r="E59" s="137"/>
      <c r="F59" s="137"/>
      <c r="G59" s="137"/>
      <c r="H59" s="137"/>
      <c r="I59" s="137"/>
      <c r="J59" s="137"/>
      <c r="K59" s="137"/>
      <c r="L59" s="137"/>
      <c r="M59" s="137"/>
      <c r="N59" s="137"/>
      <c r="O59" s="137"/>
      <c r="P59" s="137"/>
      <c r="Q59" s="137"/>
      <c r="R59" s="137"/>
      <c r="S59" s="137"/>
      <c r="T59" s="143"/>
      <c r="U59" s="144"/>
      <c r="V59" s="144"/>
      <c r="W59" s="176"/>
      <c r="X59" s="176"/>
      <c r="Y59" s="176"/>
      <c r="Z59" s="176"/>
      <c r="AI59" s="171"/>
      <c r="AL59" s="266"/>
      <c r="AM59" s="266"/>
      <c r="AN59" s="266"/>
      <c r="AO59" s="266"/>
      <c r="AP59" s="266"/>
      <c r="AQ59" s="268"/>
      <c r="AR59" s="266"/>
      <c r="AS59" s="269"/>
      <c r="AT59" s="269"/>
      <c r="AU59" s="269"/>
    </row>
    <row r="60" spans="1:57" s="141" customFormat="1" ht="15" customHeight="1">
      <c r="A60" s="137"/>
      <c r="B60" s="137"/>
      <c r="C60" s="137"/>
      <c r="D60" s="137"/>
      <c r="E60" s="137"/>
      <c r="F60" s="137"/>
      <c r="G60" s="137"/>
      <c r="H60" s="137"/>
      <c r="I60" s="137"/>
      <c r="J60" s="137"/>
      <c r="K60" s="137"/>
      <c r="L60" s="137"/>
      <c r="M60" s="137"/>
      <c r="N60" s="137"/>
      <c r="O60" s="137"/>
      <c r="P60" s="137"/>
      <c r="Q60" s="137"/>
      <c r="R60" s="137"/>
      <c r="S60" s="137"/>
      <c r="T60" s="143"/>
      <c r="U60" s="144"/>
      <c r="V60" s="144"/>
      <c r="W60" s="176"/>
      <c r="X60" s="176"/>
      <c r="Y60" s="176"/>
      <c r="Z60" s="176"/>
      <c r="AI60" s="171"/>
      <c r="AL60" s="266"/>
      <c r="AM60" s="266"/>
      <c r="AN60" s="266"/>
      <c r="AO60" s="266"/>
      <c r="AP60" s="266"/>
      <c r="AQ60" s="268"/>
      <c r="AR60" s="266"/>
      <c r="AS60" s="269"/>
      <c r="AT60" s="269"/>
      <c r="AU60" s="269"/>
    </row>
    <row r="61" spans="1:57" s="141" customFormat="1" ht="15" customHeight="1">
      <c r="A61" s="137"/>
      <c r="B61" s="137"/>
      <c r="C61" s="137"/>
      <c r="D61" s="137"/>
      <c r="E61" s="137"/>
      <c r="F61" s="137"/>
      <c r="G61" s="137"/>
      <c r="H61" s="137"/>
      <c r="I61" s="137"/>
      <c r="J61" s="137"/>
      <c r="K61" s="137"/>
      <c r="L61" s="137"/>
      <c r="M61" s="137"/>
      <c r="N61" s="137"/>
      <c r="O61" s="137"/>
      <c r="P61" s="137"/>
      <c r="Q61" s="137"/>
      <c r="R61" s="137"/>
      <c r="S61" s="137"/>
      <c r="T61" s="143"/>
      <c r="U61" s="144"/>
      <c r="V61" s="144"/>
      <c r="W61" s="176"/>
      <c r="X61" s="176"/>
      <c r="Y61" s="176"/>
      <c r="Z61" s="176"/>
      <c r="AL61" s="266"/>
      <c r="AM61" s="266"/>
      <c r="AN61" s="266"/>
      <c r="AO61" s="266"/>
      <c r="AP61" s="266"/>
      <c r="AQ61" s="268"/>
      <c r="AR61" s="266"/>
      <c r="AS61" s="269"/>
      <c r="AT61" s="269"/>
      <c r="AU61" s="269"/>
    </row>
    <row r="62" spans="1:57" s="141" customFormat="1" ht="15" customHeight="1">
      <c r="A62" s="137"/>
      <c r="B62" s="137"/>
      <c r="C62" s="137"/>
      <c r="D62" s="137"/>
      <c r="E62" s="137"/>
      <c r="F62" s="137"/>
      <c r="G62" s="137"/>
      <c r="H62" s="137"/>
      <c r="I62" s="137"/>
      <c r="J62" s="137"/>
      <c r="K62" s="137"/>
      <c r="L62" s="137"/>
      <c r="M62" s="137"/>
      <c r="N62" s="137"/>
      <c r="O62" s="137"/>
      <c r="P62" s="137"/>
      <c r="Q62" s="137"/>
      <c r="R62" s="137"/>
      <c r="S62" s="137"/>
      <c r="T62" s="143"/>
      <c r="U62" s="144"/>
      <c r="V62" s="144"/>
      <c r="AL62" s="266"/>
      <c r="AM62" s="266"/>
      <c r="AN62" s="266"/>
      <c r="AO62" s="266"/>
      <c r="AP62" s="266"/>
      <c r="AQ62" s="268"/>
      <c r="AR62" s="266"/>
      <c r="AS62" s="269"/>
      <c r="AT62" s="269"/>
      <c r="AU62" s="269"/>
    </row>
    <row r="63" spans="1:57" s="141" customFormat="1" ht="15" customHeight="1">
      <c r="A63" s="137"/>
      <c r="B63" s="137"/>
      <c r="C63" s="137"/>
      <c r="D63" s="137"/>
      <c r="E63" s="137"/>
      <c r="F63" s="137"/>
      <c r="G63" s="137"/>
      <c r="H63" s="137"/>
      <c r="I63" s="137"/>
      <c r="J63" s="137"/>
      <c r="K63" s="137"/>
      <c r="L63" s="137"/>
      <c r="M63" s="137"/>
      <c r="N63" s="137"/>
      <c r="O63" s="137"/>
      <c r="P63" s="137"/>
      <c r="Q63" s="137"/>
      <c r="R63" s="137"/>
      <c r="S63" s="137"/>
      <c r="T63" s="143"/>
      <c r="U63" s="144"/>
      <c r="V63" s="144"/>
    </row>
    <row r="64" spans="1:57" s="141" customFormat="1" ht="15" customHeight="1">
      <c r="A64" s="137"/>
      <c r="B64" s="137"/>
      <c r="C64" s="137"/>
      <c r="D64" s="137"/>
      <c r="E64" s="137"/>
      <c r="F64" s="137"/>
      <c r="G64" s="137"/>
      <c r="H64" s="137"/>
      <c r="I64" s="137"/>
      <c r="J64" s="137"/>
      <c r="K64" s="137"/>
      <c r="L64" s="137"/>
      <c r="M64" s="137"/>
      <c r="N64" s="137"/>
      <c r="O64" s="137"/>
      <c r="P64" s="137"/>
      <c r="Q64" s="137"/>
      <c r="R64" s="137"/>
      <c r="S64" s="137"/>
      <c r="T64" s="207"/>
      <c r="U64" s="137"/>
      <c r="V64" s="137"/>
      <c r="AZ64" s="137"/>
      <c r="BA64" s="137"/>
      <c r="BB64" s="137"/>
      <c r="BC64" s="137"/>
      <c r="BD64" s="137"/>
      <c r="BE64" s="137"/>
    </row>
    <row r="65" spans="1:57" s="141" customFormat="1">
      <c r="A65" s="137"/>
      <c r="B65" s="137"/>
      <c r="C65" s="137"/>
      <c r="D65" s="137"/>
      <c r="E65" s="137"/>
      <c r="F65" s="137"/>
      <c r="G65" s="137"/>
      <c r="H65" s="137"/>
      <c r="I65" s="137"/>
      <c r="J65" s="137"/>
      <c r="K65" s="137"/>
      <c r="L65" s="137"/>
      <c r="M65" s="137"/>
      <c r="N65" s="137"/>
      <c r="O65" s="137"/>
      <c r="P65" s="137"/>
      <c r="Q65" s="137"/>
      <c r="R65" s="137"/>
      <c r="S65" s="137"/>
      <c r="T65" s="210"/>
      <c r="U65" s="137"/>
      <c r="V65" s="137"/>
      <c r="AZ65" s="137"/>
      <c r="BA65" s="137"/>
      <c r="BB65" s="137"/>
      <c r="BC65" s="137"/>
      <c r="BD65" s="137"/>
      <c r="BE65" s="137"/>
    </row>
    <row r="66" spans="1:57" s="141" customFormat="1" ht="16.5" customHeight="1">
      <c r="A66" s="137"/>
      <c r="B66" s="137"/>
      <c r="C66" s="137"/>
      <c r="D66" s="137"/>
      <c r="E66" s="137"/>
      <c r="F66" s="137"/>
      <c r="G66" s="137"/>
      <c r="H66" s="137"/>
      <c r="I66" s="137"/>
      <c r="J66" s="137"/>
      <c r="K66" s="137"/>
      <c r="L66" s="137"/>
      <c r="M66" s="137"/>
      <c r="N66" s="137"/>
      <c r="O66" s="137"/>
      <c r="P66" s="137"/>
      <c r="Q66" s="137"/>
      <c r="R66" s="137"/>
      <c r="S66" s="137"/>
      <c r="T66" s="210"/>
      <c r="U66" s="137"/>
      <c r="V66" s="137"/>
      <c r="AZ66" s="137"/>
      <c r="BA66" s="137"/>
      <c r="BB66" s="137"/>
      <c r="BC66" s="137"/>
      <c r="BD66" s="137"/>
      <c r="BE66" s="137"/>
    </row>
    <row r="67" spans="1:57" s="141" customFormat="1" ht="13.5" customHeight="1">
      <c r="A67" s="137"/>
      <c r="B67" s="137"/>
      <c r="C67" s="137"/>
      <c r="D67" s="137"/>
      <c r="E67" s="137"/>
      <c r="F67" s="137"/>
      <c r="G67" s="137"/>
      <c r="H67" s="137"/>
      <c r="I67" s="137"/>
      <c r="J67" s="137"/>
      <c r="K67" s="137"/>
      <c r="L67" s="137"/>
      <c r="M67" s="137"/>
      <c r="N67" s="137"/>
      <c r="O67" s="137"/>
      <c r="P67" s="137"/>
      <c r="Q67" s="137"/>
      <c r="R67" s="137"/>
      <c r="S67" s="137"/>
      <c r="T67" s="210"/>
      <c r="U67" s="137"/>
      <c r="V67" s="137"/>
      <c r="AZ67" s="137"/>
      <c r="BA67" s="137"/>
      <c r="BB67" s="137"/>
      <c r="BC67" s="137"/>
      <c r="BD67" s="137"/>
      <c r="BE67" s="137"/>
    </row>
    <row r="68" spans="1:57" s="141" customFormat="1" ht="13.5" customHeight="1">
      <c r="A68" s="137"/>
      <c r="B68" s="137"/>
      <c r="C68" s="137"/>
      <c r="D68" s="137"/>
      <c r="E68" s="137"/>
      <c r="F68" s="137"/>
      <c r="G68" s="137"/>
      <c r="H68" s="137"/>
      <c r="I68" s="137"/>
      <c r="J68" s="137"/>
      <c r="K68" s="137"/>
      <c r="L68" s="137"/>
      <c r="M68" s="137"/>
      <c r="N68" s="137"/>
      <c r="O68" s="137"/>
      <c r="P68" s="137"/>
      <c r="Q68" s="137"/>
      <c r="R68" s="137"/>
      <c r="S68" s="137"/>
      <c r="T68" s="140"/>
      <c r="U68" s="137"/>
      <c r="V68" s="137"/>
      <c r="AZ68" s="137"/>
      <c r="BA68" s="137"/>
      <c r="BB68" s="137"/>
      <c r="BC68" s="137"/>
      <c r="BD68" s="137"/>
      <c r="BE68" s="137"/>
    </row>
    <row r="69" spans="1:57" s="141" customFormat="1" ht="13.5" customHeight="1">
      <c r="A69" s="137"/>
      <c r="B69" s="137"/>
      <c r="C69" s="137"/>
      <c r="D69" s="137"/>
      <c r="E69" s="137"/>
      <c r="F69" s="137"/>
      <c r="G69" s="137"/>
      <c r="H69" s="137"/>
      <c r="I69" s="137"/>
      <c r="J69" s="137"/>
      <c r="K69" s="137"/>
      <c r="L69" s="137"/>
      <c r="M69" s="137"/>
      <c r="N69" s="137"/>
      <c r="O69" s="137"/>
      <c r="P69" s="137"/>
      <c r="Q69" s="137"/>
      <c r="R69" s="137"/>
      <c r="S69" s="137"/>
      <c r="T69" s="210"/>
      <c r="U69" s="137"/>
      <c r="V69" s="137"/>
      <c r="AZ69" s="137"/>
      <c r="BA69" s="137"/>
      <c r="BB69" s="137"/>
      <c r="BC69" s="137"/>
      <c r="BD69" s="137"/>
      <c r="BE69" s="137"/>
    </row>
    <row r="70" spans="1:57" s="141" customFormat="1" ht="13.5" customHeight="1">
      <c r="A70" s="137"/>
      <c r="B70" s="137"/>
      <c r="C70" s="137"/>
      <c r="D70" s="137"/>
      <c r="E70" s="137"/>
      <c r="F70" s="137"/>
      <c r="G70" s="137"/>
      <c r="H70" s="137"/>
      <c r="I70" s="137"/>
      <c r="J70" s="137"/>
      <c r="K70" s="137"/>
      <c r="L70" s="137"/>
      <c r="M70" s="137"/>
      <c r="N70" s="137"/>
      <c r="O70" s="137"/>
      <c r="P70" s="137"/>
      <c r="Q70" s="137"/>
      <c r="R70" s="137"/>
      <c r="S70" s="137"/>
      <c r="T70" s="211"/>
      <c r="U70" s="137"/>
      <c r="V70" s="137"/>
      <c r="AZ70" s="137"/>
      <c r="BA70" s="137"/>
      <c r="BB70" s="137"/>
      <c r="BC70" s="137"/>
      <c r="BD70" s="137"/>
      <c r="BE70" s="137"/>
    </row>
    <row r="71" spans="1:57" s="141" customFormat="1" ht="13.5" customHeight="1">
      <c r="A71" s="137"/>
      <c r="B71" s="137"/>
      <c r="C71" s="137"/>
      <c r="D71" s="137"/>
      <c r="E71" s="137"/>
      <c r="F71" s="137"/>
      <c r="G71" s="137"/>
      <c r="H71" s="137"/>
      <c r="I71" s="137"/>
      <c r="J71" s="137"/>
      <c r="K71" s="137"/>
      <c r="L71" s="137"/>
      <c r="M71" s="137"/>
      <c r="N71" s="137"/>
      <c r="O71" s="137"/>
      <c r="P71" s="137"/>
      <c r="Q71" s="137"/>
      <c r="R71" s="137"/>
      <c r="S71" s="137"/>
      <c r="T71" s="211"/>
      <c r="U71" s="137"/>
      <c r="V71" s="137"/>
      <c r="AZ71" s="137"/>
      <c r="BA71" s="137"/>
      <c r="BB71" s="137"/>
      <c r="BC71" s="137"/>
      <c r="BD71" s="137"/>
      <c r="BE71" s="137"/>
    </row>
    <row r="72" spans="1:57" s="141" customFormat="1" ht="13.5" customHeight="1">
      <c r="A72" s="137"/>
      <c r="B72" s="137"/>
      <c r="C72" s="137"/>
      <c r="D72" s="137"/>
      <c r="E72" s="137"/>
      <c r="F72" s="137"/>
      <c r="G72" s="137"/>
      <c r="H72" s="137"/>
      <c r="I72" s="137"/>
      <c r="J72" s="137"/>
      <c r="K72" s="137"/>
      <c r="L72" s="137"/>
      <c r="M72" s="137"/>
      <c r="N72" s="137"/>
      <c r="O72" s="137"/>
      <c r="P72" s="137"/>
      <c r="Q72" s="137"/>
      <c r="R72" s="137"/>
      <c r="S72" s="137"/>
      <c r="T72" s="137"/>
      <c r="U72" s="137"/>
      <c r="V72" s="137"/>
      <c r="AZ72" s="137"/>
      <c r="BA72" s="137"/>
      <c r="BB72" s="137"/>
      <c r="BC72" s="137"/>
      <c r="BD72" s="137"/>
      <c r="BE72" s="137"/>
    </row>
    <row r="73" spans="1:57" ht="13.5" customHeight="1">
      <c r="T73" s="210"/>
    </row>
    <row r="74" spans="1:57" ht="13.5" customHeight="1">
      <c r="T74" s="212"/>
    </row>
    <row r="75" spans="1:57" ht="13.5" customHeight="1">
      <c r="T75" s="212"/>
    </row>
    <row r="76" spans="1:57" ht="13.5" customHeight="1"/>
    <row r="77" spans="1:57" ht="13.5" customHeight="1"/>
    <row r="79" spans="1:57" ht="13.5" customHeight="1"/>
    <row r="80" spans="1:57" ht="14.25" customHeight="1"/>
  </sheetData>
  <sheetProtection algorithmName="SHA-512" hashValue="2UI3En3lvLD8wC6bHqJo2Yz7pEEik+o++RkKTII4rWqbsnLwth/78yRcB7K2qQVB0j3qIrELFxWc9pnSPPXkQA==" saltValue="pRT3noBsAVJi3EfPzyXViQ==" spinCount="100000" sheet="1" objects="1" scenarios="1" formatCells="0"/>
  <mergeCells count="23">
    <mergeCell ref="A31:P36"/>
    <mergeCell ref="I3:J3"/>
    <mergeCell ref="G6:H6"/>
    <mergeCell ref="C29:P29"/>
    <mergeCell ref="E3:F3"/>
    <mergeCell ref="B3:C3"/>
    <mergeCell ref="A29:B29"/>
    <mergeCell ref="G4:H4"/>
    <mergeCell ref="A16:A18"/>
    <mergeCell ref="B6:C6"/>
    <mergeCell ref="G3:H3"/>
    <mergeCell ref="G5:H5"/>
    <mergeCell ref="B4:C4"/>
    <mergeCell ref="B5:C5"/>
    <mergeCell ref="E4:F4"/>
    <mergeCell ref="E5:F5"/>
    <mergeCell ref="N1:T1"/>
    <mergeCell ref="P18:P19"/>
    <mergeCell ref="E6:F6"/>
    <mergeCell ref="I4:J4"/>
    <mergeCell ref="I5:J5"/>
    <mergeCell ref="I6:J6"/>
    <mergeCell ref="I18:I19"/>
  </mergeCells>
  <phoneticPr fontId="3"/>
  <conditionalFormatting sqref="S7">
    <cfRule type="expression" dxfId="20" priority="16">
      <formula>#REF!="なし"</formula>
    </cfRule>
  </conditionalFormatting>
  <conditionalFormatting sqref="A15">
    <cfRule type="expression" dxfId="19" priority="17">
      <formula>#REF!&lt;&gt;2</formula>
    </cfRule>
  </conditionalFormatting>
  <conditionalFormatting sqref="A15">
    <cfRule type="expression" dxfId="18" priority="18">
      <formula>#REF!=2</formula>
    </cfRule>
  </conditionalFormatting>
  <conditionalFormatting sqref="A31">
    <cfRule type="expression" dxfId="17" priority="42">
      <formula>OR(COUNTIF(V22:V26,"○")&gt;0,M21&lt;0.65,O21&lt;0.05)=TRUE</formula>
    </cfRule>
  </conditionalFormatting>
  <conditionalFormatting sqref="M21">
    <cfRule type="cellIs" dxfId="16" priority="4" operator="lessThanOrEqual">
      <formula>0.65</formula>
    </cfRule>
  </conditionalFormatting>
  <conditionalFormatting sqref="P21">
    <cfRule type="expression" dxfId="15" priority="2">
      <formula>COUNTIF(V22:V26,"○")&gt;0</formula>
    </cfRule>
  </conditionalFormatting>
  <conditionalFormatting sqref="O21">
    <cfRule type="expression" dxfId="14" priority="1">
      <formula>AND(O21&lt;0.05,O21&gt;0)</formula>
    </cfRule>
  </conditionalFormatting>
  <dataValidations count="3">
    <dataValidation type="list" allowBlank="1" showInputMessage="1" showErrorMessage="1" sqref="I20 I22:I26" xr:uid="{F2B7AEB0-5AC3-4A22-AB33-01257ADEAC0F}">
      <formula1>$Y$8:$Y$9</formula1>
    </dataValidation>
    <dataValidation type="list" allowBlank="1" showInputMessage="1" showErrorMessage="1" sqref="P20:P26" xr:uid="{3F30C48E-015B-4B30-BF6D-8AF921B8C353}">
      <formula1>$Y$11:$Y$12</formula1>
    </dataValidation>
    <dataValidation type="list" allowBlank="1" showInputMessage="1" showErrorMessage="1" sqref="G14:H14" xr:uid="{2F329494-CD4F-4BF1-A077-49DC0FD9B121}">
      <formula1>#REF!</formula1>
    </dataValidation>
  </dataValidations>
  <printOptions horizontalCentered="1"/>
  <pageMargins left="0.27559055118110237" right="0.19685039370078741" top="0.74803149606299213" bottom="0.55118110236220474" header="0.31496062992125984" footer="0.31496062992125984"/>
  <pageSetup paperSize="9" scale="76" orientation="landscape" r:id="rId1"/>
  <headerFooter>
    <oddHeader>&amp;L様式第1号（別紙）</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C545-6E3D-479D-B4E3-CB3D42CA5047}">
  <sheetPr>
    <tabColor rgb="FF00B0F0"/>
  </sheetPr>
  <dimension ref="A1:DC89"/>
  <sheetViews>
    <sheetView view="pageBreakPreview" topLeftCell="V15" zoomScaleNormal="100" zoomScaleSheetLayoutView="100" workbookViewId="0">
      <selection activeCell="AH32" sqref="AH32"/>
    </sheetView>
  </sheetViews>
  <sheetFormatPr defaultColWidth="9" defaultRowHeight="18.75"/>
  <cols>
    <col min="1" max="1" width="3.25" style="137" customWidth="1"/>
    <col min="2" max="2" width="18.125" style="137" customWidth="1"/>
    <col min="3" max="4" width="8.5" style="137" customWidth="1"/>
    <col min="5" max="5" width="4.25" style="137" customWidth="1"/>
    <col min="6" max="6" width="5.625" style="137" customWidth="1"/>
    <col min="7" max="7" width="6.875" style="137" customWidth="1"/>
    <col min="8" max="8" width="4.875" style="137" customWidth="1"/>
    <col min="9" max="9" width="7.375" style="137" customWidth="1"/>
    <col min="10" max="10" width="6.375" style="137" customWidth="1"/>
    <col min="11" max="11" width="4.625" style="137" customWidth="1"/>
    <col min="12" max="12" width="6.625" style="137" customWidth="1"/>
    <col min="13" max="13" width="7" style="137" customWidth="1"/>
    <col min="14" max="14" width="6" style="137" customWidth="1"/>
    <col min="15" max="15" width="7" style="137" hidden="1" customWidth="1"/>
    <col min="16" max="16" width="5.25" style="137" customWidth="1"/>
    <col min="17" max="17" width="8.625" style="137" customWidth="1"/>
    <col min="18" max="18" width="4.875" style="137" customWidth="1"/>
    <col min="19" max="19" width="8.375" style="137" customWidth="1"/>
    <col min="20" max="20" width="8.625" style="137" customWidth="1"/>
    <col min="21" max="21" width="13.625" style="137" customWidth="1"/>
    <col min="22" max="22" width="8.625" style="137" customWidth="1"/>
    <col min="23" max="23" width="9" style="137" customWidth="1"/>
    <col min="24" max="24" width="4.75" style="137" customWidth="1"/>
    <col min="25" max="25" width="4" style="137" customWidth="1"/>
    <col min="26" max="26" width="5" style="137" customWidth="1"/>
    <col min="27" max="27" width="6.5" style="137" customWidth="1"/>
    <col min="28" max="28" width="6.625" style="137" customWidth="1"/>
    <col min="29" max="29" width="4.625" style="137" customWidth="1"/>
    <col min="30" max="31" width="5.625" style="137" customWidth="1"/>
    <col min="32" max="32" width="8.625" style="137" customWidth="1"/>
    <col min="33" max="33" width="4.5" style="137" customWidth="1"/>
    <col min="34" max="34" width="8.625" style="137" customWidth="1"/>
    <col min="35" max="35" width="9.125" style="137" customWidth="1"/>
    <col min="36" max="37" width="8.375" style="137" customWidth="1"/>
    <col min="38" max="38" width="8.625" style="137" customWidth="1"/>
    <col min="39" max="39" width="8" style="137" hidden="1" customWidth="1"/>
    <col min="40" max="40" width="7.375" style="137" hidden="1" customWidth="1"/>
    <col min="41" max="41" width="3.875" style="137" hidden="1" customWidth="1"/>
    <col min="42" max="43" width="5.625" style="137" hidden="1" customWidth="1"/>
    <col min="44" max="44" width="6.125" style="137" hidden="1" customWidth="1"/>
    <col min="45" max="47" width="9" style="137" hidden="1" customWidth="1"/>
    <col min="48" max="48" width="6.5" style="137" hidden="1" customWidth="1"/>
    <col min="49" max="50" width="6.875" style="137" hidden="1" customWidth="1"/>
    <col min="51" max="51" width="10.125" style="137" hidden="1" customWidth="1"/>
    <col min="52" max="52" width="8.375" style="137" hidden="1" customWidth="1"/>
    <col min="53" max="54" width="6.875" style="137" hidden="1" customWidth="1"/>
    <col min="55" max="55" width="5" style="137" hidden="1" customWidth="1"/>
    <col min="56" max="57" width="9" style="137" hidden="1" customWidth="1"/>
    <col min="58" max="58" width="9.5" style="137" hidden="1" customWidth="1"/>
    <col min="59" max="59" width="9" style="137" hidden="1" customWidth="1"/>
    <col min="60" max="60" width="13.625" style="137" hidden="1" customWidth="1"/>
    <col min="61" max="63" width="9" style="137" hidden="1" customWidth="1"/>
    <col min="64" max="68" width="9" style="141" hidden="1" customWidth="1"/>
    <col min="69" max="69" width="16.625" style="141" hidden="1" customWidth="1"/>
    <col min="70" max="73" width="9" style="141" hidden="1" customWidth="1"/>
    <col min="74" max="98" width="9" style="141" customWidth="1"/>
    <col min="99" max="101" width="9" style="141"/>
    <col min="102" max="16384" width="9" style="137"/>
  </cols>
  <sheetData>
    <row r="1" spans="1:101" ht="28.5" customHeight="1">
      <c r="A1" s="69" t="s">
        <v>656</v>
      </c>
      <c r="AE1" s="1123">
        <f>CO２削減量算定シート!O7</f>
        <v>0</v>
      </c>
      <c r="AF1" s="1123"/>
      <c r="AG1" s="1123"/>
      <c r="AH1" s="1123"/>
      <c r="AI1" s="1123"/>
      <c r="AJ1" s="1123"/>
      <c r="AK1" s="1123"/>
      <c r="AL1" s="1123"/>
      <c r="AY1" s="137" t="s">
        <v>941</v>
      </c>
      <c r="BA1" s="137" t="s">
        <v>575</v>
      </c>
      <c r="BB1" s="137" t="s">
        <v>576</v>
      </c>
      <c r="BF1" s="59" t="s">
        <v>543</v>
      </c>
      <c r="BG1" s="59"/>
      <c r="BH1" s="59" t="s">
        <v>544</v>
      </c>
      <c r="BI1" s="59" t="s">
        <v>545</v>
      </c>
      <c r="BJ1" s="59" t="s">
        <v>546</v>
      </c>
      <c r="BK1" s="59" t="s">
        <v>547</v>
      </c>
      <c r="BL1" s="59" t="s">
        <v>548</v>
      </c>
      <c r="BM1" s="153" t="s">
        <v>588</v>
      </c>
      <c r="CW1" s="137"/>
    </row>
    <row r="2" spans="1:101">
      <c r="A2" s="136" t="s">
        <v>312</v>
      </c>
      <c r="B2" s="1"/>
      <c r="C2" s="1"/>
      <c r="D2" s="1"/>
      <c r="E2" s="1"/>
      <c r="F2" s="1"/>
      <c r="G2" s="1"/>
      <c r="H2" s="1"/>
      <c r="I2" s="1"/>
      <c r="J2" s="1"/>
      <c r="K2" s="6"/>
      <c r="L2" s="6"/>
      <c r="T2" s="258"/>
      <c r="U2" s="109" t="s">
        <v>314</v>
      </c>
      <c r="V2" s="109"/>
      <c r="W2" s="499" t="s">
        <v>728</v>
      </c>
      <c r="X2" s="109"/>
      <c r="Z2" s="108"/>
      <c r="AB2" s="70"/>
      <c r="AC2" s="70"/>
      <c r="AD2" s="70"/>
      <c r="AE2" s="70"/>
      <c r="AF2" s="70"/>
      <c r="AG2" s="70"/>
      <c r="AH2" s="70"/>
      <c r="BA2" s="137" t="s">
        <v>530</v>
      </c>
      <c r="BB2" s="137" t="s">
        <v>531</v>
      </c>
      <c r="BC2" s="137" t="s">
        <v>532</v>
      </c>
      <c r="BF2" s="277" t="s">
        <v>549</v>
      </c>
      <c r="BG2" s="59" t="s">
        <v>599</v>
      </c>
      <c r="BH2" s="278">
        <v>45</v>
      </c>
      <c r="BI2" s="279">
        <v>40.799999999999997</v>
      </c>
      <c r="BJ2" s="59" t="s">
        <v>550</v>
      </c>
      <c r="BK2" s="59" t="s">
        <v>551</v>
      </c>
      <c r="BL2" s="59" t="s">
        <v>592</v>
      </c>
      <c r="BM2" s="153">
        <v>2.2440000000000002</v>
      </c>
      <c r="BO2" s="153" t="s">
        <v>543</v>
      </c>
      <c r="BP2" s="153"/>
      <c r="CW2" s="137"/>
    </row>
    <row r="3" spans="1:101" ht="20.100000000000001" customHeight="1">
      <c r="A3" s="1"/>
      <c r="B3" s="923" t="s">
        <v>0</v>
      </c>
      <c r="C3" s="924"/>
      <c r="D3" s="399" t="s">
        <v>598</v>
      </c>
      <c r="E3" s="950" t="s">
        <v>2</v>
      </c>
      <c r="F3" s="985"/>
      <c r="G3" s="951"/>
      <c r="H3" s="1139" t="s">
        <v>3</v>
      </c>
      <c r="I3" s="1139"/>
      <c r="J3" s="1139"/>
      <c r="K3" s="1139" t="s">
        <v>4</v>
      </c>
      <c r="L3" s="1139"/>
      <c r="M3" s="1139"/>
      <c r="N3" s="1135" t="s">
        <v>5</v>
      </c>
      <c r="O3" s="1136"/>
      <c r="P3" s="1137"/>
      <c r="U3" s="950" t="s">
        <v>11</v>
      </c>
      <c r="V3" s="985"/>
      <c r="W3" s="1134" t="str">
        <f>IF(AO26&lt;0,"設備容量が増加していませんか？変更がなければ、特記事項に事由を記載してください。","")</f>
        <v/>
      </c>
      <c r="X3" s="1134"/>
      <c r="Y3" s="1134"/>
      <c r="Z3" s="1134"/>
      <c r="AA3" s="1134"/>
      <c r="AB3" s="1134"/>
      <c r="AC3" s="1134"/>
      <c r="AD3" s="1134"/>
      <c r="AE3" s="1134"/>
      <c r="AF3" s="1134"/>
      <c r="AG3" s="1134"/>
      <c r="AH3" s="1134"/>
      <c r="AI3" s="1134"/>
      <c r="AJ3" s="1134"/>
      <c r="AK3" s="1134"/>
      <c r="AL3" s="1134"/>
      <c r="AX3" s="250"/>
      <c r="BA3" s="137" t="s">
        <v>534</v>
      </c>
      <c r="BB3" s="137" t="s">
        <v>535</v>
      </c>
      <c r="BC3" s="137" t="s">
        <v>536</v>
      </c>
      <c r="BF3" s="280"/>
      <c r="BG3" s="283" t="s">
        <v>573</v>
      </c>
      <c r="BH3" s="59">
        <v>50.8</v>
      </c>
      <c r="BI3" s="59">
        <v>45.8</v>
      </c>
      <c r="BJ3" s="59" t="s">
        <v>552</v>
      </c>
      <c r="BK3" s="59" t="s">
        <v>553</v>
      </c>
      <c r="BL3" s="59" t="s">
        <v>554</v>
      </c>
      <c r="BM3" s="153">
        <v>2.9988999999999999</v>
      </c>
      <c r="BO3" s="345" t="s">
        <v>530</v>
      </c>
      <c r="BP3" s="153" t="s">
        <v>599</v>
      </c>
      <c r="CI3" s="137"/>
      <c r="CJ3" s="137"/>
      <c r="CK3" s="137"/>
      <c r="CL3" s="137"/>
      <c r="CM3" s="137"/>
      <c r="CN3" s="137"/>
      <c r="CO3" s="137"/>
      <c r="CP3" s="137"/>
      <c r="CQ3" s="137"/>
      <c r="CR3" s="137"/>
      <c r="CS3" s="137"/>
      <c r="CT3" s="137"/>
      <c r="CU3" s="137"/>
      <c r="CV3" s="137"/>
      <c r="CW3" s="137"/>
    </row>
    <row r="4" spans="1:101" ht="20.100000000000001" customHeight="1">
      <c r="A4" s="1"/>
      <c r="B4" s="923" t="s">
        <v>654</v>
      </c>
      <c r="C4" s="924"/>
      <c r="D4" s="558" t="str">
        <f>AJ24</f>
        <v>/年</v>
      </c>
      <c r="E4" s="976">
        <f>Q26</f>
        <v>0</v>
      </c>
      <c r="F4" s="1143"/>
      <c r="G4" s="977"/>
      <c r="H4" s="1116">
        <f>AF26</f>
        <v>0</v>
      </c>
      <c r="I4" s="1116"/>
      <c r="J4" s="1116"/>
      <c r="K4" s="1116">
        <f>E4-H4</f>
        <v>0</v>
      </c>
      <c r="L4" s="1116"/>
      <c r="M4" s="1116"/>
      <c r="N4" s="1140">
        <f>IFERROR(K4/E4,0)</f>
        <v>0</v>
      </c>
      <c r="O4" s="1141"/>
      <c r="P4" s="1142"/>
      <c r="U4" s="19" t="s">
        <v>691</v>
      </c>
      <c r="V4" s="17"/>
      <c r="W4" s="17"/>
      <c r="X4" s="17"/>
      <c r="Y4" s="111"/>
      <c r="Z4" s="111"/>
      <c r="AA4" s="111"/>
      <c r="AB4" s="111"/>
      <c r="AC4" s="111"/>
      <c r="AD4" s="111"/>
      <c r="AE4" s="111"/>
      <c r="AF4" s="111"/>
      <c r="AG4" s="111"/>
      <c r="AH4" s="111"/>
      <c r="AI4" s="111"/>
      <c r="AJ4" s="111"/>
      <c r="AK4" s="111"/>
      <c r="AL4" s="112"/>
      <c r="AY4" s="252"/>
      <c r="BA4" s="137" t="s">
        <v>537</v>
      </c>
      <c r="BB4" s="137" t="s">
        <v>538</v>
      </c>
      <c r="BC4" s="137" t="s">
        <v>539</v>
      </c>
      <c r="BF4" s="280"/>
      <c r="BG4" s="283" t="s">
        <v>574</v>
      </c>
      <c r="BH4" s="284">
        <f>50.8/0.482</f>
        <v>105.39419087136929</v>
      </c>
      <c r="BI4" s="285">
        <f>45.8/0.482</f>
        <v>95.020746887966808</v>
      </c>
      <c r="BJ4" s="286" t="s">
        <v>509</v>
      </c>
      <c r="BK4" s="286" t="s">
        <v>590</v>
      </c>
      <c r="BL4" s="59" t="s">
        <v>592</v>
      </c>
      <c r="BM4" s="153">
        <v>6.22</v>
      </c>
      <c r="BO4" s="347"/>
      <c r="BP4" s="153" t="s">
        <v>572</v>
      </c>
      <c r="CI4" s="137"/>
      <c r="CJ4" s="137"/>
      <c r="CK4" s="137"/>
      <c r="CL4" s="137"/>
      <c r="CM4" s="137"/>
      <c r="CN4" s="137"/>
      <c r="CO4" s="137"/>
      <c r="CP4" s="137"/>
      <c r="CQ4" s="137"/>
      <c r="CR4" s="137"/>
      <c r="CS4" s="137"/>
      <c r="CT4" s="137"/>
      <c r="CU4" s="137"/>
      <c r="CV4" s="137"/>
      <c r="CW4" s="137"/>
    </row>
    <row r="5" spans="1:101" ht="20.100000000000001" customHeight="1">
      <c r="A5" s="1"/>
      <c r="B5" s="923" t="s">
        <v>655</v>
      </c>
      <c r="C5" s="925"/>
      <c r="D5" s="429" t="s">
        <v>643</v>
      </c>
      <c r="E5" s="1124">
        <f>S26</f>
        <v>0</v>
      </c>
      <c r="F5" s="1125"/>
      <c r="G5" s="1126"/>
      <c r="H5" s="1129">
        <f>AH26</f>
        <v>0</v>
      </c>
      <c r="I5" s="1129"/>
      <c r="J5" s="1129"/>
      <c r="K5" s="1116">
        <f>E5-H5</f>
        <v>0</v>
      </c>
      <c r="L5" s="1116"/>
      <c r="M5" s="1116"/>
      <c r="N5" s="1140">
        <f>IFERROR(K5/E5,0)</f>
        <v>0</v>
      </c>
      <c r="O5" s="1141"/>
      <c r="P5" s="1142"/>
      <c r="U5" s="934"/>
      <c r="V5" s="935"/>
      <c r="W5" s="935"/>
      <c r="X5" s="935"/>
      <c r="Y5" s="935"/>
      <c r="Z5" s="935"/>
      <c r="AA5" s="935"/>
      <c r="AB5" s="935"/>
      <c r="AC5" s="935"/>
      <c r="AD5" s="935"/>
      <c r="AE5" s="935"/>
      <c r="AF5" s="935"/>
      <c r="AG5" s="935"/>
      <c r="AH5" s="935"/>
      <c r="AI5" s="935"/>
      <c r="AJ5" s="935"/>
      <c r="AK5" s="935"/>
      <c r="AL5" s="936"/>
      <c r="AY5" s="252"/>
      <c r="BA5" s="137" t="s">
        <v>577</v>
      </c>
      <c r="BB5" s="137" t="s">
        <v>531</v>
      </c>
      <c r="BC5" s="137" t="s">
        <v>532</v>
      </c>
      <c r="BF5" s="280"/>
      <c r="BG5" s="59" t="s">
        <v>510</v>
      </c>
      <c r="BH5" s="59">
        <v>54.6</v>
      </c>
      <c r="BI5" s="59">
        <v>49.2</v>
      </c>
      <c r="BJ5" s="59" t="s">
        <v>552</v>
      </c>
      <c r="BK5" s="59" t="s">
        <v>553</v>
      </c>
      <c r="BL5" s="59" t="s">
        <v>554</v>
      </c>
      <c r="BM5" s="153">
        <v>2.7027000000000001</v>
      </c>
      <c r="BO5" s="347"/>
      <c r="BP5" s="153" t="s">
        <v>609</v>
      </c>
      <c r="CI5" s="137"/>
      <c r="CJ5" s="137"/>
      <c r="CK5" s="137"/>
      <c r="CL5" s="137"/>
      <c r="CM5" s="137"/>
      <c r="CN5" s="137"/>
      <c r="CO5" s="137"/>
      <c r="CP5" s="137"/>
      <c r="CQ5" s="137"/>
      <c r="CR5" s="137"/>
      <c r="CS5" s="137"/>
      <c r="CT5" s="137"/>
      <c r="CU5" s="137"/>
      <c r="CV5" s="137"/>
      <c r="CW5" s="137"/>
    </row>
    <row r="6" spans="1:101" ht="20.100000000000001" customHeight="1">
      <c r="A6" s="1"/>
      <c r="B6" s="923" t="s">
        <v>9</v>
      </c>
      <c r="C6" s="925"/>
      <c r="D6" s="125" t="s">
        <v>484</v>
      </c>
      <c r="E6" s="958">
        <f>T26</f>
        <v>0</v>
      </c>
      <c r="F6" s="1127"/>
      <c r="G6" s="959"/>
      <c r="H6" s="1130">
        <f>AI26</f>
        <v>0</v>
      </c>
      <c r="I6" s="1130"/>
      <c r="J6" s="1130"/>
      <c r="K6" s="1131">
        <f>E6-H6</f>
        <v>0</v>
      </c>
      <c r="L6" s="1131"/>
      <c r="M6" s="1131"/>
      <c r="N6" s="1140">
        <f>IFERROR(K6/E6,0)</f>
        <v>0</v>
      </c>
      <c r="O6" s="1141"/>
      <c r="P6" s="1142"/>
      <c r="U6" s="937"/>
      <c r="V6" s="938"/>
      <c r="W6" s="938"/>
      <c r="X6" s="938"/>
      <c r="Y6" s="938"/>
      <c r="Z6" s="938"/>
      <c r="AA6" s="938"/>
      <c r="AB6" s="938"/>
      <c r="AC6" s="938"/>
      <c r="AD6" s="938"/>
      <c r="AE6" s="938"/>
      <c r="AF6" s="938"/>
      <c r="AG6" s="938"/>
      <c r="AH6" s="938"/>
      <c r="AI6" s="938"/>
      <c r="AJ6" s="938"/>
      <c r="AK6" s="938"/>
      <c r="AL6" s="939"/>
      <c r="AY6" s="252"/>
      <c r="BF6" s="281"/>
      <c r="BG6" s="59" t="s">
        <v>571</v>
      </c>
      <c r="BH6" s="59">
        <f>W16</f>
        <v>0</v>
      </c>
      <c r="BI6" s="59">
        <f>W17</f>
        <v>0</v>
      </c>
      <c r="BJ6" s="59" t="s">
        <v>531</v>
      </c>
      <c r="BK6" s="59" t="s">
        <v>533</v>
      </c>
      <c r="BL6" s="59" t="s">
        <v>554</v>
      </c>
      <c r="BM6" s="153">
        <f>W18</f>
        <v>0</v>
      </c>
      <c r="BO6" s="347"/>
      <c r="BP6" s="153" t="s">
        <v>589</v>
      </c>
      <c r="CI6" s="137"/>
      <c r="CJ6" s="137"/>
      <c r="CK6" s="137"/>
      <c r="CL6" s="137"/>
      <c r="CM6" s="137"/>
      <c r="CN6" s="137"/>
      <c r="CO6" s="137"/>
      <c r="CP6" s="137"/>
      <c r="CQ6" s="137"/>
      <c r="CR6" s="137"/>
      <c r="CS6" s="137"/>
      <c r="CT6" s="137"/>
      <c r="CU6" s="137"/>
      <c r="CV6" s="137"/>
      <c r="CW6" s="137"/>
    </row>
    <row r="7" spans="1:101" ht="20.100000000000001" customHeight="1">
      <c r="A7" s="1"/>
      <c r="B7" s="923" t="s">
        <v>12</v>
      </c>
      <c r="C7" s="925"/>
      <c r="D7" s="125" t="s">
        <v>13</v>
      </c>
      <c r="E7" s="960">
        <f>AV26</f>
        <v>0</v>
      </c>
      <c r="F7" s="1128"/>
      <c r="G7" s="961"/>
      <c r="H7" s="1131">
        <f>BB26</f>
        <v>0</v>
      </c>
      <c r="I7" s="1131"/>
      <c r="J7" s="1131"/>
      <c r="K7" s="1131">
        <f>E7-H7</f>
        <v>0</v>
      </c>
      <c r="L7" s="1131"/>
      <c r="M7" s="1131"/>
      <c r="N7" s="1140">
        <f>IFERROR(K7/E7,0)</f>
        <v>0</v>
      </c>
      <c r="O7" s="1141"/>
      <c r="P7" s="1142"/>
      <c r="T7" s="261"/>
      <c r="U7" s="937"/>
      <c r="V7" s="938"/>
      <c r="W7" s="938"/>
      <c r="X7" s="938"/>
      <c r="Y7" s="938"/>
      <c r="Z7" s="938"/>
      <c r="AA7" s="938"/>
      <c r="AB7" s="938"/>
      <c r="AC7" s="938"/>
      <c r="AD7" s="938"/>
      <c r="AE7" s="938"/>
      <c r="AF7" s="938"/>
      <c r="AG7" s="938"/>
      <c r="AH7" s="938"/>
      <c r="AI7" s="938"/>
      <c r="AJ7" s="938"/>
      <c r="AK7" s="938"/>
      <c r="AL7" s="939"/>
      <c r="AY7" s="252"/>
      <c r="BF7" s="277" t="s">
        <v>555</v>
      </c>
      <c r="BG7" s="59" t="s">
        <v>556</v>
      </c>
      <c r="BH7" s="59">
        <v>36.700000000000003</v>
      </c>
      <c r="BI7" s="59">
        <v>34.200000000000003</v>
      </c>
      <c r="BJ7" s="59" t="s">
        <v>557</v>
      </c>
      <c r="BK7" s="59" t="s">
        <v>558</v>
      </c>
      <c r="BL7" s="59" t="s">
        <v>559</v>
      </c>
      <c r="BM7" s="153">
        <v>2.4895</v>
      </c>
      <c r="BO7" s="345" t="s">
        <v>555</v>
      </c>
      <c r="BP7" s="153" t="s">
        <v>556</v>
      </c>
      <c r="CI7" s="137"/>
      <c r="CJ7" s="137"/>
      <c r="CK7" s="137"/>
      <c r="CL7" s="137"/>
      <c r="CM7" s="137"/>
      <c r="CN7" s="137"/>
      <c r="CO7" s="137"/>
      <c r="CP7" s="137"/>
      <c r="CQ7" s="137"/>
      <c r="CR7" s="137"/>
      <c r="CS7" s="137"/>
      <c r="CT7" s="137"/>
      <c r="CU7" s="137"/>
      <c r="CV7" s="137"/>
      <c r="CW7" s="137"/>
    </row>
    <row r="8" spans="1:101" ht="19.5" customHeight="1">
      <c r="B8" s="298"/>
      <c r="C8" s="298"/>
      <c r="D8" s="298"/>
      <c r="E8" s="298"/>
      <c r="F8" s="298"/>
      <c r="G8" s="298"/>
      <c r="H8" s="294"/>
      <c r="I8" s="299"/>
      <c r="J8" s="299"/>
      <c r="K8" s="299"/>
      <c r="L8" s="299"/>
      <c r="M8" s="299"/>
      <c r="N8" s="299"/>
      <c r="O8" s="299"/>
      <c r="P8" s="299"/>
      <c r="T8" s="260"/>
      <c r="U8" s="937"/>
      <c r="V8" s="938"/>
      <c r="W8" s="938"/>
      <c r="X8" s="938"/>
      <c r="Y8" s="938"/>
      <c r="Z8" s="938"/>
      <c r="AA8" s="938"/>
      <c r="AB8" s="938"/>
      <c r="AC8" s="938"/>
      <c r="AD8" s="938"/>
      <c r="AE8" s="938"/>
      <c r="AF8" s="938"/>
      <c r="AG8" s="938"/>
      <c r="AH8" s="938"/>
      <c r="AI8" s="938"/>
      <c r="AJ8" s="938"/>
      <c r="AK8" s="938"/>
      <c r="AL8" s="939"/>
      <c r="AY8" s="252"/>
      <c r="BB8" s="59" t="s">
        <v>531</v>
      </c>
      <c r="BC8" s="141" t="s">
        <v>606</v>
      </c>
      <c r="BF8" s="280"/>
      <c r="BG8" s="59" t="s">
        <v>560</v>
      </c>
      <c r="BH8" s="59">
        <v>37.700000000000003</v>
      </c>
      <c r="BI8" s="59">
        <v>35.1</v>
      </c>
      <c r="BJ8" s="59" t="s">
        <v>557</v>
      </c>
      <c r="BK8" s="59" t="s">
        <v>558</v>
      </c>
      <c r="BL8" s="59" t="s">
        <v>559</v>
      </c>
      <c r="BM8" s="153">
        <v>2.585</v>
      </c>
      <c r="BO8" s="347"/>
      <c r="BP8" s="153" t="s">
        <v>560</v>
      </c>
      <c r="BR8" s="141" t="s">
        <v>950</v>
      </c>
      <c r="BT8" s="141" t="s">
        <v>942</v>
      </c>
      <c r="CI8" s="137"/>
      <c r="CJ8" s="137"/>
      <c r="CK8" s="137"/>
      <c r="CL8" s="137"/>
      <c r="CM8" s="137"/>
      <c r="CN8" s="137"/>
      <c r="CO8" s="137"/>
      <c r="CP8" s="137"/>
      <c r="CQ8" s="137"/>
      <c r="CR8" s="137"/>
      <c r="CS8" s="137"/>
      <c r="CT8" s="137"/>
      <c r="CU8" s="137"/>
      <c r="CV8" s="137"/>
      <c r="CW8" s="137"/>
    </row>
    <row r="9" spans="1:101" ht="20.25" customHeight="1">
      <c r="A9" s="109" t="s">
        <v>313</v>
      </c>
      <c r="U9" s="937"/>
      <c r="V9" s="938"/>
      <c r="W9" s="938"/>
      <c r="X9" s="938"/>
      <c r="Y9" s="938"/>
      <c r="Z9" s="938"/>
      <c r="AA9" s="938"/>
      <c r="AB9" s="938"/>
      <c r="AC9" s="938"/>
      <c r="AD9" s="938"/>
      <c r="AE9" s="938"/>
      <c r="AF9" s="938"/>
      <c r="AG9" s="938"/>
      <c r="AH9" s="938"/>
      <c r="AI9" s="938"/>
      <c r="AJ9" s="938"/>
      <c r="AK9" s="938"/>
      <c r="AL9" s="939"/>
      <c r="BB9" s="59" t="s">
        <v>557</v>
      </c>
      <c r="BC9" s="141" t="s">
        <v>608</v>
      </c>
      <c r="BF9" s="280"/>
      <c r="BG9" s="59" t="s">
        <v>561</v>
      </c>
      <c r="BH9" s="59">
        <v>39.1</v>
      </c>
      <c r="BI9" s="59">
        <v>36.6</v>
      </c>
      <c r="BJ9" s="59" t="s">
        <v>557</v>
      </c>
      <c r="BK9" s="59" t="s">
        <v>558</v>
      </c>
      <c r="BL9" s="59" t="s">
        <v>559</v>
      </c>
      <c r="BM9" s="153">
        <v>2.7096</v>
      </c>
      <c r="BO9" s="347"/>
      <c r="BP9" s="153" t="s">
        <v>561</v>
      </c>
      <c r="BQ9" s="141">
        <v>1</v>
      </c>
      <c r="BR9" s="141" t="s">
        <v>644</v>
      </c>
      <c r="BT9" s="141" t="s">
        <v>682</v>
      </c>
      <c r="CI9" s="137"/>
      <c r="CJ9" s="137"/>
      <c r="CK9" s="137"/>
      <c r="CL9" s="137"/>
      <c r="CM9" s="137"/>
      <c r="CN9" s="137"/>
      <c r="CO9" s="137"/>
      <c r="CP9" s="137"/>
      <c r="CQ9" s="137"/>
      <c r="CR9" s="137"/>
      <c r="CS9" s="137"/>
      <c r="CT9" s="137"/>
      <c r="CU9" s="137"/>
      <c r="CV9" s="137"/>
      <c r="CW9" s="137"/>
    </row>
    <row r="10" spans="1:101" ht="20.25" customHeight="1">
      <c r="U10" s="940"/>
      <c r="V10" s="941"/>
      <c r="W10" s="941"/>
      <c r="X10" s="941"/>
      <c r="Y10" s="941"/>
      <c r="Z10" s="941"/>
      <c r="AA10" s="941"/>
      <c r="AB10" s="941"/>
      <c r="AC10" s="941"/>
      <c r="AD10" s="941"/>
      <c r="AE10" s="941"/>
      <c r="AF10" s="941"/>
      <c r="AG10" s="941"/>
      <c r="AH10" s="941"/>
      <c r="AI10" s="941"/>
      <c r="AJ10" s="941"/>
      <c r="AK10" s="941"/>
      <c r="AL10" s="942"/>
      <c r="AW10" s="153"/>
      <c r="AY10" s="153"/>
      <c r="BB10" s="59" t="s">
        <v>565</v>
      </c>
      <c r="BC10" s="141" t="s">
        <v>607</v>
      </c>
      <c r="BF10" s="280"/>
      <c r="BG10" s="59" t="s">
        <v>562</v>
      </c>
      <c r="BH10" s="59">
        <v>41.9</v>
      </c>
      <c r="BI10" s="59">
        <v>39.4</v>
      </c>
      <c r="BJ10" s="59" t="s">
        <v>557</v>
      </c>
      <c r="BK10" s="59" t="s">
        <v>558</v>
      </c>
      <c r="BL10" s="59" t="s">
        <v>559</v>
      </c>
      <c r="BM10" s="153">
        <v>2.7955999999999999</v>
      </c>
      <c r="BO10" s="347"/>
      <c r="BP10" s="153" t="s">
        <v>562</v>
      </c>
      <c r="BQ10" s="141">
        <v>2</v>
      </c>
      <c r="BR10" s="141" t="s">
        <v>645</v>
      </c>
      <c r="BT10" s="141" t="s">
        <v>682</v>
      </c>
      <c r="CI10" s="137"/>
      <c r="CJ10" s="137"/>
      <c r="CK10" s="137"/>
      <c r="CL10" s="137"/>
      <c r="CM10" s="137"/>
      <c r="CN10" s="137"/>
      <c r="CO10" s="137"/>
      <c r="CP10" s="137"/>
      <c r="CQ10" s="137"/>
      <c r="CR10" s="137"/>
      <c r="CS10" s="137"/>
      <c r="CT10" s="137"/>
      <c r="CU10" s="137"/>
      <c r="CV10" s="137"/>
      <c r="CW10" s="137"/>
    </row>
    <row r="11" spans="1:101" ht="20.25" customHeight="1">
      <c r="Y11" s="257"/>
      <c r="Z11" s="257"/>
      <c r="AA11" s="257"/>
      <c r="AB11" s="257"/>
      <c r="AC11" s="257"/>
      <c r="AD11" s="257"/>
      <c r="AE11" s="257"/>
      <c r="AF11" s="257"/>
      <c r="AG11" s="257"/>
      <c r="AH11" s="257"/>
      <c r="AI11" s="257"/>
      <c r="AJ11" s="257"/>
      <c r="AK11" s="257"/>
      <c r="AL11" s="257"/>
      <c r="AM11" s="257"/>
      <c r="BF11" s="280"/>
      <c r="BG11" s="59" t="s">
        <v>563</v>
      </c>
      <c r="BH11" s="59">
        <v>41.9</v>
      </c>
      <c r="BI11" s="59">
        <v>39.4</v>
      </c>
      <c r="BJ11" s="59" t="s">
        <v>557</v>
      </c>
      <c r="BK11" s="59" t="s">
        <v>558</v>
      </c>
      <c r="BL11" s="59" t="s">
        <v>559</v>
      </c>
      <c r="BM11" s="153">
        <v>2.7955999999999999</v>
      </c>
      <c r="BO11" s="348"/>
      <c r="BP11" s="153" t="s">
        <v>563</v>
      </c>
      <c r="BQ11" s="141">
        <v>3</v>
      </c>
      <c r="BR11" s="141" t="s">
        <v>675</v>
      </c>
      <c r="BT11" s="141" t="s">
        <v>682</v>
      </c>
      <c r="CI11" s="137"/>
      <c r="CJ11" s="137"/>
      <c r="CK11" s="137"/>
      <c r="CL11" s="137"/>
      <c r="CM11" s="137"/>
      <c r="CN11" s="137"/>
      <c r="CO11" s="137"/>
      <c r="CP11" s="137"/>
      <c r="CQ11" s="137"/>
      <c r="CR11" s="137"/>
      <c r="CS11" s="137"/>
      <c r="CT11" s="137"/>
      <c r="CU11" s="137"/>
      <c r="CV11" s="137"/>
      <c r="CW11" s="137"/>
    </row>
    <row r="12" spans="1:101" ht="20.25" customHeight="1">
      <c r="U12" s="137" t="s">
        <v>692</v>
      </c>
      <c r="Z12" s="184"/>
      <c r="AA12" s="184"/>
      <c r="AB12" s="184"/>
      <c r="AC12" s="257"/>
      <c r="AD12" s="257"/>
      <c r="AE12" s="257"/>
      <c r="AF12" s="257"/>
      <c r="AG12" s="257"/>
      <c r="AH12" s="257"/>
      <c r="AI12" s="257"/>
      <c r="AJ12" s="257"/>
      <c r="AK12" s="257"/>
      <c r="AL12" s="257"/>
      <c r="AM12" s="257"/>
      <c r="BB12" s="137" t="s">
        <v>686</v>
      </c>
      <c r="BF12" s="281"/>
      <c r="BG12" s="59" t="s">
        <v>569</v>
      </c>
      <c r="BH12" s="59">
        <f>W16</f>
        <v>0</v>
      </c>
      <c r="BI12" s="59">
        <f>W17</f>
        <v>0</v>
      </c>
      <c r="BJ12" s="59" t="s">
        <v>557</v>
      </c>
      <c r="BK12" s="59" t="s">
        <v>558</v>
      </c>
      <c r="BL12" s="59" t="s">
        <v>559</v>
      </c>
      <c r="BM12" s="153">
        <f>W18</f>
        <v>0</v>
      </c>
      <c r="BO12" s="153" t="s">
        <v>564</v>
      </c>
      <c r="BP12" s="153" t="s">
        <v>537</v>
      </c>
      <c r="BQ12" s="141">
        <v>4</v>
      </c>
      <c r="BR12" s="141" t="s">
        <v>646</v>
      </c>
      <c r="CI12" s="137"/>
      <c r="CJ12" s="137"/>
      <c r="CK12" s="137"/>
      <c r="CL12" s="137"/>
      <c r="CM12" s="137"/>
      <c r="CN12" s="137"/>
      <c r="CO12" s="137"/>
      <c r="CP12" s="137"/>
      <c r="CQ12" s="137"/>
      <c r="CR12" s="137"/>
      <c r="CS12" s="137"/>
      <c r="CT12" s="137"/>
      <c r="CU12" s="137"/>
      <c r="CV12" s="137"/>
      <c r="CW12" s="137"/>
    </row>
    <row r="13" spans="1:101" ht="12" customHeight="1">
      <c r="Z13" s="257"/>
      <c r="AA13" s="257"/>
      <c r="AB13" s="257"/>
      <c r="AC13" s="257"/>
      <c r="AD13" s="257"/>
      <c r="AE13" s="257"/>
      <c r="AF13" s="257"/>
      <c r="AG13" s="257"/>
      <c r="AH13" s="257"/>
      <c r="AI13" s="257"/>
      <c r="AJ13" s="257"/>
      <c r="AK13" s="257"/>
      <c r="AL13" s="257"/>
      <c r="AM13" s="257"/>
      <c r="BB13" s="137" t="s">
        <v>687</v>
      </c>
      <c r="BF13" s="277" t="s">
        <v>564</v>
      </c>
      <c r="BG13" s="59" t="s">
        <v>537</v>
      </c>
      <c r="BH13" s="282">
        <v>9.76</v>
      </c>
      <c r="BI13" s="59">
        <v>9.76</v>
      </c>
      <c r="BJ13" s="59" t="s">
        <v>565</v>
      </c>
      <c r="BK13" s="346" t="s">
        <v>566</v>
      </c>
      <c r="BL13" s="59" t="s">
        <v>567</v>
      </c>
      <c r="BM13" s="153">
        <v>0.495</v>
      </c>
      <c r="BO13" s="345" t="s">
        <v>568</v>
      </c>
      <c r="BP13" s="153" t="s">
        <v>541</v>
      </c>
      <c r="BQ13" s="141">
        <v>5</v>
      </c>
      <c r="BR13" s="141" t="s">
        <v>660</v>
      </c>
      <c r="CI13" s="137"/>
      <c r="CJ13" s="137"/>
      <c r="CK13" s="137"/>
      <c r="CL13" s="137"/>
      <c r="CM13" s="137"/>
      <c r="CN13" s="137"/>
      <c r="CO13" s="137"/>
      <c r="CP13" s="137"/>
      <c r="CQ13" s="137"/>
      <c r="CR13" s="137"/>
      <c r="CS13" s="137"/>
      <c r="CT13" s="137"/>
      <c r="CU13" s="137"/>
      <c r="CV13" s="137"/>
      <c r="CW13" s="137"/>
    </row>
    <row r="14" spans="1:101" ht="20.100000000000001" customHeight="1">
      <c r="U14" s="350" t="s">
        <v>882</v>
      </c>
      <c r="V14" s="1019"/>
      <c r="W14" s="1034"/>
      <c r="X14" s="1020"/>
      <c r="AC14" s="257"/>
      <c r="AD14" s="257"/>
      <c r="AE14" s="257"/>
      <c r="AF14" s="257"/>
      <c r="AG14" s="257"/>
      <c r="AH14" s="257"/>
      <c r="AI14" s="257"/>
      <c r="AJ14" s="257"/>
      <c r="AK14" s="257"/>
      <c r="AL14" s="257"/>
      <c r="AM14" s="257"/>
      <c r="BB14" s="137" t="s">
        <v>688</v>
      </c>
      <c r="BF14" s="281"/>
      <c r="BG14" s="59" t="s">
        <v>570</v>
      </c>
      <c r="BH14" s="59">
        <f>W16</f>
        <v>0</v>
      </c>
      <c r="BI14" s="59">
        <f>W17</f>
        <v>0</v>
      </c>
      <c r="BJ14" s="59" t="s">
        <v>531</v>
      </c>
      <c r="BK14" s="59" t="s">
        <v>566</v>
      </c>
      <c r="BL14" s="59" t="s">
        <v>567</v>
      </c>
      <c r="BM14" s="153">
        <f>W18</f>
        <v>0</v>
      </c>
      <c r="BO14" s="348"/>
      <c r="BP14" s="153" t="s">
        <v>542</v>
      </c>
      <c r="BQ14" s="141">
        <v>6</v>
      </c>
      <c r="BR14" s="141" t="s">
        <v>659</v>
      </c>
      <c r="CW14" s="137"/>
    </row>
    <row r="15" spans="1:101" ht="20.100000000000001" customHeight="1">
      <c r="A15" s="214"/>
      <c r="B15" s="327"/>
      <c r="C15" s="327"/>
      <c r="D15" s="327"/>
      <c r="E15" s="327"/>
      <c r="F15" s="328"/>
      <c r="G15" s="328"/>
      <c r="H15" s="328"/>
      <c r="I15" s="328"/>
      <c r="J15" s="328"/>
      <c r="K15" s="329"/>
      <c r="L15" s="329"/>
      <c r="M15" s="328"/>
      <c r="N15" s="328"/>
      <c r="O15" s="328"/>
      <c r="P15" s="254"/>
      <c r="Q15" s="254"/>
      <c r="R15" s="254"/>
      <c r="S15" s="329"/>
      <c r="T15" s="329"/>
      <c r="U15" s="351" t="s">
        <v>884</v>
      </c>
      <c r="V15" s="355" t="s">
        <v>598</v>
      </c>
      <c r="W15" s="1019"/>
      <c r="X15" s="1020"/>
      <c r="AC15" s="215"/>
      <c r="AD15" s="215"/>
      <c r="AE15" s="215"/>
      <c r="AF15" s="216"/>
      <c r="AG15" s="216"/>
      <c r="AH15" s="216"/>
      <c r="AI15" s="216"/>
      <c r="AJ15" s="216"/>
      <c r="AK15" s="216"/>
      <c r="AL15" s="216"/>
      <c r="AM15" s="216"/>
      <c r="AN15" s="216"/>
      <c r="AO15" s="216"/>
      <c r="AP15" s="216"/>
      <c r="BB15" s="137" t="s">
        <v>689</v>
      </c>
      <c r="BF15" s="277" t="s">
        <v>568</v>
      </c>
      <c r="BG15" s="59" t="s">
        <v>541</v>
      </c>
      <c r="BH15" s="59">
        <v>25.7</v>
      </c>
      <c r="BI15" s="59">
        <v>24.4</v>
      </c>
      <c r="BJ15" s="59" t="s">
        <v>552</v>
      </c>
      <c r="BK15" s="59" t="s">
        <v>553</v>
      </c>
      <c r="BL15" s="59" t="s">
        <v>554</v>
      </c>
      <c r="BM15" s="153">
        <v>2.3275999999999999</v>
      </c>
      <c r="BQ15" s="141">
        <v>7</v>
      </c>
      <c r="BR15" s="141" t="s">
        <v>666</v>
      </c>
      <c r="CW15" s="137"/>
    </row>
    <row r="16" spans="1:101" ht="20.100000000000001" customHeight="1">
      <c r="A16" s="214"/>
      <c r="B16" s="327"/>
      <c r="C16" s="327"/>
      <c r="D16" s="327"/>
      <c r="E16" s="327"/>
      <c r="F16" s="328"/>
      <c r="G16" s="328"/>
      <c r="H16" s="328"/>
      <c r="I16" s="328"/>
      <c r="J16" s="328"/>
      <c r="K16" s="329"/>
      <c r="L16" s="329"/>
      <c r="M16" s="328"/>
      <c r="N16" s="328"/>
      <c r="O16" s="328"/>
      <c r="P16" s="254"/>
      <c r="Q16" s="254"/>
      <c r="R16" s="254"/>
      <c r="S16" s="329"/>
      <c r="T16" s="254"/>
      <c r="U16" s="352" t="s">
        <v>520</v>
      </c>
      <c r="V16" s="611"/>
      <c r="W16" s="1132"/>
      <c r="X16" s="1133"/>
      <c r="AC16" s="215"/>
      <c r="AD16" s="215"/>
      <c r="AE16" s="215"/>
      <c r="AF16" s="216"/>
      <c r="AG16" s="216"/>
      <c r="AH16" s="216"/>
      <c r="AI16" s="216"/>
      <c r="AJ16" s="216"/>
      <c r="AK16" s="216"/>
      <c r="AL16" s="216"/>
      <c r="AM16" s="216"/>
      <c r="AN16" s="216"/>
      <c r="AO16" s="216"/>
      <c r="AP16" s="216"/>
      <c r="BB16" s="137" t="s">
        <v>690</v>
      </c>
      <c r="BF16" s="280"/>
      <c r="BG16" s="59" t="s">
        <v>542</v>
      </c>
      <c r="BH16" s="59">
        <v>29.4</v>
      </c>
      <c r="BI16" s="59">
        <v>27.9</v>
      </c>
      <c r="BJ16" s="59" t="s">
        <v>552</v>
      </c>
      <c r="BK16" s="59" t="s">
        <v>553</v>
      </c>
      <c r="BL16" s="59" t="s">
        <v>554</v>
      </c>
      <c r="BM16" s="153">
        <v>3.1692999999999998</v>
      </c>
      <c r="BQ16" s="141">
        <v>8</v>
      </c>
      <c r="BR16" s="141" t="s">
        <v>662</v>
      </c>
      <c r="BT16" s="141" t="s">
        <v>682</v>
      </c>
      <c r="CW16" s="137"/>
    </row>
    <row r="17" spans="1:101" ht="20.100000000000001" customHeight="1">
      <c r="A17" s="140"/>
      <c r="B17" s="140"/>
      <c r="C17" s="140"/>
      <c r="D17" s="140"/>
      <c r="E17" s="140"/>
      <c r="F17" s="182"/>
      <c r="G17" s="182"/>
      <c r="H17" s="328"/>
      <c r="I17" s="182"/>
      <c r="J17" s="182"/>
      <c r="K17" s="182"/>
      <c r="L17" s="182"/>
      <c r="M17" s="182"/>
      <c r="N17" s="182"/>
      <c r="O17" s="182"/>
      <c r="P17" s="182"/>
      <c r="Q17" s="182"/>
      <c r="R17" s="182"/>
      <c r="S17" s="140"/>
      <c r="T17" s="140"/>
      <c r="U17" s="353" t="s">
        <v>603</v>
      </c>
      <c r="V17" s="611"/>
      <c r="W17" s="1019"/>
      <c r="X17" s="1020"/>
      <c r="AC17" s="182"/>
      <c r="AD17" s="182"/>
      <c r="AE17" s="182"/>
      <c r="AF17" s="182"/>
      <c r="AG17" s="182"/>
      <c r="AH17" s="182"/>
      <c r="AI17" s="182"/>
      <c r="AJ17" s="182"/>
      <c r="AK17" s="182"/>
      <c r="AL17" s="182"/>
      <c r="AM17" s="213"/>
      <c r="AN17" s="138"/>
      <c r="BB17" s="137" t="s">
        <v>802</v>
      </c>
      <c r="BF17" s="59" t="s">
        <v>540</v>
      </c>
      <c r="BG17" s="59" t="s">
        <v>540</v>
      </c>
      <c r="BH17" s="59">
        <f>W16</f>
        <v>0</v>
      </c>
      <c r="BI17" s="59">
        <f>W17</f>
        <v>0</v>
      </c>
      <c r="BJ17" s="59" t="s">
        <v>553</v>
      </c>
      <c r="BK17" s="59" t="s">
        <v>554</v>
      </c>
      <c r="BL17" s="59" t="s">
        <v>554</v>
      </c>
      <c r="BM17" s="153">
        <f>W18</f>
        <v>0</v>
      </c>
      <c r="BN17" s="141" t="s">
        <v>606</v>
      </c>
      <c r="BQ17" s="141">
        <v>9</v>
      </c>
      <c r="BR17" s="141" t="s">
        <v>681</v>
      </c>
      <c r="BT17" s="141" t="s">
        <v>682</v>
      </c>
      <c r="CW17" s="137"/>
    </row>
    <row r="18" spans="1:101" ht="20.100000000000001" customHeight="1">
      <c r="A18" s="140"/>
      <c r="B18" s="140"/>
      <c r="C18" s="140"/>
      <c r="D18" s="140"/>
      <c r="E18" s="140"/>
      <c r="F18" s="183"/>
      <c r="G18" s="183"/>
      <c r="H18" s="183"/>
      <c r="I18" s="183"/>
      <c r="J18" s="183"/>
      <c r="K18" s="183"/>
      <c r="L18" s="183"/>
      <c r="M18" s="182"/>
      <c r="N18" s="182"/>
      <c r="O18" s="182"/>
      <c r="P18" s="182"/>
      <c r="Q18" s="182"/>
      <c r="R18" s="182"/>
      <c r="S18" s="140"/>
      <c r="T18" s="140"/>
      <c r="U18" s="354" t="s">
        <v>507</v>
      </c>
      <c r="V18" s="612" t="str">
        <f>IFERROR(INDEX(BC8:BC10,MATCH(V16,BB8:BB10,0),1),"")</f>
        <v/>
      </c>
      <c r="W18" s="1019"/>
      <c r="X18" s="1020"/>
      <c r="AC18" s="184"/>
      <c r="AD18" s="184"/>
      <c r="AE18" s="184"/>
      <c r="AF18" s="182"/>
      <c r="AG18" s="182"/>
      <c r="AH18" s="182"/>
      <c r="AI18" s="182"/>
      <c r="AJ18" s="182"/>
      <c r="AK18" s="182"/>
      <c r="AL18" s="182"/>
      <c r="AM18" s="141"/>
      <c r="BJ18" s="141"/>
      <c r="BK18" s="141"/>
      <c r="CV18" s="137"/>
      <c r="CW18" s="137"/>
    </row>
    <row r="19" spans="1:101" ht="21" customHeight="1">
      <c r="A19" s="140"/>
      <c r="B19" s="140"/>
      <c r="C19" s="140"/>
      <c r="D19" s="140"/>
      <c r="E19" s="140"/>
      <c r="F19" s="183"/>
      <c r="G19" s="183"/>
      <c r="H19" s="183"/>
      <c r="I19" s="183"/>
      <c r="J19" s="183"/>
      <c r="K19" s="183"/>
      <c r="L19" s="183"/>
      <c r="M19" s="182"/>
      <c r="N19" s="182"/>
      <c r="O19" s="182"/>
      <c r="P19" s="182"/>
      <c r="Q19" s="182"/>
      <c r="R19" s="182"/>
      <c r="S19" s="140"/>
      <c r="T19" s="140"/>
      <c r="U19" s="140"/>
      <c r="V19" s="140"/>
      <c r="W19" s="140"/>
      <c r="X19" s="140"/>
      <c r="Y19" s="140"/>
      <c r="Z19" s="140"/>
      <c r="AA19" s="140"/>
      <c r="AB19" s="140"/>
      <c r="AC19" s="140"/>
      <c r="AD19" s="184"/>
      <c r="AE19" s="184"/>
      <c r="AF19" s="182"/>
      <c r="AG19" s="182"/>
      <c r="AH19" s="182"/>
      <c r="AI19" s="182"/>
      <c r="AJ19" s="182"/>
      <c r="AK19" s="182"/>
      <c r="AL19" s="182"/>
      <c r="AM19" s="141"/>
      <c r="BJ19" s="141"/>
      <c r="BK19" s="141"/>
      <c r="CV19" s="137"/>
      <c r="CW19" s="137"/>
    </row>
    <row r="20" spans="1:101" ht="21" customHeight="1">
      <c r="A20" s="139"/>
      <c r="B20" s="213"/>
      <c r="C20" s="213"/>
      <c r="D20" s="417"/>
      <c r="E20" s="417"/>
      <c r="F20" s="417"/>
      <c r="G20" s="428"/>
      <c r="H20" s="419"/>
      <c r="I20" s="213"/>
      <c r="J20" s="213"/>
      <c r="K20" s="213"/>
      <c r="L20" s="213"/>
      <c r="M20" s="213"/>
      <c r="N20" s="213"/>
      <c r="O20" s="213"/>
      <c r="P20" s="213"/>
      <c r="Q20" s="213"/>
      <c r="R20" s="213"/>
      <c r="S20" s="213"/>
      <c r="T20" s="213"/>
      <c r="U20" s="213"/>
      <c r="V20" s="213"/>
      <c r="W20" s="213"/>
      <c r="X20" s="213"/>
      <c r="Y20" s="213"/>
      <c r="Z20" s="213"/>
      <c r="AA20" s="213"/>
      <c r="AB20" s="213"/>
      <c r="AC20" s="213"/>
      <c r="AD20" s="213"/>
      <c r="AE20" s="395" t="s">
        <v>902</v>
      </c>
      <c r="AF20" s="395"/>
      <c r="AG20" s="213"/>
      <c r="AH20" s="213"/>
      <c r="AI20" s="213"/>
      <c r="AJ20" s="213"/>
      <c r="AK20" s="213"/>
      <c r="AL20" s="213"/>
      <c r="AM20" s="213"/>
      <c r="AN20" s="140"/>
      <c r="AP20" s="140"/>
      <c r="AQ20" s="140"/>
      <c r="BK20" s="141"/>
      <c r="CW20" s="137"/>
    </row>
    <row r="21" spans="1:101" ht="15.75" customHeight="1">
      <c r="A21" s="947" t="s">
        <v>0</v>
      </c>
      <c r="B21" s="220" t="s">
        <v>2</v>
      </c>
      <c r="C21" s="221"/>
      <c r="D21" s="221"/>
      <c r="E21" s="221"/>
      <c r="F21" s="221"/>
      <c r="G21" s="221"/>
      <c r="H21" s="221"/>
      <c r="I21" s="221"/>
      <c r="J21" s="221"/>
      <c r="K21" s="221"/>
      <c r="L21" s="221"/>
      <c r="M21" s="221"/>
      <c r="N21" s="221"/>
      <c r="O21" s="221"/>
      <c r="P21" s="221"/>
      <c r="Q21" s="222"/>
      <c r="R21" s="222"/>
      <c r="S21" s="222"/>
      <c r="T21" s="223"/>
      <c r="U21" s="224" t="s">
        <v>47</v>
      </c>
      <c r="V21" s="225"/>
      <c r="W21" s="225"/>
      <c r="X21" s="225"/>
      <c r="Y21" s="225"/>
      <c r="Z21" s="225"/>
      <c r="AA21" s="225"/>
      <c r="AB21" s="225"/>
      <c r="AC21" s="225"/>
      <c r="AD21" s="225"/>
      <c r="AE21" s="225"/>
      <c r="AF21" s="225"/>
      <c r="AG21" s="225"/>
      <c r="AH21" s="225"/>
      <c r="AI21" s="225"/>
      <c r="AJ21" s="919" t="s">
        <v>14</v>
      </c>
      <c r="AK21" s="964"/>
      <c r="AL21" s="964"/>
      <c r="AM21" s="220"/>
      <c r="AN21" s="589"/>
      <c r="AO21" s="142"/>
      <c r="AP21" s="141"/>
      <c r="AQ21" s="141"/>
      <c r="AR21" s="141"/>
      <c r="AS21" s="137" t="s">
        <v>939</v>
      </c>
      <c r="AY21" s="137" t="s">
        <v>940</v>
      </c>
      <c r="BD21" s="141"/>
      <c r="BE21" s="141"/>
    </row>
    <row r="22" spans="1:101" ht="15" customHeight="1">
      <c r="A22" s="948"/>
      <c r="B22" s="227"/>
      <c r="C22" s="228"/>
      <c r="D22" s="228"/>
      <c r="E22" s="228"/>
      <c r="F22" s="228"/>
      <c r="G22" s="228"/>
      <c r="H22" s="228"/>
      <c r="I22" s="228"/>
      <c r="J22" s="228"/>
      <c r="K22" s="228"/>
      <c r="L22" s="228"/>
      <c r="M22" s="333" t="s">
        <v>50</v>
      </c>
      <c r="N22" s="222"/>
      <c r="O22" s="222"/>
      <c r="P22" s="226"/>
      <c r="Q22" s="226"/>
      <c r="R22" s="226"/>
      <c r="S22" s="226"/>
      <c r="T22" s="226"/>
      <c r="U22" s="227"/>
      <c r="V22" s="228"/>
      <c r="W22" s="228"/>
      <c r="X22" s="228"/>
      <c r="Y22" s="228"/>
      <c r="Z22" s="228"/>
      <c r="AA22" s="228"/>
      <c r="AB22" s="228"/>
      <c r="AC22" s="228"/>
      <c r="AD22" s="228"/>
      <c r="AE22" s="228"/>
      <c r="AF22" s="333" t="s">
        <v>50</v>
      </c>
      <c r="AG22" s="226"/>
      <c r="AH22" s="226"/>
      <c r="AI22" s="223"/>
      <c r="AJ22" s="921"/>
      <c r="AK22" s="965"/>
      <c r="AL22" s="965"/>
      <c r="AM22" s="227"/>
      <c r="AN22" s="229"/>
      <c r="AO22" s="142"/>
      <c r="AQ22" s="141"/>
      <c r="AR22" s="141"/>
      <c r="BD22" s="141"/>
      <c r="BE22" s="141"/>
    </row>
    <row r="23" spans="1:101" s="141" customFormat="1" ht="36" customHeight="1">
      <c r="A23" s="949"/>
      <c r="B23" s="232" t="s">
        <v>15</v>
      </c>
      <c r="C23" s="406" t="s">
        <v>673</v>
      </c>
      <c r="D23" s="403" t="s">
        <v>683</v>
      </c>
      <c r="E23" s="403" t="s">
        <v>684</v>
      </c>
      <c r="F23" s="1046" t="s">
        <v>882</v>
      </c>
      <c r="G23" s="403" t="s">
        <v>415</v>
      </c>
      <c r="H23" s="233" t="s">
        <v>649</v>
      </c>
      <c r="I23" s="403" t="s">
        <v>883</v>
      </c>
      <c r="J23" s="233" t="s">
        <v>664</v>
      </c>
      <c r="K23" s="403" t="s">
        <v>1</v>
      </c>
      <c r="L23" s="403" t="s">
        <v>652</v>
      </c>
      <c r="M23" s="559" t="s">
        <v>807</v>
      </c>
      <c r="N23" s="556" t="s">
        <v>808</v>
      </c>
      <c r="O23" s="233" t="s">
        <v>648</v>
      </c>
      <c r="P23" s="233" t="s">
        <v>809</v>
      </c>
      <c r="Q23" s="1046" t="s">
        <v>811</v>
      </c>
      <c r="R23" s="403" t="s">
        <v>1</v>
      </c>
      <c r="S23" s="233" t="s">
        <v>812</v>
      </c>
      <c r="T23" s="233" t="s">
        <v>513</v>
      </c>
      <c r="U23" s="232" t="s">
        <v>15</v>
      </c>
      <c r="V23" s="406" t="s">
        <v>673</v>
      </c>
      <c r="W23" s="403" t="s">
        <v>683</v>
      </c>
      <c r="X23" s="403" t="s">
        <v>684</v>
      </c>
      <c r="Y23" s="233" t="s">
        <v>650</v>
      </c>
      <c r="Z23" s="1046" t="s">
        <v>882</v>
      </c>
      <c r="AA23" s="403" t="s">
        <v>669</v>
      </c>
      <c r="AB23" s="233" t="s">
        <v>665</v>
      </c>
      <c r="AC23" s="403" t="s">
        <v>1</v>
      </c>
      <c r="AD23" s="403" t="s">
        <v>653</v>
      </c>
      <c r="AE23" s="468" t="s">
        <v>818</v>
      </c>
      <c r="AF23" s="1046" t="s">
        <v>817</v>
      </c>
      <c r="AG23" s="403" t="s">
        <v>1</v>
      </c>
      <c r="AH23" s="234" t="s">
        <v>813</v>
      </c>
      <c r="AI23" s="233" t="s">
        <v>516</v>
      </c>
      <c r="AJ23" s="234" t="s">
        <v>810</v>
      </c>
      <c r="AK23" s="234" t="s">
        <v>814</v>
      </c>
      <c r="AL23" s="234" t="s">
        <v>815</v>
      </c>
      <c r="AM23" s="1138" t="s">
        <v>528</v>
      </c>
      <c r="AN23" s="875" t="s">
        <v>593</v>
      </c>
      <c r="AO23" s="863" t="s">
        <v>935</v>
      </c>
      <c r="AP23" s="144" t="s">
        <v>934</v>
      </c>
      <c r="AR23" s="872" t="s">
        <v>938</v>
      </c>
      <c r="AS23" s="195" t="s">
        <v>586</v>
      </c>
      <c r="AT23" s="195" t="s">
        <v>587</v>
      </c>
      <c r="AU23" s="195" t="s">
        <v>585</v>
      </c>
      <c r="AV23" s="195" t="s">
        <v>597</v>
      </c>
      <c r="AW23" s="195" t="s">
        <v>588</v>
      </c>
      <c r="AX23" s="195" t="s">
        <v>933</v>
      </c>
      <c r="AY23" s="195" t="s">
        <v>586</v>
      </c>
      <c r="AZ23" s="195" t="s">
        <v>587</v>
      </c>
      <c r="BA23" s="195" t="s">
        <v>585</v>
      </c>
      <c r="BB23" s="195" t="s">
        <v>597</v>
      </c>
      <c r="BC23" s="195" t="s">
        <v>588</v>
      </c>
      <c r="BD23" s="195" t="s">
        <v>933</v>
      </c>
      <c r="BE23" s="146"/>
      <c r="BG23" s="137"/>
      <c r="BH23" s="137"/>
      <c r="BK23" s="137"/>
    </row>
    <row r="24" spans="1:101" s="141" customFormat="1" ht="22.5" customHeight="1">
      <c r="A24" s="133" t="s">
        <v>1</v>
      </c>
      <c r="B24" s="128"/>
      <c r="C24" s="129"/>
      <c r="D24" s="418"/>
      <c r="E24" s="418" t="s">
        <v>685</v>
      </c>
      <c r="F24" s="1047"/>
      <c r="G24" s="129"/>
      <c r="H24" s="125" t="s">
        <v>45</v>
      </c>
      <c r="I24" s="276"/>
      <c r="J24" s="125" t="s">
        <v>596</v>
      </c>
      <c r="K24" s="276"/>
      <c r="L24" s="276" t="s">
        <v>639</v>
      </c>
      <c r="M24" s="471" t="s">
        <v>793</v>
      </c>
      <c r="N24" s="471" t="s">
        <v>792</v>
      </c>
      <c r="O24" s="125" t="s">
        <v>22</v>
      </c>
      <c r="P24" s="125" t="s">
        <v>268</v>
      </c>
      <c r="Q24" s="1047"/>
      <c r="R24" s="276"/>
      <c r="S24" s="276" t="s">
        <v>647</v>
      </c>
      <c r="T24" s="125" t="s">
        <v>484</v>
      </c>
      <c r="U24" s="129"/>
      <c r="V24" s="129"/>
      <c r="W24" s="418"/>
      <c r="X24" s="418" t="s">
        <v>685</v>
      </c>
      <c r="Y24" s="125" t="s">
        <v>45</v>
      </c>
      <c r="Z24" s="1047"/>
      <c r="AA24" s="276"/>
      <c r="AB24" s="125" t="s">
        <v>596</v>
      </c>
      <c r="AC24" s="276"/>
      <c r="AD24" s="125" t="s">
        <v>639</v>
      </c>
      <c r="AE24" s="125" t="s">
        <v>816</v>
      </c>
      <c r="AF24" s="1047"/>
      <c r="AG24" s="276"/>
      <c r="AH24" s="276" t="s">
        <v>647</v>
      </c>
      <c r="AI24" s="125" t="s">
        <v>484</v>
      </c>
      <c r="AJ24" s="125" t="str">
        <f>IF(AR26=10,AG27,"")&amp;"/年"</f>
        <v>/年</v>
      </c>
      <c r="AK24" s="125" t="s">
        <v>8</v>
      </c>
      <c r="AL24" s="125" t="s">
        <v>484</v>
      </c>
      <c r="AM24" s="1047"/>
      <c r="AN24" s="125" t="s">
        <v>591</v>
      </c>
      <c r="AO24" s="143"/>
      <c r="AP24" s="211" t="s">
        <v>936</v>
      </c>
      <c r="AQ24" s="871" t="s">
        <v>937</v>
      </c>
      <c r="AR24" s="872"/>
      <c r="AS24" s="195"/>
      <c r="AT24" s="195"/>
      <c r="AU24" s="195"/>
      <c r="AV24" s="195"/>
      <c r="AW24" s="195"/>
      <c r="AX24" s="195"/>
      <c r="AY24" s="195"/>
      <c r="AZ24" s="195"/>
      <c r="BA24" s="195"/>
      <c r="BB24" s="195"/>
      <c r="BC24" s="195"/>
      <c r="BD24" s="834"/>
      <c r="BE24" s="146"/>
      <c r="BG24" s="137"/>
      <c r="BR24" s="154"/>
    </row>
    <row r="25" spans="1:101" s="141" customFormat="1" ht="29.25" customHeight="1">
      <c r="A25" s="357" t="s">
        <v>424</v>
      </c>
      <c r="B25" s="590" t="s">
        <v>232</v>
      </c>
      <c r="C25" s="571" t="s">
        <v>644</v>
      </c>
      <c r="D25" s="571">
        <v>280</v>
      </c>
      <c r="E25" s="571" t="s">
        <v>59</v>
      </c>
      <c r="F25" s="591" t="s">
        <v>534</v>
      </c>
      <c r="G25" s="568">
        <v>2009</v>
      </c>
      <c r="H25" s="593">
        <v>2</v>
      </c>
      <c r="I25" s="594" t="s">
        <v>556</v>
      </c>
      <c r="J25" s="595">
        <v>40</v>
      </c>
      <c r="K25" s="330" t="str">
        <f>IF(F25="","",VLOOKUP(I25,$BG$2:$BL$17,6,FALSE))</f>
        <v>L/h</v>
      </c>
      <c r="L25" s="573">
        <v>0.2</v>
      </c>
      <c r="M25" s="572">
        <v>240</v>
      </c>
      <c r="N25" s="572">
        <v>24</v>
      </c>
      <c r="O25" s="330">
        <f>M25*N25</f>
        <v>5760</v>
      </c>
      <c r="P25" s="862">
        <v>0.5</v>
      </c>
      <c r="Q25" s="572">
        <f>IF(P25="",H25*J25*O25,H25*J25*O25*P25)</f>
        <v>230400</v>
      </c>
      <c r="R25" s="330" t="str">
        <f>IF(K25="","",IF(K25="kW","kW",LEFT(K25,FIND("/",K25)-1)))</f>
        <v>L</v>
      </c>
      <c r="S25" s="330">
        <f t="shared" ref="S25" si="0">IFERROR(H25*L25*O25,"")</f>
        <v>2304</v>
      </c>
      <c r="T25" s="332">
        <f>IFERROR((Q25*AW25*0.001)+(S25*0.495*0.001),"")</f>
        <v>574.72128000000009</v>
      </c>
      <c r="U25" s="590" t="s">
        <v>53</v>
      </c>
      <c r="V25" s="570" t="s">
        <v>644</v>
      </c>
      <c r="W25" s="571">
        <v>240</v>
      </c>
      <c r="X25" s="571" t="s">
        <v>59</v>
      </c>
      <c r="Y25" s="571">
        <v>2</v>
      </c>
      <c r="Z25" s="591" t="s">
        <v>530</v>
      </c>
      <c r="AA25" s="594" t="s">
        <v>599</v>
      </c>
      <c r="AB25" s="595">
        <v>40</v>
      </c>
      <c r="AC25" s="330" t="str">
        <f>IF(Z25="","",VLOOKUP(AA25,$BG$2:$BL$17,6,FALSE))</f>
        <v>m3（N)/h</v>
      </c>
      <c r="AD25" s="860">
        <v>0.25</v>
      </c>
      <c r="AE25" s="861"/>
      <c r="AF25" s="572">
        <f>AN25/BA25</f>
        <v>187904</v>
      </c>
      <c r="AG25" s="330" t="str">
        <f>IF(AC25="","",IF(AC25="kW","kW",LEFT(AC25,FIND("/",AC25)-1)))</f>
        <v>m3（N)</v>
      </c>
      <c r="AH25" s="330">
        <v>1440</v>
      </c>
      <c r="AI25" s="330">
        <f>IFERROR((AF25*BC25*0.001)+(AH25*0.495*0.001),"")</f>
        <v>422.3693760000001</v>
      </c>
      <c r="AJ25" s="330">
        <f>IFERROR(Q25-AF25,"")</f>
        <v>42496</v>
      </c>
      <c r="AK25" s="330">
        <f>IFERROR(S25-AH25,"")</f>
        <v>864</v>
      </c>
      <c r="AL25" s="330">
        <f>IFERROR(T25-AI25,"")</f>
        <v>152.35190399999999</v>
      </c>
      <c r="AM25" s="397" t="s">
        <v>27</v>
      </c>
      <c r="AN25" s="330">
        <f>H25*J25*O25*P25*AU25</f>
        <v>8455680</v>
      </c>
      <c r="AO25" s="143"/>
      <c r="AP25" s="872">
        <f t="shared" ref="AP25:AP36" si="1">MATCH(C25,$BR$9:$BR$17,0)</f>
        <v>1</v>
      </c>
      <c r="AQ25" s="872">
        <f t="shared" ref="AQ25:AQ36" si="2">IF(V25="",AP25,MATCH(V25,$BR$9:$BR$17,0))</f>
        <v>1</v>
      </c>
      <c r="AR25" s="872">
        <f>IF(I25=Z25,1,2)</f>
        <v>2</v>
      </c>
      <c r="AS25" s="873">
        <f>VLOOKUP(I25,$BG$2:$BL$17,2,FALSE)</f>
        <v>36.700000000000003</v>
      </c>
      <c r="AT25" s="873">
        <f>VLOOKUP(I25,$BG$2:$BL$17,3,FALSE)</f>
        <v>34.200000000000003</v>
      </c>
      <c r="AU25" s="834">
        <f>IF(AM25="",VLOOKUP(I25,$BG$2:$BL$17,3,FALSE),VLOOKUP(I25,$BG$2:$BL$17,2,FALSE))</f>
        <v>36.700000000000003</v>
      </c>
      <c r="AV25" s="837">
        <f>Q25*AS25*0.0258+S25*9.76*0.0258</f>
        <v>218736.70963199998</v>
      </c>
      <c r="AW25" s="834">
        <f>VLOOKUP(I25,$BG$2:$BM$17,7,FALSE)</f>
        <v>2.4895</v>
      </c>
      <c r="AX25" s="834"/>
      <c r="AY25" s="873">
        <f>VLOOKUP(AA25,$BG$2:$BL$17,2,FALSE)</f>
        <v>45</v>
      </c>
      <c r="AZ25" s="873">
        <f>VLOOKUP(AA25,$BG$2:$BL$17,3,FALSE)</f>
        <v>40.799999999999997</v>
      </c>
      <c r="BA25" s="834">
        <f>IF(R25="",VLOOKUP(AA25,$BG$2:$BL$17,3,FALSE),VLOOKUP(AA25,$BG$2:$BL$17,2,FALSE))</f>
        <v>45</v>
      </c>
      <c r="BB25" s="837">
        <f>AF25*AY25*0.0258+AH25*9.76*0.0258</f>
        <v>218519.14752</v>
      </c>
      <c r="BC25" s="834">
        <f>VLOOKUP(AA25,$BG$2:$BM$17,7,FALSE)</f>
        <v>2.2440000000000002</v>
      </c>
      <c r="BD25" s="834"/>
      <c r="BE25" s="146"/>
      <c r="BR25" s="154"/>
      <c r="BU25" s="151"/>
      <c r="CB25" s="151"/>
    </row>
    <row r="26" spans="1:101" s="141" customFormat="1" ht="29.25" customHeight="1" thickBot="1">
      <c r="A26" s="713" t="s">
        <v>30</v>
      </c>
      <c r="B26" s="740"/>
      <c r="C26" s="753"/>
      <c r="D26" s="792">
        <f>SUMPRODUCT(D27:D36*H27:H36)</f>
        <v>0</v>
      </c>
      <c r="E26" s="753"/>
      <c r="F26" s="793"/>
      <c r="G26" s="719"/>
      <c r="H26" s="742">
        <f>_xlfn.AGGREGATE(9,7,H27:H36)</f>
        <v>0</v>
      </c>
      <c r="I26" s="794"/>
      <c r="J26" s="795"/>
      <c r="K26" s="744"/>
      <c r="L26" s="744"/>
      <c r="M26" s="794"/>
      <c r="N26" s="794"/>
      <c r="O26" s="743"/>
      <c r="P26" s="754"/>
      <c r="Q26" s="745">
        <f>_xlfn.AGGREGATE(9,7,Q27:Q36)</f>
        <v>0</v>
      </c>
      <c r="R26" s="744" t="str">
        <f>RIGHT(K26,FIND("",K26))</f>
        <v/>
      </c>
      <c r="S26" s="746">
        <f>_xlfn.AGGREGATE(9,7,S27:S36)</f>
        <v>0</v>
      </c>
      <c r="T26" s="746">
        <f>_xlfn.AGGREGATE(9,7,T27:T36)</f>
        <v>0</v>
      </c>
      <c r="U26" s="740"/>
      <c r="V26" s="753"/>
      <c r="W26" s="792">
        <f>SUMPRODUCT(W27:W36*Y27:Y36)</f>
        <v>0</v>
      </c>
      <c r="X26" s="753"/>
      <c r="Y26" s="792">
        <f>_xlfn.AGGREGATE(9,7,Y27:Y36)</f>
        <v>0</v>
      </c>
      <c r="Z26" s="793"/>
      <c r="AA26" s="794"/>
      <c r="AB26" s="795"/>
      <c r="AC26" s="744"/>
      <c r="AD26" s="745"/>
      <c r="AE26" s="744"/>
      <c r="AF26" s="745">
        <f>_xlfn.AGGREGATE(9,7,AF27:AF36)</f>
        <v>0</v>
      </c>
      <c r="AG26" s="745" t="str">
        <f>RIGHT(AC26,FIND("",AC26))</f>
        <v/>
      </c>
      <c r="AH26" s="746">
        <f>_xlfn.AGGREGATE(9,7,AH27:AH36)</f>
        <v>0</v>
      </c>
      <c r="AI26" s="746">
        <f>_xlfn.AGGREGATE(9,7,AI27:AI36)</f>
        <v>0</v>
      </c>
      <c r="AJ26" s="745">
        <f t="shared" ref="AJ26:AL26" si="3">_xlfn.AGGREGATE(9,7,AJ27:AJ36)</f>
        <v>0</v>
      </c>
      <c r="AK26" s="745">
        <f t="shared" si="3"/>
        <v>0</v>
      </c>
      <c r="AL26" s="745">
        <f t="shared" si="3"/>
        <v>0</v>
      </c>
      <c r="AM26" s="308"/>
      <c r="AN26" s="218">
        <f>_xlfn.AGGREGATE(9,7,AN27:AN36)</f>
        <v>0</v>
      </c>
      <c r="AO26" s="856">
        <f>AX26-BD26</f>
        <v>0</v>
      </c>
      <c r="AP26" s="872" t="e">
        <f t="shared" si="1"/>
        <v>#N/A</v>
      </c>
      <c r="AQ26" s="872" t="e">
        <f t="shared" si="2"/>
        <v>#N/A</v>
      </c>
      <c r="AR26" s="874">
        <f>_xlfn.AGGREGATE(9,7,AR27:AR36)</f>
        <v>10</v>
      </c>
      <c r="AS26" s="873"/>
      <c r="AT26" s="873"/>
      <c r="AU26" s="834"/>
      <c r="AV26" s="874">
        <f>_xlfn.AGGREGATE(9,7,AV27:AV36)</f>
        <v>0</v>
      </c>
      <c r="AW26" s="834"/>
      <c r="AX26" s="874">
        <f>_xlfn.AGGREGATE(9,7,AX27:AX36)</f>
        <v>0</v>
      </c>
      <c r="AY26" s="873"/>
      <c r="AZ26" s="873"/>
      <c r="BA26" s="834"/>
      <c r="BB26" s="874">
        <f>_xlfn.AGGREGATE(9,7,BB27:BB36)</f>
        <v>0</v>
      </c>
      <c r="BC26" s="834"/>
      <c r="BD26" s="874">
        <f>_xlfn.AGGREGATE(9,7,BD27:BD36)</f>
        <v>0</v>
      </c>
      <c r="BE26" s="146"/>
      <c r="BN26" s="264"/>
      <c r="BO26" s="264"/>
      <c r="BP26" s="157"/>
      <c r="BR26" s="154"/>
    </row>
    <row r="27" spans="1:101" s="141" customFormat="1" ht="29.25" customHeight="1">
      <c r="A27" s="728">
        <v>1</v>
      </c>
      <c r="B27" s="730"/>
      <c r="C27" s="699"/>
      <c r="D27" s="699"/>
      <c r="E27" s="699"/>
      <c r="F27" s="729"/>
      <c r="G27" s="699"/>
      <c r="H27" s="730"/>
      <c r="I27" s="731"/>
      <c r="J27" s="732"/>
      <c r="K27" s="733" t="str">
        <f t="shared" ref="K27:K36" si="4">IF(F27="","",VLOOKUP(I27,$BG$2:$BL$17,6,FALSE))</f>
        <v/>
      </c>
      <c r="L27" s="784"/>
      <c r="M27" s="785"/>
      <c r="N27" s="785"/>
      <c r="O27" s="737">
        <f t="shared" ref="O27:O36" si="5">M27*N27</f>
        <v>0</v>
      </c>
      <c r="P27" s="786"/>
      <c r="Q27" s="787"/>
      <c r="R27" s="700" t="str">
        <f t="shared" ref="R27:R36" si="6">IF(K27="","",IF(K27="kW","kW",LEFT(K27,FIND("/",K27)-1)))</f>
        <v/>
      </c>
      <c r="S27" s="788">
        <f>IFERROR(H27*L27*O27,0)</f>
        <v>0</v>
      </c>
      <c r="T27" s="702">
        <f>IFERROR((Q27*AW27*0.001)+(S27*0.495*0.001),0)</f>
        <v>0</v>
      </c>
      <c r="U27" s="730"/>
      <c r="V27" s="789"/>
      <c r="W27" s="699"/>
      <c r="X27" s="699"/>
      <c r="Y27" s="699"/>
      <c r="Z27" s="729"/>
      <c r="AA27" s="731"/>
      <c r="AB27" s="732"/>
      <c r="AC27" s="733" t="str">
        <f t="shared" ref="AC27:AC36" si="7">IF(Z27="","",VLOOKUP(AA27,$BG$2:$BL$17,6,FALSE))</f>
        <v/>
      </c>
      <c r="AD27" s="784"/>
      <c r="AE27" s="790"/>
      <c r="AF27" s="791"/>
      <c r="AG27" s="700" t="str">
        <f t="shared" ref="AG27:AG36" si="8">IF(AC27="","",IF(AC27="kW","kW",LEFT(AC27,FIND("/",AC27)-1)))</f>
        <v/>
      </c>
      <c r="AH27" s="849">
        <f>IFERROR(Y27*AD27*O27,"")</f>
        <v>0</v>
      </c>
      <c r="AI27" s="849" t="str">
        <f t="shared" ref="AI27:AI36" si="9">IFERROR((AF27*BC27*0.001)+(AH27*0.495*0.001),"")</f>
        <v/>
      </c>
      <c r="AJ27" s="858">
        <f t="shared" ref="AJ27:AJ36" si="10">IFERROR(Q27-AF27,"")</f>
        <v>0</v>
      </c>
      <c r="AK27" s="858">
        <f t="shared" ref="AK27:AK36" si="11">IFERROR(S27-AH27,"")</f>
        <v>0</v>
      </c>
      <c r="AL27" s="854" t="str">
        <f t="shared" ref="AL27:AL36" si="12">IFERROR(T27-AI27,"")</f>
        <v/>
      </c>
      <c r="AM27" s="398"/>
      <c r="AN27" s="427" t="str">
        <f t="shared" ref="AN27:AN36" si="13">IFERROR(IF(P27="",H27*J27*O27*AU27,H27*J27*O27*P27*AU27),"")</f>
        <v/>
      </c>
      <c r="AO27" s="143"/>
      <c r="AP27" s="872" t="e">
        <f t="shared" si="1"/>
        <v>#N/A</v>
      </c>
      <c r="AQ27" s="872" t="e">
        <f t="shared" si="2"/>
        <v>#N/A</v>
      </c>
      <c r="AR27" s="872">
        <f>IF(I27=AA27,1,2)</f>
        <v>1</v>
      </c>
      <c r="AS27" s="873" t="e">
        <f t="shared" ref="AS27:AS36" si="14">VLOOKUP(I27,$BG$2:$BL$17,2,FALSE)</f>
        <v>#N/A</v>
      </c>
      <c r="AT27" s="873" t="e">
        <f t="shared" ref="AT27:AT36" si="15">VLOOKUP(I27,$BG$2:$BL$17,3,FALSE)</f>
        <v>#N/A</v>
      </c>
      <c r="AU27" s="834" t="e">
        <f t="shared" ref="AU27:AU36" si="16">IF(AM27="",VLOOKUP(I27,$BG$2:$BL$17,3,FALSE),VLOOKUP(I27,$BG$2:$BL$17,2,FALSE))</f>
        <v>#N/A</v>
      </c>
      <c r="AV27" s="837" t="e">
        <f t="shared" ref="AV27:AV36" si="17">Q27*AS27*0.0258+S27*9.76*0.0258</f>
        <v>#N/A</v>
      </c>
      <c r="AW27" s="834" t="e">
        <f t="shared" ref="AW27:AW36" si="18">VLOOKUP(I27,$BG$2:$BM$17,7,FALSE)</f>
        <v>#N/A</v>
      </c>
      <c r="AX27" s="834" t="e">
        <f>H27*J27*M27*IF(P27="",1,P27)*AU27</f>
        <v>#N/A</v>
      </c>
      <c r="AY27" s="873" t="e">
        <f t="shared" ref="AY27:AY36" si="19">VLOOKUP(AA27,$BG$2:$BL$17,2,FALSE)</f>
        <v>#N/A</v>
      </c>
      <c r="AZ27" s="873" t="e">
        <f t="shared" ref="AZ27:AZ36" si="20">VLOOKUP(AA27,$BG$2:$BL$17,3,FALSE)</f>
        <v>#N/A</v>
      </c>
      <c r="BA27" s="834" t="e">
        <f t="shared" ref="BA27:BA36" si="21">IF(R27="",VLOOKUP(AA27,$BG$2:$BL$17,3,FALSE),VLOOKUP(AA27,$BG$2:$BL$17,2,FALSE))</f>
        <v>#N/A</v>
      </c>
      <c r="BB27" s="837" t="e">
        <f t="shared" ref="BB27:BB36" si="22">AF27*AY27*0.0258+AH27*9.76*0.0258</f>
        <v>#N/A</v>
      </c>
      <c r="BC27" s="834" t="e">
        <f t="shared" ref="BC27:BC36" si="23">VLOOKUP(AA27,$BG$2:$BM$17,7,FALSE)</f>
        <v>#N/A</v>
      </c>
      <c r="BD27" s="834" t="e">
        <f>Y27*AB27*M27*IF(P27="",1,P27)*BA27</f>
        <v>#N/A</v>
      </c>
      <c r="BE27" s="146" t="e">
        <f>IF(OR(AP27=9,AQ27=9),"○","")</f>
        <v>#N/A</v>
      </c>
      <c r="BN27" s="264"/>
      <c r="BO27" s="264"/>
      <c r="BP27" s="157"/>
      <c r="BR27" s="154"/>
      <c r="BU27" s="263"/>
      <c r="BV27" s="157"/>
      <c r="BY27" s="154"/>
      <c r="BZ27" s="154"/>
      <c r="CB27" s="264"/>
      <c r="CC27" s="157"/>
    </row>
    <row r="28" spans="1:101" s="141" customFormat="1" ht="29.25" customHeight="1">
      <c r="A28" s="22">
        <v>2</v>
      </c>
      <c r="B28" s="420"/>
      <c r="C28" s="421"/>
      <c r="D28" s="421"/>
      <c r="E28" s="421"/>
      <c r="F28" s="422"/>
      <c r="G28" s="421"/>
      <c r="H28" s="420"/>
      <c r="I28" s="423"/>
      <c r="J28" s="413"/>
      <c r="K28" s="424" t="str">
        <f t="shared" si="4"/>
        <v/>
      </c>
      <c r="L28" s="661"/>
      <c r="M28" s="414"/>
      <c r="N28" s="414"/>
      <c r="O28" s="341">
        <f t="shared" si="5"/>
        <v>0</v>
      </c>
      <c r="P28" s="662"/>
      <c r="Q28" s="407"/>
      <c r="R28" s="426" t="str">
        <f t="shared" si="6"/>
        <v/>
      </c>
      <c r="S28" s="850">
        <f t="shared" ref="S28:S36" si="24">IFERROR(H28*L28*O28,0)</f>
        <v>0</v>
      </c>
      <c r="T28" s="859">
        <f t="shared" ref="T28:T36" si="25">IFERROR((Q28*AW28*0.001)+(S28*0.495*0.001),0)</f>
        <v>0</v>
      </c>
      <c r="U28" s="420"/>
      <c r="V28" s="663"/>
      <c r="W28" s="421"/>
      <c r="X28" s="421"/>
      <c r="Y28" s="421"/>
      <c r="Z28" s="422"/>
      <c r="AA28" s="423"/>
      <c r="AB28" s="413"/>
      <c r="AC28" s="424" t="str">
        <f t="shared" si="7"/>
        <v/>
      </c>
      <c r="AD28" s="661"/>
      <c r="AE28" s="664"/>
      <c r="AF28" s="416"/>
      <c r="AG28" s="426" t="str">
        <f t="shared" si="8"/>
        <v/>
      </c>
      <c r="AH28" s="850">
        <f t="shared" ref="AH28:AH36" si="26">IFERROR(Y28*AD28*O28,"")</f>
        <v>0</v>
      </c>
      <c r="AI28" s="850" t="str">
        <f t="shared" si="9"/>
        <v/>
      </c>
      <c r="AJ28" s="853">
        <f t="shared" si="10"/>
        <v>0</v>
      </c>
      <c r="AK28" s="853">
        <f t="shared" si="11"/>
        <v>0</v>
      </c>
      <c r="AL28" s="855" t="str">
        <f t="shared" si="12"/>
        <v/>
      </c>
      <c r="AM28" s="398"/>
      <c r="AN28" s="427" t="str">
        <f t="shared" si="13"/>
        <v/>
      </c>
      <c r="AO28" s="143"/>
      <c r="AP28" s="872" t="e">
        <f t="shared" si="1"/>
        <v>#N/A</v>
      </c>
      <c r="AQ28" s="872" t="e">
        <f t="shared" si="2"/>
        <v>#N/A</v>
      </c>
      <c r="AR28" s="872">
        <f t="shared" ref="AR28:AR36" si="27">IF(I28=AA28,1,2)</f>
        <v>1</v>
      </c>
      <c r="AS28" s="873" t="e">
        <f t="shared" si="14"/>
        <v>#N/A</v>
      </c>
      <c r="AT28" s="873" t="e">
        <f t="shared" si="15"/>
        <v>#N/A</v>
      </c>
      <c r="AU28" s="834" t="e">
        <f t="shared" si="16"/>
        <v>#N/A</v>
      </c>
      <c r="AV28" s="837" t="e">
        <f t="shared" si="17"/>
        <v>#N/A</v>
      </c>
      <c r="AW28" s="834" t="e">
        <f t="shared" si="18"/>
        <v>#N/A</v>
      </c>
      <c r="AX28" s="834"/>
      <c r="AY28" s="873" t="e">
        <f t="shared" si="19"/>
        <v>#N/A</v>
      </c>
      <c r="AZ28" s="873" t="e">
        <f t="shared" si="20"/>
        <v>#N/A</v>
      </c>
      <c r="BA28" s="834" t="e">
        <f t="shared" si="21"/>
        <v>#N/A</v>
      </c>
      <c r="BB28" s="837" t="e">
        <f t="shared" si="22"/>
        <v>#N/A</v>
      </c>
      <c r="BC28" s="834" t="e">
        <f t="shared" si="23"/>
        <v>#N/A</v>
      </c>
      <c r="BD28" s="834" t="e">
        <f t="shared" ref="BD28:BD36" si="28">Y28*AB28*M28*IF(P28="",1,P28)*BA28</f>
        <v>#N/A</v>
      </c>
      <c r="BE28" s="146" t="e">
        <f t="shared" ref="BE28:BE36" si="29">IF(OR(AP28=9,AQ28=9),"○","")</f>
        <v>#N/A</v>
      </c>
      <c r="BG28" s="152"/>
      <c r="BL28" s="154"/>
      <c r="BM28" s="263"/>
      <c r="BN28" s="264"/>
      <c r="BO28" s="264"/>
      <c r="BP28" s="157"/>
      <c r="BR28" s="154"/>
      <c r="BS28" s="154"/>
      <c r="BU28" s="263"/>
      <c r="BV28" s="157"/>
      <c r="BY28" s="154"/>
      <c r="BZ28" s="154"/>
      <c r="CB28" s="264"/>
      <c r="CC28" s="157"/>
    </row>
    <row r="29" spans="1:101" s="141" customFormat="1" ht="29.25" customHeight="1">
      <c r="A29" s="22">
        <v>3</v>
      </c>
      <c r="B29" s="420"/>
      <c r="C29" s="421"/>
      <c r="D29" s="421"/>
      <c r="E29" s="421"/>
      <c r="F29" s="422"/>
      <c r="G29" s="421"/>
      <c r="H29" s="420"/>
      <c r="I29" s="423"/>
      <c r="J29" s="413"/>
      <c r="K29" s="424" t="str">
        <f t="shared" si="4"/>
        <v/>
      </c>
      <c r="L29" s="661"/>
      <c r="M29" s="414"/>
      <c r="N29" s="414"/>
      <c r="O29" s="341">
        <f t="shared" si="5"/>
        <v>0</v>
      </c>
      <c r="P29" s="662"/>
      <c r="Q29" s="407"/>
      <c r="R29" s="426" t="str">
        <f t="shared" si="6"/>
        <v/>
      </c>
      <c r="S29" s="850">
        <f t="shared" si="24"/>
        <v>0</v>
      </c>
      <c r="T29" s="859">
        <f t="shared" si="25"/>
        <v>0</v>
      </c>
      <c r="U29" s="420"/>
      <c r="V29" s="663"/>
      <c r="W29" s="421"/>
      <c r="X29" s="421"/>
      <c r="Y29" s="421"/>
      <c r="Z29" s="422"/>
      <c r="AA29" s="423"/>
      <c r="AB29" s="413"/>
      <c r="AC29" s="424" t="str">
        <f t="shared" si="7"/>
        <v/>
      </c>
      <c r="AD29" s="661"/>
      <c r="AE29" s="664"/>
      <c r="AF29" s="416"/>
      <c r="AG29" s="426" t="str">
        <f t="shared" si="8"/>
        <v/>
      </c>
      <c r="AH29" s="850">
        <f t="shared" si="26"/>
        <v>0</v>
      </c>
      <c r="AI29" s="850" t="str">
        <f t="shared" si="9"/>
        <v/>
      </c>
      <c r="AJ29" s="853">
        <f t="shared" si="10"/>
        <v>0</v>
      </c>
      <c r="AK29" s="853">
        <f t="shared" si="11"/>
        <v>0</v>
      </c>
      <c r="AL29" s="855" t="str">
        <f t="shared" si="12"/>
        <v/>
      </c>
      <c r="AM29" s="398"/>
      <c r="AN29" s="427" t="str">
        <f t="shared" si="13"/>
        <v/>
      </c>
      <c r="AO29" s="143"/>
      <c r="AP29" s="872" t="e">
        <f t="shared" si="1"/>
        <v>#N/A</v>
      </c>
      <c r="AQ29" s="872" t="e">
        <f t="shared" si="2"/>
        <v>#N/A</v>
      </c>
      <c r="AR29" s="872">
        <f t="shared" si="27"/>
        <v>1</v>
      </c>
      <c r="AS29" s="873" t="e">
        <f t="shared" si="14"/>
        <v>#N/A</v>
      </c>
      <c r="AT29" s="873" t="e">
        <f t="shared" si="15"/>
        <v>#N/A</v>
      </c>
      <c r="AU29" s="834" t="e">
        <f t="shared" si="16"/>
        <v>#N/A</v>
      </c>
      <c r="AV29" s="837" t="e">
        <f t="shared" si="17"/>
        <v>#N/A</v>
      </c>
      <c r="AW29" s="834" t="e">
        <f t="shared" si="18"/>
        <v>#N/A</v>
      </c>
      <c r="AX29" s="834"/>
      <c r="AY29" s="873" t="e">
        <f t="shared" si="19"/>
        <v>#N/A</v>
      </c>
      <c r="AZ29" s="873" t="e">
        <f t="shared" si="20"/>
        <v>#N/A</v>
      </c>
      <c r="BA29" s="834" t="e">
        <f t="shared" si="21"/>
        <v>#N/A</v>
      </c>
      <c r="BB29" s="837" t="e">
        <f t="shared" si="22"/>
        <v>#N/A</v>
      </c>
      <c r="BC29" s="834" t="e">
        <f t="shared" si="23"/>
        <v>#N/A</v>
      </c>
      <c r="BD29" s="834" t="e">
        <f t="shared" si="28"/>
        <v>#N/A</v>
      </c>
      <c r="BE29" s="146" t="e">
        <f t="shared" si="29"/>
        <v>#N/A</v>
      </c>
      <c r="BG29" s="152"/>
      <c r="BL29" s="154"/>
      <c r="BM29" s="263"/>
      <c r="BN29" s="263"/>
      <c r="BO29" s="264"/>
      <c r="BP29" s="157"/>
      <c r="BR29" s="154"/>
      <c r="BS29" s="154"/>
      <c r="BU29" s="263"/>
      <c r="BV29" s="157"/>
      <c r="BY29" s="154"/>
      <c r="BZ29" s="154"/>
      <c r="CB29" s="264"/>
      <c r="CC29" s="157"/>
    </row>
    <row r="30" spans="1:101" s="141" customFormat="1" ht="29.25" customHeight="1">
      <c r="A30" s="22">
        <v>4</v>
      </c>
      <c r="B30" s="420"/>
      <c r="C30" s="421"/>
      <c r="D30" s="421"/>
      <c r="E30" s="421"/>
      <c r="F30" s="422"/>
      <c r="G30" s="421"/>
      <c r="H30" s="420"/>
      <c r="I30" s="423"/>
      <c r="J30" s="413"/>
      <c r="K30" s="424" t="str">
        <f t="shared" si="4"/>
        <v/>
      </c>
      <c r="L30" s="661"/>
      <c r="M30" s="414"/>
      <c r="N30" s="414"/>
      <c r="O30" s="341">
        <f t="shared" si="5"/>
        <v>0</v>
      </c>
      <c r="P30" s="662"/>
      <c r="Q30" s="407"/>
      <c r="R30" s="426" t="str">
        <f t="shared" si="6"/>
        <v/>
      </c>
      <c r="S30" s="850">
        <f t="shared" si="24"/>
        <v>0</v>
      </c>
      <c r="T30" s="859">
        <f t="shared" si="25"/>
        <v>0</v>
      </c>
      <c r="U30" s="420"/>
      <c r="V30" s="663"/>
      <c r="W30" s="421"/>
      <c r="X30" s="421"/>
      <c r="Y30" s="421"/>
      <c r="Z30" s="422"/>
      <c r="AA30" s="423"/>
      <c r="AB30" s="413"/>
      <c r="AC30" s="424" t="str">
        <f t="shared" si="7"/>
        <v/>
      </c>
      <c r="AD30" s="661"/>
      <c r="AE30" s="664"/>
      <c r="AF30" s="416"/>
      <c r="AG30" s="426" t="str">
        <f t="shared" si="8"/>
        <v/>
      </c>
      <c r="AH30" s="850">
        <f t="shared" si="26"/>
        <v>0</v>
      </c>
      <c r="AI30" s="850" t="str">
        <f t="shared" si="9"/>
        <v/>
      </c>
      <c r="AJ30" s="853">
        <f t="shared" si="10"/>
        <v>0</v>
      </c>
      <c r="AK30" s="853">
        <f t="shared" si="11"/>
        <v>0</v>
      </c>
      <c r="AL30" s="855" t="str">
        <f t="shared" si="12"/>
        <v/>
      </c>
      <c r="AM30" s="398"/>
      <c r="AN30" s="427" t="str">
        <f t="shared" si="13"/>
        <v/>
      </c>
      <c r="AO30" s="143"/>
      <c r="AP30" s="872" t="e">
        <f t="shared" si="1"/>
        <v>#N/A</v>
      </c>
      <c r="AQ30" s="872" t="e">
        <f t="shared" si="2"/>
        <v>#N/A</v>
      </c>
      <c r="AR30" s="872">
        <f t="shared" si="27"/>
        <v>1</v>
      </c>
      <c r="AS30" s="873" t="e">
        <f t="shared" si="14"/>
        <v>#N/A</v>
      </c>
      <c r="AT30" s="873" t="e">
        <f t="shared" si="15"/>
        <v>#N/A</v>
      </c>
      <c r="AU30" s="834" t="e">
        <f t="shared" si="16"/>
        <v>#N/A</v>
      </c>
      <c r="AV30" s="837" t="e">
        <f t="shared" si="17"/>
        <v>#N/A</v>
      </c>
      <c r="AW30" s="834" t="e">
        <f t="shared" si="18"/>
        <v>#N/A</v>
      </c>
      <c r="AX30" s="834"/>
      <c r="AY30" s="873" t="e">
        <f t="shared" si="19"/>
        <v>#N/A</v>
      </c>
      <c r="AZ30" s="873" t="e">
        <f t="shared" si="20"/>
        <v>#N/A</v>
      </c>
      <c r="BA30" s="834" t="e">
        <f t="shared" si="21"/>
        <v>#N/A</v>
      </c>
      <c r="BB30" s="837" t="e">
        <f t="shared" si="22"/>
        <v>#N/A</v>
      </c>
      <c r="BC30" s="834" t="e">
        <f t="shared" si="23"/>
        <v>#N/A</v>
      </c>
      <c r="BD30" s="834" t="e">
        <f t="shared" si="28"/>
        <v>#N/A</v>
      </c>
      <c r="BE30" s="146" t="e">
        <f t="shared" si="29"/>
        <v>#N/A</v>
      </c>
      <c r="BG30" s="152"/>
      <c r="BL30" s="154"/>
      <c r="BM30" s="263"/>
      <c r="BN30" s="263"/>
      <c r="BO30" s="264"/>
      <c r="BP30" s="157"/>
      <c r="BR30" s="154"/>
      <c r="BS30" s="154"/>
      <c r="BU30" s="263"/>
      <c r="BV30" s="157"/>
      <c r="BY30" s="154"/>
      <c r="BZ30" s="154"/>
      <c r="CB30" s="264"/>
      <c r="CC30" s="157"/>
    </row>
    <row r="31" spans="1:101" s="141" customFormat="1" ht="29.25" customHeight="1">
      <c r="A31" s="22">
        <v>5</v>
      </c>
      <c r="B31" s="420"/>
      <c r="C31" s="421"/>
      <c r="D31" s="421"/>
      <c r="E31" s="421"/>
      <c r="F31" s="422"/>
      <c r="G31" s="421"/>
      <c r="H31" s="420"/>
      <c r="I31" s="423"/>
      <c r="J31" s="413"/>
      <c r="K31" s="424" t="str">
        <f t="shared" si="4"/>
        <v/>
      </c>
      <c r="L31" s="661"/>
      <c r="M31" s="414"/>
      <c r="N31" s="414"/>
      <c r="O31" s="341">
        <f t="shared" si="5"/>
        <v>0</v>
      </c>
      <c r="P31" s="662"/>
      <c r="Q31" s="407"/>
      <c r="R31" s="426" t="str">
        <f t="shared" si="6"/>
        <v/>
      </c>
      <c r="S31" s="850">
        <f t="shared" si="24"/>
        <v>0</v>
      </c>
      <c r="T31" s="859">
        <f t="shared" si="25"/>
        <v>0</v>
      </c>
      <c r="U31" s="420"/>
      <c r="V31" s="663"/>
      <c r="W31" s="421"/>
      <c r="X31" s="421"/>
      <c r="Y31" s="421"/>
      <c r="Z31" s="422"/>
      <c r="AA31" s="423"/>
      <c r="AB31" s="413"/>
      <c r="AC31" s="424" t="str">
        <f t="shared" si="7"/>
        <v/>
      </c>
      <c r="AD31" s="661"/>
      <c r="AE31" s="664"/>
      <c r="AF31" s="416"/>
      <c r="AG31" s="426" t="str">
        <f t="shared" si="8"/>
        <v/>
      </c>
      <c r="AH31" s="850">
        <f t="shared" si="26"/>
        <v>0</v>
      </c>
      <c r="AI31" s="850" t="str">
        <f t="shared" si="9"/>
        <v/>
      </c>
      <c r="AJ31" s="853">
        <f t="shared" si="10"/>
        <v>0</v>
      </c>
      <c r="AK31" s="853">
        <f t="shared" si="11"/>
        <v>0</v>
      </c>
      <c r="AL31" s="855" t="str">
        <f t="shared" si="12"/>
        <v/>
      </c>
      <c r="AM31" s="398"/>
      <c r="AN31" s="427" t="str">
        <f t="shared" si="13"/>
        <v/>
      </c>
      <c r="AO31" s="143"/>
      <c r="AP31" s="872" t="e">
        <f t="shared" si="1"/>
        <v>#N/A</v>
      </c>
      <c r="AQ31" s="872" t="e">
        <f t="shared" si="2"/>
        <v>#N/A</v>
      </c>
      <c r="AR31" s="872">
        <f t="shared" si="27"/>
        <v>1</v>
      </c>
      <c r="AS31" s="873" t="e">
        <f t="shared" si="14"/>
        <v>#N/A</v>
      </c>
      <c r="AT31" s="873" t="e">
        <f t="shared" si="15"/>
        <v>#N/A</v>
      </c>
      <c r="AU31" s="834" t="e">
        <f t="shared" si="16"/>
        <v>#N/A</v>
      </c>
      <c r="AV31" s="837" t="e">
        <f t="shared" si="17"/>
        <v>#N/A</v>
      </c>
      <c r="AW31" s="834" t="e">
        <f t="shared" si="18"/>
        <v>#N/A</v>
      </c>
      <c r="AX31" s="834"/>
      <c r="AY31" s="873" t="e">
        <f t="shared" si="19"/>
        <v>#N/A</v>
      </c>
      <c r="AZ31" s="873" t="e">
        <f t="shared" si="20"/>
        <v>#N/A</v>
      </c>
      <c r="BA31" s="834" t="e">
        <f t="shared" si="21"/>
        <v>#N/A</v>
      </c>
      <c r="BB31" s="837" t="e">
        <f t="shared" si="22"/>
        <v>#N/A</v>
      </c>
      <c r="BC31" s="834" t="e">
        <f t="shared" si="23"/>
        <v>#N/A</v>
      </c>
      <c r="BD31" s="834" t="e">
        <f t="shared" si="28"/>
        <v>#N/A</v>
      </c>
      <c r="BE31" s="146" t="e">
        <f t="shared" si="29"/>
        <v>#N/A</v>
      </c>
      <c r="BG31" s="152"/>
      <c r="BL31" s="154"/>
      <c r="BM31" s="264"/>
      <c r="BN31" s="264"/>
      <c r="BO31" s="264"/>
      <c r="BP31" s="157"/>
      <c r="BR31" s="154"/>
      <c r="BS31" s="154"/>
      <c r="BU31" s="263"/>
      <c r="BV31" s="157"/>
      <c r="BY31" s="154"/>
      <c r="BZ31" s="154"/>
      <c r="CB31" s="264"/>
      <c r="CC31" s="157"/>
    </row>
    <row r="32" spans="1:101" s="141" customFormat="1" ht="29.25" customHeight="1">
      <c r="A32" s="22">
        <v>6</v>
      </c>
      <c r="B32" s="420"/>
      <c r="C32" s="421"/>
      <c r="D32" s="421"/>
      <c r="E32" s="421"/>
      <c r="F32" s="422"/>
      <c r="G32" s="421"/>
      <c r="H32" s="420"/>
      <c r="I32" s="423"/>
      <c r="J32" s="413"/>
      <c r="K32" s="424" t="str">
        <f t="shared" si="4"/>
        <v/>
      </c>
      <c r="L32" s="661"/>
      <c r="M32" s="414"/>
      <c r="N32" s="414"/>
      <c r="O32" s="341">
        <f t="shared" si="5"/>
        <v>0</v>
      </c>
      <c r="P32" s="662"/>
      <c r="Q32" s="407"/>
      <c r="R32" s="426" t="str">
        <f t="shared" si="6"/>
        <v/>
      </c>
      <c r="S32" s="850">
        <f t="shared" si="24"/>
        <v>0</v>
      </c>
      <c r="T32" s="859">
        <f t="shared" si="25"/>
        <v>0</v>
      </c>
      <c r="U32" s="420"/>
      <c r="V32" s="663"/>
      <c r="W32" s="421"/>
      <c r="X32" s="421"/>
      <c r="Y32" s="421"/>
      <c r="Z32" s="422"/>
      <c r="AA32" s="423"/>
      <c r="AB32" s="413"/>
      <c r="AC32" s="424" t="str">
        <f t="shared" si="7"/>
        <v/>
      </c>
      <c r="AD32" s="661"/>
      <c r="AE32" s="664"/>
      <c r="AF32" s="416"/>
      <c r="AG32" s="426" t="str">
        <f t="shared" si="8"/>
        <v/>
      </c>
      <c r="AH32" s="850">
        <f t="shared" si="26"/>
        <v>0</v>
      </c>
      <c r="AI32" s="850" t="str">
        <f t="shared" si="9"/>
        <v/>
      </c>
      <c r="AJ32" s="853">
        <f t="shared" si="10"/>
        <v>0</v>
      </c>
      <c r="AK32" s="853">
        <f t="shared" si="11"/>
        <v>0</v>
      </c>
      <c r="AL32" s="855" t="str">
        <f t="shared" si="12"/>
        <v/>
      </c>
      <c r="AM32" s="398"/>
      <c r="AN32" s="427" t="str">
        <f t="shared" si="13"/>
        <v/>
      </c>
      <c r="AO32" s="143"/>
      <c r="AP32" s="872" t="e">
        <f t="shared" si="1"/>
        <v>#N/A</v>
      </c>
      <c r="AQ32" s="872" t="e">
        <f t="shared" si="2"/>
        <v>#N/A</v>
      </c>
      <c r="AR32" s="872">
        <f t="shared" si="27"/>
        <v>1</v>
      </c>
      <c r="AS32" s="873" t="e">
        <f t="shared" si="14"/>
        <v>#N/A</v>
      </c>
      <c r="AT32" s="873" t="e">
        <f t="shared" si="15"/>
        <v>#N/A</v>
      </c>
      <c r="AU32" s="834" t="e">
        <f t="shared" si="16"/>
        <v>#N/A</v>
      </c>
      <c r="AV32" s="837" t="e">
        <f t="shared" si="17"/>
        <v>#N/A</v>
      </c>
      <c r="AW32" s="834" t="e">
        <f t="shared" si="18"/>
        <v>#N/A</v>
      </c>
      <c r="AX32" s="834"/>
      <c r="AY32" s="873" t="e">
        <f t="shared" si="19"/>
        <v>#N/A</v>
      </c>
      <c r="AZ32" s="873" t="e">
        <f t="shared" si="20"/>
        <v>#N/A</v>
      </c>
      <c r="BA32" s="834" t="e">
        <f t="shared" si="21"/>
        <v>#N/A</v>
      </c>
      <c r="BB32" s="837" t="e">
        <f t="shared" si="22"/>
        <v>#N/A</v>
      </c>
      <c r="BC32" s="834" t="e">
        <f t="shared" si="23"/>
        <v>#N/A</v>
      </c>
      <c r="BD32" s="834" t="e">
        <f t="shared" si="28"/>
        <v>#N/A</v>
      </c>
      <c r="BE32" s="146" t="e">
        <f t="shared" si="29"/>
        <v>#N/A</v>
      </c>
      <c r="BL32" s="154"/>
      <c r="BM32" s="264"/>
      <c r="BN32" s="263"/>
      <c r="BO32" s="264"/>
      <c r="BP32" s="157"/>
      <c r="BR32" s="154"/>
      <c r="BS32" s="154"/>
      <c r="BU32" s="263"/>
      <c r="BV32" s="157"/>
      <c r="BY32" s="154"/>
      <c r="BZ32" s="154"/>
      <c r="CB32" s="264"/>
      <c r="CC32" s="157"/>
    </row>
    <row r="33" spans="1:97" s="141" customFormat="1" ht="29.25" customHeight="1">
      <c r="A33" s="22">
        <v>7</v>
      </c>
      <c r="B33" s="420"/>
      <c r="C33" s="421"/>
      <c r="D33" s="421"/>
      <c r="E33" s="421"/>
      <c r="F33" s="422"/>
      <c r="G33" s="421"/>
      <c r="H33" s="420"/>
      <c r="I33" s="423"/>
      <c r="J33" s="413"/>
      <c r="K33" s="424" t="str">
        <f t="shared" si="4"/>
        <v/>
      </c>
      <c r="L33" s="661"/>
      <c r="M33" s="414"/>
      <c r="N33" s="414"/>
      <c r="O33" s="341">
        <f t="shared" si="5"/>
        <v>0</v>
      </c>
      <c r="P33" s="662"/>
      <c r="Q33" s="407"/>
      <c r="R33" s="426" t="str">
        <f t="shared" si="6"/>
        <v/>
      </c>
      <c r="S33" s="850">
        <f t="shared" si="24"/>
        <v>0</v>
      </c>
      <c r="T33" s="859">
        <f t="shared" si="25"/>
        <v>0</v>
      </c>
      <c r="U33" s="420"/>
      <c r="V33" s="663"/>
      <c r="W33" s="421"/>
      <c r="X33" s="421"/>
      <c r="Y33" s="421"/>
      <c r="Z33" s="422"/>
      <c r="AA33" s="423"/>
      <c r="AB33" s="413"/>
      <c r="AC33" s="424" t="str">
        <f t="shared" si="7"/>
        <v/>
      </c>
      <c r="AD33" s="661"/>
      <c r="AE33" s="664"/>
      <c r="AF33" s="416"/>
      <c r="AG33" s="426" t="str">
        <f t="shared" si="8"/>
        <v/>
      </c>
      <c r="AH33" s="850">
        <f t="shared" si="26"/>
        <v>0</v>
      </c>
      <c r="AI33" s="850" t="str">
        <f t="shared" si="9"/>
        <v/>
      </c>
      <c r="AJ33" s="853">
        <f t="shared" si="10"/>
        <v>0</v>
      </c>
      <c r="AK33" s="853">
        <f t="shared" si="11"/>
        <v>0</v>
      </c>
      <c r="AL33" s="855" t="str">
        <f t="shared" si="12"/>
        <v/>
      </c>
      <c r="AM33" s="398"/>
      <c r="AN33" s="427" t="str">
        <f t="shared" si="13"/>
        <v/>
      </c>
      <c r="AO33" s="143"/>
      <c r="AP33" s="872" t="e">
        <f t="shared" si="1"/>
        <v>#N/A</v>
      </c>
      <c r="AQ33" s="872" t="e">
        <f t="shared" si="2"/>
        <v>#N/A</v>
      </c>
      <c r="AR33" s="872">
        <f t="shared" si="27"/>
        <v>1</v>
      </c>
      <c r="AS33" s="873" t="e">
        <f t="shared" si="14"/>
        <v>#N/A</v>
      </c>
      <c r="AT33" s="873" t="e">
        <f t="shared" si="15"/>
        <v>#N/A</v>
      </c>
      <c r="AU33" s="834" t="e">
        <f t="shared" si="16"/>
        <v>#N/A</v>
      </c>
      <c r="AV33" s="837" t="e">
        <f t="shared" si="17"/>
        <v>#N/A</v>
      </c>
      <c r="AW33" s="834" t="e">
        <f t="shared" si="18"/>
        <v>#N/A</v>
      </c>
      <c r="AX33" s="834"/>
      <c r="AY33" s="873" t="e">
        <f t="shared" si="19"/>
        <v>#N/A</v>
      </c>
      <c r="AZ33" s="873" t="e">
        <f t="shared" si="20"/>
        <v>#N/A</v>
      </c>
      <c r="BA33" s="834" t="e">
        <f t="shared" si="21"/>
        <v>#N/A</v>
      </c>
      <c r="BB33" s="837" t="e">
        <f t="shared" si="22"/>
        <v>#N/A</v>
      </c>
      <c r="BC33" s="834" t="e">
        <f t="shared" si="23"/>
        <v>#N/A</v>
      </c>
      <c r="BD33" s="834" t="e">
        <f t="shared" si="28"/>
        <v>#N/A</v>
      </c>
      <c r="BE33" s="146" t="e">
        <f t="shared" si="29"/>
        <v>#N/A</v>
      </c>
      <c r="BL33" s="154"/>
      <c r="BM33" s="263"/>
      <c r="BN33" s="263"/>
      <c r="BO33" s="264"/>
      <c r="BP33" s="157"/>
      <c r="BR33" s="154"/>
      <c r="BS33" s="154"/>
      <c r="BU33" s="263"/>
      <c r="BV33" s="157"/>
      <c r="BY33" s="154"/>
      <c r="BZ33" s="154"/>
      <c r="CB33" s="264"/>
      <c r="CC33" s="157"/>
    </row>
    <row r="34" spans="1:97" s="141" customFormat="1" ht="29.25" customHeight="1">
      <c r="A34" s="22">
        <v>8</v>
      </c>
      <c r="B34" s="420"/>
      <c r="C34" s="421"/>
      <c r="D34" s="421"/>
      <c r="E34" s="421"/>
      <c r="F34" s="422"/>
      <c r="G34" s="421"/>
      <c r="H34" s="420"/>
      <c r="I34" s="423"/>
      <c r="J34" s="413"/>
      <c r="K34" s="424" t="str">
        <f t="shared" si="4"/>
        <v/>
      </c>
      <c r="L34" s="661"/>
      <c r="M34" s="414"/>
      <c r="N34" s="414"/>
      <c r="O34" s="341">
        <f t="shared" si="5"/>
        <v>0</v>
      </c>
      <c r="P34" s="662"/>
      <c r="Q34" s="407"/>
      <c r="R34" s="426" t="str">
        <f t="shared" si="6"/>
        <v/>
      </c>
      <c r="S34" s="850">
        <f t="shared" si="24"/>
        <v>0</v>
      </c>
      <c r="T34" s="859">
        <f t="shared" si="25"/>
        <v>0</v>
      </c>
      <c r="U34" s="420"/>
      <c r="V34" s="663"/>
      <c r="W34" s="421"/>
      <c r="X34" s="421"/>
      <c r="Y34" s="421"/>
      <c r="Z34" s="422"/>
      <c r="AA34" s="423"/>
      <c r="AB34" s="413"/>
      <c r="AC34" s="424" t="str">
        <f t="shared" si="7"/>
        <v/>
      </c>
      <c r="AD34" s="661"/>
      <c r="AE34" s="664"/>
      <c r="AF34" s="416"/>
      <c r="AG34" s="426" t="str">
        <f t="shared" si="8"/>
        <v/>
      </c>
      <c r="AH34" s="850">
        <f t="shared" si="26"/>
        <v>0</v>
      </c>
      <c r="AI34" s="850" t="str">
        <f t="shared" si="9"/>
        <v/>
      </c>
      <c r="AJ34" s="853">
        <f t="shared" si="10"/>
        <v>0</v>
      </c>
      <c r="AK34" s="853">
        <f t="shared" si="11"/>
        <v>0</v>
      </c>
      <c r="AL34" s="855" t="str">
        <f t="shared" si="12"/>
        <v/>
      </c>
      <c r="AM34" s="398"/>
      <c r="AN34" s="427" t="str">
        <f t="shared" si="13"/>
        <v/>
      </c>
      <c r="AO34" s="143"/>
      <c r="AP34" s="872" t="e">
        <f t="shared" si="1"/>
        <v>#N/A</v>
      </c>
      <c r="AQ34" s="872" t="e">
        <f t="shared" si="2"/>
        <v>#N/A</v>
      </c>
      <c r="AR34" s="872">
        <f t="shared" si="27"/>
        <v>1</v>
      </c>
      <c r="AS34" s="873" t="e">
        <f t="shared" si="14"/>
        <v>#N/A</v>
      </c>
      <c r="AT34" s="873" t="e">
        <f t="shared" si="15"/>
        <v>#N/A</v>
      </c>
      <c r="AU34" s="834" t="e">
        <f t="shared" si="16"/>
        <v>#N/A</v>
      </c>
      <c r="AV34" s="837" t="e">
        <f t="shared" si="17"/>
        <v>#N/A</v>
      </c>
      <c r="AW34" s="834" t="e">
        <f t="shared" si="18"/>
        <v>#N/A</v>
      </c>
      <c r="AX34" s="834"/>
      <c r="AY34" s="873" t="e">
        <f t="shared" si="19"/>
        <v>#N/A</v>
      </c>
      <c r="AZ34" s="873" t="e">
        <f t="shared" si="20"/>
        <v>#N/A</v>
      </c>
      <c r="BA34" s="834" t="e">
        <f t="shared" si="21"/>
        <v>#N/A</v>
      </c>
      <c r="BB34" s="837" t="e">
        <f t="shared" si="22"/>
        <v>#N/A</v>
      </c>
      <c r="BC34" s="834" t="e">
        <f t="shared" si="23"/>
        <v>#N/A</v>
      </c>
      <c r="BD34" s="834" t="e">
        <f t="shared" si="28"/>
        <v>#N/A</v>
      </c>
      <c r="BE34" s="146" t="e">
        <f t="shared" si="29"/>
        <v>#N/A</v>
      </c>
      <c r="BL34" s="154"/>
      <c r="BM34" s="264"/>
      <c r="BN34" s="264"/>
      <c r="BO34" s="264"/>
      <c r="BP34" s="157"/>
      <c r="BR34" s="154"/>
      <c r="BS34" s="154"/>
      <c r="BU34" s="263"/>
      <c r="BV34" s="157"/>
      <c r="BY34" s="154"/>
      <c r="BZ34" s="154"/>
      <c r="CB34" s="264"/>
      <c r="CC34" s="157"/>
    </row>
    <row r="35" spans="1:97" s="141" customFormat="1" ht="29.25" customHeight="1">
      <c r="A35" s="22">
        <v>9</v>
      </c>
      <c r="B35" s="420"/>
      <c r="C35" s="421"/>
      <c r="D35" s="421"/>
      <c r="E35" s="421"/>
      <c r="F35" s="422"/>
      <c r="G35" s="421"/>
      <c r="H35" s="420"/>
      <c r="I35" s="423"/>
      <c r="J35" s="413"/>
      <c r="K35" s="424" t="str">
        <f t="shared" si="4"/>
        <v/>
      </c>
      <c r="L35" s="661"/>
      <c r="M35" s="414"/>
      <c r="N35" s="414"/>
      <c r="O35" s="341">
        <f t="shared" si="5"/>
        <v>0</v>
      </c>
      <c r="P35" s="662"/>
      <c r="Q35" s="407"/>
      <c r="R35" s="426" t="str">
        <f t="shared" si="6"/>
        <v/>
      </c>
      <c r="S35" s="850">
        <f t="shared" si="24"/>
        <v>0</v>
      </c>
      <c r="T35" s="859">
        <f t="shared" si="25"/>
        <v>0</v>
      </c>
      <c r="U35" s="420"/>
      <c r="V35" s="663"/>
      <c r="W35" s="421"/>
      <c r="X35" s="421"/>
      <c r="Y35" s="421"/>
      <c r="Z35" s="422"/>
      <c r="AA35" s="423"/>
      <c r="AB35" s="413"/>
      <c r="AC35" s="424" t="str">
        <f t="shared" si="7"/>
        <v/>
      </c>
      <c r="AD35" s="661"/>
      <c r="AE35" s="664"/>
      <c r="AF35" s="416"/>
      <c r="AG35" s="426" t="str">
        <f t="shared" si="8"/>
        <v/>
      </c>
      <c r="AH35" s="850">
        <f t="shared" si="26"/>
        <v>0</v>
      </c>
      <c r="AI35" s="850" t="str">
        <f t="shared" si="9"/>
        <v/>
      </c>
      <c r="AJ35" s="853">
        <f t="shared" si="10"/>
        <v>0</v>
      </c>
      <c r="AK35" s="853">
        <f t="shared" si="11"/>
        <v>0</v>
      </c>
      <c r="AL35" s="855" t="str">
        <f t="shared" si="12"/>
        <v/>
      </c>
      <c r="AM35" s="398"/>
      <c r="AN35" s="427" t="str">
        <f t="shared" si="13"/>
        <v/>
      </c>
      <c r="AO35" s="143"/>
      <c r="AP35" s="872" t="e">
        <f t="shared" si="1"/>
        <v>#N/A</v>
      </c>
      <c r="AQ35" s="872" t="e">
        <f t="shared" si="2"/>
        <v>#N/A</v>
      </c>
      <c r="AR35" s="872">
        <f t="shared" si="27"/>
        <v>1</v>
      </c>
      <c r="AS35" s="873" t="e">
        <f t="shared" si="14"/>
        <v>#N/A</v>
      </c>
      <c r="AT35" s="873" t="e">
        <f t="shared" si="15"/>
        <v>#N/A</v>
      </c>
      <c r="AU35" s="834" t="e">
        <f t="shared" si="16"/>
        <v>#N/A</v>
      </c>
      <c r="AV35" s="837" t="e">
        <f t="shared" si="17"/>
        <v>#N/A</v>
      </c>
      <c r="AW35" s="834" t="e">
        <f t="shared" si="18"/>
        <v>#N/A</v>
      </c>
      <c r="AX35" s="834"/>
      <c r="AY35" s="873" t="e">
        <f t="shared" si="19"/>
        <v>#N/A</v>
      </c>
      <c r="AZ35" s="873" t="e">
        <f t="shared" si="20"/>
        <v>#N/A</v>
      </c>
      <c r="BA35" s="834" t="e">
        <f t="shared" si="21"/>
        <v>#N/A</v>
      </c>
      <c r="BB35" s="837" t="e">
        <f t="shared" si="22"/>
        <v>#N/A</v>
      </c>
      <c r="BC35" s="834" t="e">
        <f t="shared" si="23"/>
        <v>#N/A</v>
      </c>
      <c r="BD35" s="834" t="e">
        <f t="shared" si="28"/>
        <v>#N/A</v>
      </c>
      <c r="BE35" s="146" t="e">
        <f t="shared" si="29"/>
        <v>#N/A</v>
      </c>
      <c r="BL35" s="154"/>
      <c r="BM35" s="264"/>
      <c r="BN35" s="264"/>
      <c r="BO35" s="264"/>
      <c r="BP35" s="157"/>
      <c r="BR35" s="154"/>
      <c r="BS35" s="154"/>
      <c r="BU35" s="263"/>
      <c r="BV35" s="157"/>
      <c r="BY35" s="154"/>
      <c r="BZ35" s="154"/>
      <c r="CB35" s="264"/>
      <c r="CC35" s="157"/>
    </row>
    <row r="36" spans="1:97" s="141" customFormat="1" ht="29.25" customHeight="1">
      <c r="A36" s="22">
        <v>10</v>
      </c>
      <c r="B36" s="420"/>
      <c r="C36" s="421"/>
      <c r="D36" s="421"/>
      <c r="E36" s="421"/>
      <c r="F36" s="422"/>
      <c r="G36" s="421"/>
      <c r="H36" s="420"/>
      <c r="I36" s="423"/>
      <c r="J36" s="413"/>
      <c r="K36" s="424" t="str">
        <f t="shared" si="4"/>
        <v/>
      </c>
      <c r="L36" s="661"/>
      <c r="M36" s="414"/>
      <c r="N36" s="414"/>
      <c r="O36" s="341">
        <f t="shared" si="5"/>
        <v>0</v>
      </c>
      <c r="P36" s="662"/>
      <c r="Q36" s="407"/>
      <c r="R36" s="426" t="str">
        <f t="shared" si="6"/>
        <v/>
      </c>
      <c r="S36" s="850">
        <f t="shared" si="24"/>
        <v>0</v>
      </c>
      <c r="T36" s="859">
        <f t="shared" si="25"/>
        <v>0</v>
      </c>
      <c r="U36" s="420"/>
      <c r="V36" s="663"/>
      <c r="W36" s="421"/>
      <c r="X36" s="421"/>
      <c r="Y36" s="421"/>
      <c r="Z36" s="422"/>
      <c r="AA36" s="423"/>
      <c r="AB36" s="413"/>
      <c r="AC36" s="424" t="str">
        <f t="shared" si="7"/>
        <v/>
      </c>
      <c r="AD36" s="661"/>
      <c r="AE36" s="664"/>
      <c r="AF36" s="416"/>
      <c r="AG36" s="426" t="str">
        <f t="shared" si="8"/>
        <v/>
      </c>
      <c r="AH36" s="850">
        <f t="shared" si="26"/>
        <v>0</v>
      </c>
      <c r="AI36" s="850" t="str">
        <f t="shared" si="9"/>
        <v/>
      </c>
      <c r="AJ36" s="853">
        <f t="shared" si="10"/>
        <v>0</v>
      </c>
      <c r="AK36" s="853">
        <f t="shared" si="11"/>
        <v>0</v>
      </c>
      <c r="AL36" s="855" t="str">
        <f t="shared" si="12"/>
        <v/>
      </c>
      <c r="AM36" s="398"/>
      <c r="AN36" s="427" t="str">
        <f t="shared" si="13"/>
        <v/>
      </c>
      <c r="AO36" s="143"/>
      <c r="AP36" s="872" t="e">
        <f t="shared" si="1"/>
        <v>#N/A</v>
      </c>
      <c r="AQ36" s="872" t="e">
        <f t="shared" si="2"/>
        <v>#N/A</v>
      </c>
      <c r="AR36" s="872">
        <f t="shared" si="27"/>
        <v>1</v>
      </c>
      <c r="AS36" s="873" t="e">
        <f t="shared" si="14"/>
        <v>#N/A</v>
      </c>
      <c r="AT36" s="873" t="e">
        <f t="shared" si="15"/>
        <v>#N/A</v>
      </c>
      <c r="AU36" s="834" t="e">
        <f t="shared" si="16"/>
        <v>#N/A</v>
      </c>
      <c r="AV36" s="837" t="e">
        <f t="shared" si="17"/>
        <v>#N/A</v>
      </c>
      <c r="AW36" s="834" t="e">
        <f t="shared" si="18"/>
        <v>#N/A</v>
      </c>
      <c r="AX36" s="834"/>
      <c r="AY36" s="873" t="e">
        <f t="shared" si="19"/>
        <v>#N/A</v>
      </c>
      <c r="AZ36" s="873" t="e">
        <f t="shared" si="20"/>
        <v>#N/A</v>
      </c>
      <c r="BA36" s="834" t="e">
        <f t="shared" si="21"/>
        <v>#N/A</v>
      </c>
      <c r="BB36" s="837" t="e">
        <f t="shared" si="22"/>
        <v>#N/A</v>
      </c>
      <c r="BC36" s="834" t="e">
        <f t="shared" si="23"/>
        <v>#N/A</v>
      </c>
      <c r="BD36" s="834" t="e">
        <f t="shared" si="28"/>
        <v>#N/A</v>
      </c>
      <c r="BE36" s="146" t="e">
        <f t="shared" si="29"/>
        <v>#N/A</v>
      </c>
      <c r="BL36" s="154"/>
      <c r="BM36" s="263"/>
      <c r="BN36" s="263"/>
      <c r="BO36" s="264"/>
      <c r="BP36" s="157"/>
      <c r="BR36" s="154"/>
      <c r="BS36" s="154"/>
      <c r="BU36" s="263"/>
      <c r="BV36" s="157"/>
      <c r="BY36" s="154"/>
      <c r="BZ36" s="154"/>
      <c r="CB36" s="264"/>
      <c r="CC36" s="157"/>
    </row>
    <row r="37" spans="1:97" s="141" customFormat="1" ht="18" customHeight="1">
      <c r="A37" s="140"/>
      <c r="B37" s="140"/>
      <c r="C37" s="140"/>
      <c r="D37" s="140"/>
      <c r="E37" s="140"/>
      <c r="F37" s="140"/>
      <c r="G37" s="196"/>
      <c r="H37" s="196"/>
      <c r="I37" s="196"/>
      <c r="J37" s="196"/>
      <c r="K37" s="331"/>
      <c r="L37" s="331"/>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344"/>
      <c r="AK37" s="344"/>
      <c r="AL37" s="344"/>
      <c r="AM37" s="143"/>
      <c r="AN37" s="179"/>
      <c r="AO37" s="144"/>
      <c r="AP37" s="144"/>
      <c r="AQ37" s="144"/>
      <c r="AR37" s="145"/>
      <c r="AS37" s="145"/>
      <c r="AT37" s="146"/>
      <c r="AU37" s="147"/>
      <c r="AV37" s="146"/>
      <c r="AW37" s="146"/>
      <c r="AX37" s="145"/>
      <c r="AY37" s="145"/>
      <c r="AZ37" s="146"/>
      <c r="BA37" s="147"/>
      <c r="BB37" s="146"/>
      <c r="BC37" s="146"/>
      <c r="BD37" s="146"/>
      <c r="BK37" s="154"/>
      <c r="BL37" s="263"/>
      <c r="BM37" s="264"/>
      <c r="BN37" s="264"/>
      <c r="BO37" s="157"/>
      <c r="BR37" s="154"/>
      <c r="BS37" s="154"/>
      <c r="BT37" s="263"/>
      <c r="BU37" s="157"/>
      <c r="BX37" s="154"/>
      <c r="BY37" s="154"/>
      <c r="CA37" s="264"/>
      <c r="CB37" s="157"/>
    </row>
    <row r="38" spans="1:97" s="141" customFormat="1" ht="18" customHeight="1">
      <c r="A38" s="140"/>
      <c r="B38" s="140"/>
      <c r="C38" s="140"/>
      <c r="D38" s="140"/>
      <c r="E38" s="140"/>
      <c r="F38" s="183"/>
      <c r="G38" s="183"/>
      <c r="H38" s="183"/>
      <c r="I38" s="183"/>
      <c r="J38" s="183"/>
      <c r="K38" s="183"/>
      <c r="L38" s="183"/>
      <c r="M38" s="182"/>
      <c r="N38" s="182"/>
      <c r="O38" s="182"/>
      <c r="P38" s="182"/>
      <c r="Q38" s="182"/>
      <c r="R38" s="182"/>
      <c r="S38" s="140"/>
      <c r="T38" s="140"/>
      <c r="U38" s="140"/>
      <c r="V38" s="140"/>
      <c r="W38" s="140"/>
      <c r="X38" s="140"/>
      <c r="Y38" s="140"/>
      <c r="Z38" s="184"/>
      <c r="AA38" s="184"/>
      <c r="AB38" s="184"/>
      <c r="AC38" s="184"/>
      <c r="AD38" s="184"/>
      <c r="AE38" s="184"/>
      <c r="AF38" s="184"/>
      <c r="AG38" s="182"/>
      <c r="AH38" s="182"/>
      <c r="AI38" s="182"/>
      <c r="AJ38" s="182"/>
      <c r="AK38" s="182"/>
      <c r="AL38" s="182"/>
      <c r="AM38" s="182"/>
      <c r="AN38" s="143"/>
      <c r="AO38" s="144"/>
      <c r="AP38" s="144"/>
      <c r="AQ38" s="144"/>
      <c r="AR38" s="145"/>
      <c r="AS38" s="145"/>
      <c r="AT38" s="146"/>
      <c r="AU38" s="147"/>
      <c r="AV38" s="146"/>
      <c r="AW38" s="146"/>
      <c r="AX38" s="145"/>
      <c r="AY38" s="145"/>
      <c r="AZ38" s="146"/>
      <c r="BA38" s="147"/>
      <c r="BB38" s="146"/>
      <c r="BC38" s="146"/>
      <c r="BD38" s="146"/>
      <c r="BK38" s="154"/>
      <c r="BL38" s="264"/>
      <c r="BM38" s="264"/>
      <c r="BN38" s="264"/>
      <c r="BR38" s="154"/>
      <c r="BT38" s="263"/>
      <c r="BU38" s="157"/>
      <c r="BX38" s="154"/>
      <c r="BY38" s="154"/>
      <c r="CA38" s="264"/>
      <c r="CB38" s="157"/>
    </row>
    <row r="39" spans="1:97" s="141" customFormat="1" ht="18" customHeight="1">
      <c r="A39" s="140"/>
      <c r="B39" s="140"/>
      <c r="C39" s="140"/>
      <c r="D39" s="140"/>
      <c r="E39" s="140"/>
      <c r="F39" s="140"/>
      <c r="G39" s="185"/>
      <c r="H39" s="185"/>
      <c r="I39" s="186"/>
      <c r="J39" s="186"/>
      <c r="K39" s="187"/>
      <c r="L39" s="187"/>
      <c r="M39" s="187"/>
      <c r="N39" s="187"/>
      <c r="O39" s="187"/>
      <c r="P39" s="187"/>
      <c r="Q39" s="187"/>
      <c r="R39" s="187"/>
      <c r="S39" s="140"/>
      <c r="T39" s="140"/>
      <c r="U39" s="140"/>
      <c r="V39" s="140"/>
      <c r="W39" s="140"/>
      <c r="X39" s="140"/>
      <c r="Y39" s="140"/>
      <c r="AA39" s="140"/>
      <c r="AB39" s="140"/>
      <c r="AC39" s="140"/>
      <c r="AD39" s="140"/>
      <c r="AE39" s="140"/>
      <c r="AF39" s="140"/>
      <c r="AG39" s="185"/>
      <c r="AH39" s="185"/>
      <c r="AI39" s="185"/>
      <c r="AJ39" s="185"/>
      <c r="AK39" s="185"/>
      <c r="AL39" s="185"/>
      <c r="AM39" s="188"/>
      <c r="AN39" s="143"/>
      <c r="AO39" s="144"/>
      <c r="AP39" s="144"/>
      <c r="AQ39" s="144"/>
      <c r="AR39" s="145"/>
      <c r="AS39" s="145"/>
      <c r="AT39" s="146"/>
      <c r="AU39" s="147"/>
      <c r="AV39" s="146"/>
      <c r="AW39" s="146"/>
      <c r="AX39" s="145"/>
      <c r="AY39" s="145"/>
      <c r="AZ39" s="146"/>
      <c r="BA39" s="147"/>
      <c r="BB39" s="146"/>
      <c r="BC39" s="146"/>
      <c r="BD39" s="146"/>
      <c r="BK39" s="154"/>
      <c r="BL39" s="263"/>
      <c r="BT39" s="264"/>
      <c r="BV39" s="265"/>
      <c r="BX39" s="154"/>
      <c r="BZ39" s="265"/>
      <c r="CA39" s="264"/>
      <c r="CC39" s="265"/>
    </row>
    <row r="40" spans="1:97" s="141" customFormat="1" ht="18" customHeight="1">
      <c r="A40" s="189"/>
      <c r="B40" s="190"/>
      <c r="C40" s="190"/>
      <c r="D40" s="190"/>
      <c r="E40" s="190"/>
      <c r="F40" s="182"/>
      <c r="G40" s="182"/>
      <c r="H40" s="182"/>
      <c r="I40" s="182"/>
      <c r="J40" s="182"/>
      <c r="K40" s="182"/>
      <c r="L40" s="182"/>
      <c r="M40" s="182"/>
      <c r="N40" s="182"/>
      <c r="O40" s="182"/>
      <c r="P40" s="182"/>
      <c r="Q40" s="182"/>
      <c r="R40" s="182"/>
      <c r="Z40" s="182"/>
      <c r="AA40" s="182"/>
      <c r="AB40" s="182"/>
      <c r="AC40" s="182"/>
      <c r="AD40" s="182"/>
      <c r="AE40" s="182"/>
      <c r="AF40" s="182"/>
      <c r="AG40" s="182"/>
      <c r="AH40" s="182"/>
      <c r="AI40" s="182"/>
      <c r="AJ40" s="182"/>
      <c r="AK40" s="182"/>
      <c r="AL40" s="182"/>
      <c r="AN40" s="143"/>
      <c r="AO40" s="144"/>
      <c r="AP40" s="144"/>
      <c r="AQ40" s="144"/>
      <c r="AR40" s="145"/>
      <c r="AS40" s="145"/>
      <c r="AT40" s="146"/>
      <c r="AU40" s="147"/>
      <c r="AV40" s="146"/>
      <c r="AW40" s="146"/>
      <c r="AX40" s="145"/>
      <c r="AY40" s="145"/>
      <c r="AZ40" s="146"/>
      <c r="BA40" s="147"/>
      <c r="BB40" s="146"/>
      <c r="BC40" s="146"/>
      <c r="BD40" s="146"/>
      <c r="BK40" s="154"/>
      <c r="BL40" s="264"/>
      <c r="BS40" s="265"/>
      <c r="CI40" s="266"/>
      <c r="CJ40" s="266"/>
      <c r="CK40" s="266"/>
      <c r="CL40" s="266"/>
      <c r="CM40" s="266"/>
      <c r="CN40" s="266"/>
      <c r="CO40" s="266"/>
      <c r="CP40" s="266"/>
      <c r="CQ40" s="266"/>
      <c r="CR40" s="266"/>
    </row>
    <row r="41" spans="1:97" s="141" customFormat="1" ht="18" customHeight="1">
      <c r="A41" s="189"/>
      <c r="B41" s="193"/>
      <c r="C41" s="193"/>
      <c r="D41" s="193"/>
      <c r="E41" s="193"/>
      <c r="F41" s="194"/>
      <c r="G41" s="194"/>
      <c r="H41" s="194"/>
      <c r="I41" s="194"/>
      <c r="J41" s="194"/>
      <c r="K41" s="194"/>
      <c r="L41" s="194"/>
      <c r="M41" s="195"/>
      <c r="N41" s="195"/>
      <c r="O41" s="195"/>
      <c r="P41" s="195"/>
      <c r="Q41" s="195"/>
      <c r="R41" s="195"/>
      <c r="S41" s="182"/>
      <c r="T41" s="182"/>
      <c r="U41" s="182"/>
      <c r="V41" s="182"/>
      <c r="W41" s="182"/>
      <c r="X41" s="182"/>
      <c r="Y41" s="182"/>
      <c r="Z41" s="194"/>
      <c r="AA41" s="194"/>
      <c r="AB41" s="194"/>
      <c r="AC41" s="194"/>
      <c r="AD41" s="194"/>
      <c r="AE41" s="194"/>
      <c r="AF41" s="194"/>
      <c r="AG41" s="195"/>
      <c r="AH41" s="195"/>
      <c r="AI41" s="195"/>
      <c r="AJ41" s="195"/>
      <c r="AK41" s="195"/>
      <c r="AL41" s="195"/>
      <c r="AM41" s="182"/>
      <c r="AN41" s="143"/>
      <c r="AO41" s="144"/>
      <c r="AP41" s="144"/>
      <c r="AQ41" s="144"/>
      <c r="AR41" s="145"/>
      <c r="AS41" s="145"/>
      <c r="AT41" s="146"/>
      <c r="AU41" s="147"/>
      <c r="AV41" s="146"/>
      <c r="AW41" s="146"/>
      <c r="AX41" s="145"/>
      <c r="AY41" s="145"/>
      <c r="AZ41" s="146"/>
      <c r="BA41" s="147"/>
      <c r="BB41" s="146"/>
      <c r="BC41" s="146"/>
      <c r="BD41" s="146"/>
      <c r="CI41" s="266"/>
      <c r="CJ41" s="267"/>
      <c r="CK41" s="266"/>
      <c r="CL41" s="266"/>
      <c r="CM41" s="266"/>
      <c r="CN41" s="266"/>
      <c r="CO41" s="266"/>
      <c r="CP41" s="266"/>
      <c r="CQ41" s="266"/>
      <c r="CR41" s="266"/>
    </row>
    <row r="42" spans="1:97" s="141" customFormat="1" ht="18" customHeight="1">
      <c r="A42" s="196"/>
      <c r="B42" s="196"/>
      <c r="C42" s="196"/>
      <c r="D42" s="196"/>
      <c r="E42" s="196"/>
      <c r="F42" s="194"/>
      <c r="G42" s="194"/>
      <c r="H42" s="194"/>
      <c r="I42" s="194"/>
      <c r="J42" s="194"/>
      <c r="K42" s="194"/>
      <c r="L42" s="194"/>
      <c r="M42" s="195"/>
      <c r="N42" s="195"/>
      <c r="O42" s="195"/>
      <c r="P42" s="195"/>
      <c r="Q42" s="195"/>
      <c r="R42" s="195"/>
      <c r="S42" s="182"/>
      <c r="T42" s="182"/>
      <c r="U42" s="182"/>
      <c r="V42" s="182"/>
      <c r="W42" s="182"/>
      <c r="X42" s="182"/>
      <c r="Y42" s="182"/>
      <c r="Z42" s="194"/>
      <c r="AA42" s="194"/>
      <c r="AB42" s="194"/>
      <c r="AC42" s="194"/>
      <c r="AD42" s="194"/>
      <c r="AE42" s="194"/>
      <c r="AF42" s="194"/>
      <c r="AG42" s="195"/>
      <c r="AH42" s="195"/>
      <c r="AI42" s="195"/>
      <c r="AJ42" s="195"/>
      <c r="AK42" s="195"/>
      <c r="AL42" s="195"/>
      <c r="AM42" s="182"/>
      <c r="AN42" s="143"/>
      <c r="AO42" s="144"/>
      <c r="AP42" s="144"/>
      <c r="AQ42" s="144"/>
      <c r="AR42" s="145"/>
      <c r="AS42" s="145"/>
      <c r="AT42" s="146"/>
      <c r="AU42" s="147"/>
      <c r="AV42" s="146"/>
      <c r="AW42" s="146"/>
      <c r="AX42" s="145"/>
      <c r="AY42" s="145"/>
      <c r="AZ42" s="146"/>
      <c r="BA42" s="147"/>
      <c r="BB42" s="146"/>
      <c r="BC42" s="146"/>
      <c r="BD42" s="146"/>
      <c r="CI42" s="266"/>
      <c r="CJ42" s="267"/>
      <c r="CK42" s="266"/>
      <c r="CL42" s="266"/>
      <c r="CM42" s="266"/>
      <c r="CN42" s="266"/>
      <c r="CO42" s="266"/>
      <c r="CP42" s="266"/>
      <c r="CQ42" s="266"/>
      <c r="CR42" s="266"/>
    </row>
    <row r="43" spans="1:97" s="141" customFormat="1" ht="18" customHeight="1">
      <c r="B43" s="182"/>
      <c r="C43" s="182"/>
      <c r="D43" s="182"/>
      <c r="E43" s="182"/>
      <c r="AN43" s="143"/>
      <c r="AO43" s="144"/>
      <c r="AP43" s="144"/>
      <c r="AQ43" s="144"/>
      <c r="AR43" s="145"/>
      <c r="AS43" s="145"/>
      <c r="AT43" s="146"/>
      <c r="AU43" s="147"/>
      <c r="AV43" s="146"/>
      <c r="AW43" s="146"/>
      <c r="AX43" s="145"/>
      <c r="AY43" s="145"/>
      <c r="AZ43" s="146"/>
      <c r="BA43" s="147"/>
      <c r="BB43" s="146"/>
      <c r="BC43" s="146"/>
      <c r="BD43" s="146"/>
      <c r="BP43" s="176"/>
      <c r="BQ43" s="270"/>
      <c r="CI43" s="266"/>
      <c r="CJ43" s="266"/>
      <c r="CK43" s="266"/>
      <c r="CL43" s="266"/>
      <c r="CM43" s="266"/>
      <c r="CN43" s="266"/>
      <c r="CO43" s="266"/>
      <c r="CP43" s="266"/>
      <c r="CQ43" s="266"/>
      <c r="CR43" s="266"/>
    </row>
    <row r="44" spans="1:97" s="141" customFormat="1" ht="18" customHeight="1">
      <c r="A44" s="137"/>
      <c r="B44" s="137"/>
      <c r="C44" s="137"/>
      <c r="D44" s="137"/>
      <c r="E44" s="137"/>
      <c r="Z44" s="197"/>
      <c r="AA44" s="197"/>
      <c r="AB44" s="197"/>
      <c r="AC44" s="197"/>
      <c r="AD44" s="197"/>
      <c r="AE44" s="197"/>
      <c r="AF44" s="197"/>
      <c r="AN44" s="143"/>
      <c r="AO44" s="144"/>
      <c r="AP44" s="144"/>
      <c r="AQ44" s="144"/>
      <c r="AR44" s="145"/>
      <c r="AS44" s="145"/>
      <c r="AT44" s="146"/>
      <c r="AU44" s="147"/>
      <c r="AV44" s="146"/>
      <c r="AW44" s="146"/>
      <c r="AX44" s="145"/>
      <c r="AY44" s="145"/>
      <c r="AZ44" s="146"/>
      <c r="BA44" s="147"/>
      <c r="BB44" s="146"/>
      <c r="BC44" s="146"/>
      <c r="BD44" s="146"/>
      <c r="BP44" s="176"/>
      <c r="BQ44" s="235"/>
      <c r="CF44" s="171"/>
      <c r="CI44" s="266"/>
      <c r="CJ44" s="266"/>
      <c r="CK44" s="266"/>
      <c r="CL44" s="266"/>
      <c r="CM44" s="266"/>
      <c r="CN44" s="266"/>
      <c r="CO44" s="266"/>
      <c r="CP44" s="266"/>
      <c r="CQ44" s="266"/>
      <c r="CR44" s="266"/>
    </row>
    <row r="45" spans="1:97" s="141" customFormat="1" ht="15" customHeight="1">
      <c r="A45" s="137"/>
      <c r="B45" s="137"/>
      <c r="C45" s="137"/>
      <c r="D45" s="137"/>
      <c r="E45" s="137"/>
      <c r="V45" s="154"/>
      <c r="W45" s="154"/>
      <c r="X45" s="154"/>
      <c r="Y45" s="154"/>
      <c r="Z45" s="198"/>
      <c r="AA45" s="198"/>
      <c r="AB45" s="198"/>
      <c r="AC45" s="198"/>
      <c r="AD45" s="198"/>
      <c r="AE45" s="198"/>
      <c r="AF45" s="198"/>
      <c r="AN45" s="143"/>
      <c r="AO45" s="144"/>
      <c r="AP45" s="137"/>
      <c r="AQ45" s="137"/>
      <c r="AR45" s="145"/>
      <c r="AS45" s="145"/>
      <c r="AT45" s="146"/>
      <c r="AU45" s="147"/>
      <c r="AV45" s="146"/>
      <c r="AW45" s="146"/>
      <c r="AX45" s="145"/>
      <c r="AY45" s="145"/>
      <c r="AZ45" s="146"/>
      <c r="BA45" s="147"/>
      <c r="BB45" s="146"/>
      <c r="BP45" s="176"/>
      <c r="BQ45" s="235"/>
      <c r="CG45" s="171"/>
      <c r="CJ45" s="266"/>
      <c r="CK45" s="266"/>
      <c r="CL45" s="266"/>
      <c r="CM45" s="266"/>
      <c r="CN45" s="268"/>
      <c r="CO45" s="268"/>
      <c r="CP45" s="268"/>
      <c r="CQ45" s="269"/>
      <c r="CR45" s="269"/>
      <c r="CS45" s="269"/>
    </row>
    <row r="46" spans="1:97" s="141" customFormat="1" ht="15" customHeight="1">
      <c r="A46" s="137"/>
      <c r="B46" s="137"/>
      <c r="C46" s="137"/>
      <c r="D46" s="137"/>
      <c r="E46" s="137"/>
      <c r="Z46" s="198"/>
      <c r="AA46" s="198"/>
      <c r="AB46" s="198"/>
      <c r="AC46" s="198"/>
      <c r="AD46" s="198"/>
      <c r="AE46" s="198"/>
      <c r="AF46" s="198"/>
      <c r="AO46" s="143"/>
      <c r="AP46" s="144"/>
      <c r="AQ46" s="144"/>
      <c r="AR46" s="145"/>
      <c r="AS46" s="145"/>
      <c r="AT46" s="146"/>
      <c r="AU46" s="147"/>
      <c r="AV46" s="146"/>
      <c r="AW46" s="146"/>
      <c r="AX46" s="145"/>
      <c r="AY46" s="145"/>
      <c r="AZ46" s="146"/>
      <c r="BA46" s="147"/>
      <c r="BB46" s="146"/>
      <c r="BP46" s="176"/>
      <c r="BQ46" s="235"/>
      <c r="BR46" s="270"/>
      <c r="BT46" s="237"/>
      <c r="BU46" s="238"/>
      <c r="BV46" s="271"/>
      <c r="BW46" s="271"/>
      <c r="BX46" s="176"/>
      <c r="CG46" s="171"/>
      <c r="CJ46" s="266"/>
      <c r="CK46" s="266"/>
      <c r="CL46" s="266"/>
      <c r="CM46" s="266"/>
      <c r="CN46" s="268"/>
      <c r="CO46" s="268"/>
      <c r="CP46" s="268"/>
      <c r="CQ46" s="269"/>
      <c r="CR46" s="269"/>
      <c r="CS46" s="269"/>
    </row>
    <row r="47" spans="1:97" s="141" customFormat="1" ht="15" customHeight="1">
      <c r="A47" s="137"/>
      <c r="B47" s="137"/>
      <c r="C47" s="137"/>
      <c r="D47" s="137"/>
      <c r="E47" s="137"/>
      <c r="Z47" s="199"/>
      <c r="AB47" s="200"/>
      <c r="AN47" s="182"/>
      <c r="AO47" s="143"/>
      <c r="AP47" s="144"/>
      <c r="AQ47" s="144"/>
      <c r="AR47" s="144"/>
      <c r="AS47" s="145"/>
      <c r="AT47" s="145"/>
      <c r="AU47" s="146"/>
      <c r="AV47" s="146"/>
      <c r="AW47" s="146"/>
      <c r="AX47" s="146"/>
      <c r="AY47" s="146"/>
      <c r="AZ47" s="146"/>
      <c r="BA47" s="146"/>
      <c r="BB47" s="146"/>
      <c r="BP47" s="176"/>
      <c r="BQ47" s="235"/>
      <c r="BR47" s="235"/>
      <c r="BS47" s="176"/>
      <c r="BT47" s="176"/>
      <c r="BU47" s="176"/>
      <c r="BV47" s="176"/>
      <c r="BW47" s="176"/>
      <c r="BX47" s="176"/>
      <c r="CG47" s="171"/>
      <c r="CJ47" s="266"/>
      <c r="CK47" s="266"/>
      <c r="CL47" s="266"/>
      <c r="CM47" s="266"/>
      <c r="CN47" s="268"/>
      <c r="CO47" s="268"/>
      <c r="CP47" s="268"/>
      <c r="CQ47" s="269"/>
      <c r="CR47" s="269"/>
      <c r="CS47" s="269"/>
    </row>
    <row r="48" spans="1:97" s="141" customFormat="1" ht="15" customHeight="1">
      <c r="A48" s="137"/>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82"/>
      <c r="AO48" s="143"/>
      <c r="AP48" s="144"/>
      <c r="AQ48" s="144"/>
      <c r="AR48" s="144"/>
      <c r="AS48" s="145"/>
      <c r="AT48" s="145"/>
      <c r="AU48" s="146"/>
      <c r="AV48" s="146"/>
      <c r="AW48" s="146"/>
      <c r="AX48" s="146"/>
      <c r="AY48" s="146"/>
      <c r="AZ48" s="146"/>
      <c r="BA48" s="146"/>
      <c r="BB48" s="146"/>
      <c r="BP48" s="176"/>
      <c r="BQ48" s="235"/>
      <c r="BR48" s="235"/>
      <c r="BS48" s="176"/>
      <c r="BT48" s="176"/>
      <c r="BU48" s="176"/>
      <c r="BV48" s="176"/>
      <c r="BW48" s="176"/>
      <c r="BX48" s="176"/>
      <c r="CG48" s="171"/>
      <c r="CJ48" s="266"/>
      <c r="CK48" s="266"/>
      <c r="CL48" s="266"/>
      <c r="CM48" s="266"/>
      <c r="CN48" s="268"/>
      <c r="CO48" s="268"/>
      <c r="CP48" s="268"/>
      <c r="CQ48" s="269"/>
      <c r="CR48" s="269"/>
      <c r="CS48" s="269"/>
    </row>
    <row r="49" spans="1:97" s="141" customFormat="1" ht="1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88"/>
      <c r="AO49" s="143"/>
      <c r="AP49" s="144"/>
      <c r="AQ49" s="144"/>
      <c r="AR49" s="144"/>
      <c r="AS49" s="145"/>
      <c r="AT49" s="145"/>
      <c r="AU49" s="146"/>
      <c r="AV49" s="146"/>
      <c r="AW49" s="146"/>
      <c r="AX49" s="146"/>
      <c r="AY49" s="146"/>
      <c r="AZ49" s="146"/>
      <c r="BA49" s="146"/>
      <c r="BB49" s="146"/>
      <c r="BP49" s="176"/>
      <c r="BQ49" s="235"/>
      <c r="BR49" s="235"/>
      <c r="BS49" s="176"/>
      <c r="BT49" s="176"/>
      <c r="BU49" s="176"/>
      <c r="BV49" s="176"/>
      <c r="BW49" s="176"/>
      <c r="BX49" s="176"/>
      <c r="CG49" s="171"/>
      <c r="CJ49" s="266"/>
      <c r="CK49" s="266"/>
      <c r="CL49" s="266"/>
      <c r="CM49" s="266"/>
      <c r="CN49" s="268"/>
      <c r="CO49" s="268"/>
      <c r="CP49" s="268"/>
      <c r="CQ49" s="269"/>
      <c r="CR49" s="269"/>
      <c r="CS49" s="269"/>
    </row>
    <row r="50" spans="1:97" s="141" customFormat="1" ht="15" customHeight="1">
      <c r="A50" s="137"/>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O50" s="143"/>
      <c r="AP50" s="144"/>
      <c r="AQ50" s="144"/>
      <c r="AR50" s="144"/>
      <c r="AS50" s="145"/>
      <c r="AT50" s="145"/>
      <c r="AU50" s="146"/>
      <c r="AV50" s="146"/>
      <c r="AW50" s="146"/>
      <c r="AX50" s="146"/>
      <c r="AY50" s="146"/>
      <c r="AZ50" s="146"/>
      <c r="BA50" s="146"/>
      <c r="BB50" s="146"/>
      <c r="BP50" s="176"/>
      <c r="BQ50" s="235"/>
      <c r="BR50" s="235"/>
      <c r="BS50" s="176"/>
      <c r="BT50" s="176"/>
      <c r="BU50" s="176"/>
      <c r="BV50" s="176"/>
      <c r="BW50" s="176"/>
      <c r="BX50" s="176"/>
      <c r="CG50" s="171"/>
      <c r="CJ50" s="266"/>
      <c r="CK50" s="266"/>
      <c r="CL50" s="266"/>
      <c r="CM50" s="266"/>
      <c r="CN50" s="268"/>
      <c r="CO50" s="268"/>
      <c r="CP50" s="268"/>
      <c r="CQ50" s="269"/>
      <c r="CR50" s="269"/>
      <c r="CS50" s="269"/>
    </row>
    <row r="51" spans="1:97" s="141" customFormat="1" ht="15" customHeight="1">
      <c r="A51" s="137"/>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82"/>
      <c r="AO51" s="143"/>
      <c r="AP51" s="144"/>
      <c r="AQ51" s="144"/>
      <c r="AR51" s="144"/>
      <c r="AS51" s="145"/>
      <c r="AT51" s="145"/>
      <c r="AU51" s="146"/>
      <c r="AV51" s="146"/>
      <c r="AW51" s="146"/>
      <c r="AX51" s="146"/>
      <c r="AY51" s="146"/>
      <c r="AZ51" s="146"/>
      <c r="BA51" s="146"/>
      <c r="BB51" s="146"/>
      <c r="BP51" s="176"/>
      <c r="BQ51" s="235"/>
      <c r="BR51" s="235"/>
      <c r="BS51" s="176"/>
      <c r="BT51" s="176"/>
      <c r="BU51" s="176"/>
      <c r="BV51" s="176"/>
      <c r="BW51" s="176"/>
      <c r="BX51" s="176"/>
      <c r="CG51" s="171"/>
      <c r="CJ51" s="266"/>
      <c r="CK51" s="266"/>
      <c r="CL51" s="266"/>
      <c r="CM51" s="266"/>
      <c r="CN51" s="268"/>
      <c r="CO51" s="268"/>
      <c r="CP51" s="268"/>
      <c r="CQ51" s="269"/>
      <c r="CR51" s="269"/>
      <c r="CS51" s="269"/>
    </row>
    <row r="52" spans="1:97" s="141" customFormat="1" ht="15" customHeight="1">
      <c r="A52" s="137"/>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82"/>
      <c r="AO52" s="143"/>
      <c r="AP52" s="144"/>
      <c r="AQ52" s="144"/>
      <c r="AR52" s="144"/>
      <c r="AS52" s="145"/>
      <c r="AT52" s="145"/>
      <c r="AU52" s="146"/>
      <c r="AV52" s="146"/>
      <c r="AW52" s="146"/>
      <c r="AX52" s="146"/>
      <c r="AY52" s="146"/>
      <c r="AZ52" s="146"/>
      <c r="BA52" s="146"/>
      <c r="BB52" s="146"/>
      <c r="BP52" s="176"/>
      <c r="BQ52" s="235"/>
      <c r="BR52" s="235"/>
      <c r="BS52" s="176"/>
      <c r="BT52" s="176"/>
      <c r="BU52" s="176"/>
      <c r="BV52" s="176"/>
      <c r="BW52" s="176"/>
      <c r="BX52" s="176"/>
      <c r="CG52" s="171"/>
      <c r="CJ52" s="266"/>
      <c r="CK52" s="266"/>
      <c r="CL52" s="266"/>
      <c r="CM52" s="266"/>
      <c r="CN52" s="268"/>
      <c r="CO52" s="272"/>
      <c r="CP52" s="268"/>
      <c r="CQ52" s="269"/>
      <c r="CR52" s="273"/>
      <c r="CS52" s="269"/>
    </row>
    <row r="53" spans="1:97" s="141" customFormat="1" ht="15" customHeight="1">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O53" s="143"/>
      <c r="AP53" s="144"/>
      <c r="AQ53" s="144"/>
      <c r="AR53" s="144"/>
      <c r="AS53" s="145"/>
      <c r="AT53" s="145"/>
      <c r="AU53" s="146"/>
      <c r="AV53" s="146"/>
      <c r="AW53" s="146"/>
      <c r="AX53" s="146"/>
      <c r="AY53" s="146"/>
      <c r="AZ53" s="146"/>
      <c r="BA53" s="146"/>
      <c r="BB53" s="146"/>
      <c r="BI53" s="141" t="s">
        <v>383</v>
      </c>
      <c r="BP53" s="176"/>
      <c r="BQ53" s="270"/>
      <c r="BR53" s="235"/>
      <c r="BS53" s="176"/>
      <c r="BT53" s="176"/>
      <c r="BU53" s="176"/>
      <c r="BV53" s="176"/>
      <c r="BW53" s="176"/>
      <c r="BX53" s="176"/>
      <c r="CG53" s="171"/>
      <c r="CJ53" s="266"/>
      <c r="CK53" s="266"/>
      <c r="CL53" s="266"/>
      <c r="CM53" s="266"/>
      <c r="CN53" s="268"/>
      <c r="CO53" s="268"/>
      <c r="CP53" s="268"/>
      <c r="CQ53" s="269"/>
      <c r="CR53" s="269"/>
      <c r="CS53" s="269"/>
    </row>
    <row r="54" spans="1:97" s="141" customFormat="1" ht="15" customHeight="1">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O54" s="143"/>
      <c r="AP54" s="144"/>
      <c r="AQ54" s="144"/>
      <c r="AR54" s="144"/>
      <c r="AS54" s="145"/>
      <c r="AT54" s="145"/>
      <c r="AU54" s="146"/>
      <c r="AV54" s="146"/>
      <c r="AW54" s="146"/>
      <c r="AX54" s="146"/>
      <c r="AY54" s="146"/>
      <c r="AZ54" s="146"/>
      <c r="BA54" s="146"/>
      <c r="BB54" s="146"/>
      <c r="BI54" s="141" t="s">
        <v>385</v>
      </c>
      <c r="BP54" s="176"/>
      <c r="BQ54" s="235"/>
      <c r="BR54" s="235"/>
      <c r="BS54" s="176"/>
      <c r="BT54" s="176"/>
      <c r="BU54" s="176"/>
      <c r="BV54" s="176"/>
      <c r="BW54" s="176"/>
      <c r="BX54" s="176"/>
      <c r="CG54" s="171"/>
      <c r="CJ54" s="266"/>
      <c r="CK54" s="266"/>
      <c r="CL54" s="266"/>
      <c r="CM54" s="266"/>
      <c r="CN54" s="268"/>
      <c r="CO54" s="268"/>
      <c r="CP54" s="268"/>
      <c r="CQ54" s="269"/>
      <c r="CR54" s="269"/>
      <c r="CS54" s="269"/>
    </row>
    <row r="55" spans="1:97" s="141" customFormat="1" ht="15" customHeight="1">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O55" s="143"/>
      <c r="AP55" s="144"/>
      <c r="AQ55" s="144"/>
      <c r="AR55" s="144"/>
      <c r="AS55" s="145"/>
      <c r="AT55" s="145"/>
      <c r="AU55" s="146"/>
      <c r="AV55" s="146"/>
      <c r="AW55" s="146"/>
      <c r="AX55" s="146"/>
      <c r="AY55" s="146"/>
      <c r="AZ55" s="146"/>
      <c r="BA55" s="146"/>
      <c r="BB55" s="146"/>
      <c r="BI55" s="141" t="s">
        <v>387</v>
      </c>
      <c r="BP55" s="176"/>
      <c r="BQ55" s="235"/>
      <c r="BR55" s="235"/>
      <c r="BS55" s="176"/>
      <c r="BT55" s="176"/>
      <c r="BU55" s="176"/>
      <c r="BV55" s="176"/>
      <c r="BW55" s="176"/>
      <c r="BX55" s="176"/>
      <c r="CG55" s="171"/>
      <c r="CJ55" s="266"/>
      <c r="CK55" s="266"/>
      <c r="CL55" s="266"/>
      <c r="CM55" s="266"/>
      <c r="CN55" s="268"/>
      <c r="CO55" s="268"/>
      <c r="CP55" s="268"/>
      <c r="CQ55" s="269"/>
      <c r="CR55" s="269"/>
      <c r="CS55" s="269"/>
    </row>
    <row r="56" spans="1:97" s="141" customFormat="1" ht="15" customHeight="1">
      <c r="A56" s="137"/>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O56" s="143"/>
      <c r="AP56" s="144"/>
      <c r="AQ56" s="144"/>
      <c r="AR56" s="144"/>
      <c r="AS56" s="145"/>
      <c r="AT56" s="145"/>
      <c r="AU56" s="146"/>
      <c r="AV56" s="146"/>
      <c r="AW56" s="146"/>
      <c r="AX56" s="146"/>
      <c r="AY56" s="146"/>
      <c r="AZ56" s="146"/>
      <c r="BA56" s="146"/>
      <c r="BB56" s="146"/>
      <c r="BI56" s="141" t="s">
        <v>389</v>
      </c>
      <c r="BP56" s="176"/>
      <c r="BQ56" s="235"/>
      <c r="BR56" s="270"/>
      <c r="BS56" s="176"/>
      <c r="BT56" s="237"/>
      <c r="BU56" s="237"/>
      <c r="BV56" s="271"/>
      <c r="BW56" s="271"/>
      <c r="BX56" s="176"/>
      <c r="CG56" s="171"/>
      <c r="CJ56" s="266"/>
      <c r="CK56" s="266"/>
      <c r="CL56" s="266"/>
      <c r="CM56" s="266"/>
      <c r="CN56" s="268"/>
      <c r="CO56" s="268"/>
      <c r="CP56" s="266"/>
      <c r="CQ56" s="269"/>
      <c r="CR56" s="269"/>
      <c r="CS56" s="269"/>
    </row>
    <row r="57" spans="1:97" s="141" customFormat="1" ht="15" customHeight="1">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O57" s="143"/>
      <c r="AP57" s="144"/>
      <c r="AQ57" s="144"/>
      <c r="AR57" s="144"/>
      <c r="AS57" s="145"/>
      <c r="AT57" s="145"/>
      <c r="AU57" s="146"/>
      <c r="AV57" s="146"/>
      <c r="AW57" s="146"/>
      <c r="AX57" s="146"/>
      <c r="AY57" s="146"/>
      <c r="AZ57" s="146"/>
      <c r="BA57" s="146"/>
      <c r="BB57" s="146"/>
      <c r="BI57" s="141" t="s">
        <v>391</v>
      </c>
      <c r="BP57" s="176"/>
      <c r="BQ57" s="235"/>
      <c r="BR57" s="235"/>
      <c r="BS57" s="176"/>
      <c r="BT57" s="176"/>
      <c r="BU57" s="176"/>
      <c r="BV57" s="176"/>
      <c r="BW57" s="176"/>
      <c r="BX57" s="176"/>
      <c r="CG57" s="171"/>
      <c r="CJ57" s="266"/>
      <c r="CK57" s="266"/>
      <c r="CL57" s="266"/>
      <c r="CM57" s="266"/>
      <c r="CN57" s="266"/>
      <c r="CO57" s="268"/>
      <c r="CP57" s="266"/>
      <c r="CQ57" s="269"/>
      <c r="CR57" s="269"/>
      <c r="CS57" s="269"/>
    </row>
    <row r="58" spans="1:97" s="141" customFormat="1" ht="15" customHeight="1">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43"/>
      <c r="AP58" s="144"/>
      <c r="AQ58" s="144"/>
      <c r="AR58" s="144"/>
      <c r="AS58" s="145"/>
      <c r="AT58" s="145"/>
      <c r="AU58" s="146"/>
      <c r="AV58" s="146"/>
      <c r="AW58" s="146"/>
      <c r="AX58" s="146"/>
      <c r="AY58" s="146"/>
      <c r="AZ58" s="146"/>
      <c r="BA58" s="146"/>
      <c r="BB58" s="146"/>
      <c r="BI58" s="141" t="s">
        <v>393</v>
      </c>
      <c r="BP58" s="176"/>
      <c r="BQ58" s="270"/>
      <c r="BR58" s="235"/>
      <c r="BS58" s="176"/>
      <c r="BT58" s="176"/>
      <c r="BU58" s="176"/>
      <c r="BV58" s="176"/>
      <c r="BW58" s="176"/>
      <c r="BX58" s="176"/>
      <c r="CG58" s="171"/>
      <c r="CJ58" s="266"/>
      <c r="CK58" s="266"/>
      <c r="CL58" s="266"/>
      <c r="CM58" s="266"/>
      <c r="CN58" s="266"/>
      <c r="CO58" s="268"/>
      <c r="CP58" s="266"/>
      <c r="CQ58" s="269"/>
      <c r="CR58" s="269"/>
      <c r="CS58" s="269"/>
    </row>
    <row r="59" spans="1:97" s="141" customFormat="1" ht="15" customHeight="1">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AO59" s="143"/>
      <c r="AP59" s="144"/>
      <c r="AQ59" s="144"/>
      <c r="AR59" s="144"/>
      <c r="AS59" s="145"/>
      <c r="AT59" s="145"/>
      <c r="AU59" s="146"/>
      <c r="AV59" s="146"/>
      <c r="AW59" s="146"/>
      <c r="AX59" s="146"/>
      <c r="AY59" s="146"/>
      <c r="AZ59" s="146"/>
      <c r="BA59" s="146"/>
      <c r="BB59" s="146"/>
      <c r="BI59" s="141" t="s">
        <v>395</v>
      </c>
      <c r="BP59" s="176"/>
      <c r="BQ59" s="235"/>
      <c r="BR59" s="235"/>
      <c r="BS59" s="176"/>
      <c r="BT59" s="176"/>
      <c r="BU59" s="176"/>
      <c r="BV59" s="176"/>
      <c r="BW59" s="176"/>
      <c r="BX59" s="176"/>
      <c r="CG59" s="171"/>
      <c r="CJ59" s="266"/>
      <c r="CK59" s="266"/>
      <c r="CL59" s="266"/>
      <c r="CM59" s="266"/>
      <c r="CN59" s="266"/>
      <c r="CO59" s="268"/>
      <c r="CP59" s="266"/>
      <c r="CQ59" s="269"/>
      <c r="CR59" s="269"/>
      <c r="CS59" s="269"/>
    </row>
    <row r="60" spans="1:97" s="141" customFormat="1" ht="15" customHeight="1">
      <c r="A60" s="137"/>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c r="AN60" s="137"/>
      <c r="AO60" s="143"/>
      <c r="AP60" s="144"/>
      <c r="AQ60" s="144"/>
      <c r="AR60" s="144"/>
      <c r="AS60" s="145"/>
      <c r="AT60" s="145"/>
      <c r="AU60" s="146"/>
      <c r="AV60" s="146"/>
      <c r="AW60" s="146"/>
      <c r="AX60" s="146"/>
      <c r="AY60" s="146"/>
      <c r="AZ60" s="146"/>
      <c r="BA60" s="146"/>
      <c r="BB60" s="146"/>
      <c r="BI60" s="141" t="s">
        <v>396</v>
      </c>
      <c r="BP60" s="176"/>
      <c r="BQ60" s="235"/>
      <c r="BR60" s="235"/>
      <c r="BS60" s="176"/>
      <c r="BT60" s="176"/>
      <c r="BU60" s="176"/>
      <c r="BV60" s="176"/>
      <c r="BW60" s="176"/>
      <c r="BX60" s="176"/>
      <c r="CG60" s="171"/>
      <c r="CJ60" s="266"/>
      <c r="CK60" s="266"/>
      <c r="CL60" s="266"/>
      <c r="CM60" s="266"/>
      <c r="CN60" s="266"/>
      <c r="CO60" s="268"/>
      <c r="CP60" s="266"/>
      <c r="CQ60" s="269"/>
      <c r="CR60" s="269"/>
      <c r="CS60" s="269"/>
    </row>
    <row r="61" spans="1:97" s="141" customFormat="1" ht="15" customHeight="1">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AO61" s="143"/>
      <c r="AP61" s="144"/>
      <c r="AQ61" s="144"/>
      <c r="AR61" s="144"/>
      <c r="AS61" s="145"/>
      <c r="AT61" s="145"/>
      <c r="AU61" s="146"/>
      <c r="AV61" s="146"/>
      <c r="AW61" s="146"/>
      <c r="AX61" s="146"/>
      <c r="AY61" s="146"/>
      <c r="AZ61" s="146"/>
      <c r="BA61" s="146"/>
      <c r="BB61" s="146"/>
      <c r="BI61" s="141" t="s">
        <v>397</v>
      </c>
      <c r="BP61" s="176"/>
      <c r="BQ61" s="235"/>
      <c r="BR61" s="270"/>
      <c r="BS61" s="176"/>
      <c r="BT61" s="274"/>
      <c r="BU61" s="274"/>
      <c r="BV61" s="271"/>
      <c r="BW61" s="271"/>
      <c r="BX61" s="176"/>
      <c r="CG61" s="171"/>
      <c r="CJ61" s="266"/>
      <c r="CK61" s="266"/>
      <c r="CL61" s="266"/>
      <c r="CM61" s="266"/>
      <c r="CN61" s="266"/>
      <c r="CO61" s="268"/>
      <c r="CP61" s="266"/>
      <c r="CQ61" s="269"/>
      <c r="CR61" s="269"/>
      <c r="CS61" s="269"/>
    </row>
    <row r="62" spans="1:97" s="141" customFormat="1" ht="15" customHeight="1">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43"/>
      <c r="AP62" s="144"/>
      <c r="AQ62" s="144"/>
      <c r="AR62" s="144"/>
      <c r="AS62" s="145"/>
      <c r="AT62" s="145"/>
      <c r="AU62" s="146"/>
      <c r="AV62" s="146"/>
      <c r="AW62" s="146"/>
      <c r="AX62" s="146"/>
      <c r="AY62" s="146"/>
      <c r="AZ62" s="146"/>
      <c r="BA62" s="146"/>
      <c r="BB62" s="146"/>
      <c r="BI62" s="141" t="s">
        <v>398</v>
      </c>
      <c r="BP62" s="176"/>
      <c r="BQ62" s="235"/>
      <c r="BR62" s="235"/>
      <c r="BS62" s="176"/>
      <c r="BT62" s="176"/>
      <c r="BU62" s="176"/>
      <c r="BV62" s="176"/>
      <c r="BW62" s="176"/>
      <c r="BX62" s="176"/>
      <c r="CG62" s="171"/>
      <c r="CJ62" s="266"/>
      <c r="CK62" s="266"/>
      <c r="CL62" s="266"/>
      <c r="CM62" s="266"/>
      <c r="CN62" s="266"/>
      <c r="CO62" s="268"/>
      <c r="CP62" s="266"/>
      <c r="CQ62" s="269"/>
      <c r="CR62" s="269"/>
      <c r="CS62" s="269"/>
    </row>
    <row r="63" spans="1:97" s="141" customFormat="1" ht="15" customHeight="1">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43"/>
      <c r="AP63" s="144"/>
      <c r="AQ63" s="144"/>
      <c r="AR63" s="144"/>
      <c r="AS63" s="145"/>
      <c r="AT63" s="145"/>
      <c r="AU63" s="146"/>
      <c r="AV63" s="146"/>
      <c r="AW63" s="146"/>
      <c r="AX63" s="146"/>
      <c r="AY63" s="146"/>
      <c r="AZ63" s="146"/>
      <c r="BA63" s="146"/>
      <c r="BB63" s="146"/>
      <c r="BI63" s="141" t="s">
        <v>399</v>
      </c>
      <c r="BP63" s="176"/>
      <c r="BQ63" s="270"/>
      <c r="BR63" s="235"/>
      <c r="BS63" s="176"/>
      <c r="BT63" s="176"/>
      <c r="BU63" s="176"/>
      <c r="BV63" s="176"/>
      <c r="BW63" s="176"/>
      <c r="BX63" s="176"/>
      <c r="CG63" s="171"/>
      <c r="CJ63" s="266"/>
      <c r="CK63" s="266"/>
      <c r="CL63" s="266"/>
      <c r="CM63" s="266"/>
      <c r="CN63" s="266"/>
      <c r="CO63" s="268"/>
      <c r="CP63" s="266"/>
      <c r="CQ63" s="269"/>
      <c r="CR63" s="269"/>
      <c r="CS63" s="269"/>
    </row>
    <row r="64" spans="1:97" s="141" customFormat="1" ht="15" customHeight="1">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43"/>
      <c r="AP64" s="144"/>
      <c r="AQ64" s="144"/>
      <c r="AR64" s="144"/>
      <c r="AS64" s="145"/>
      <c r="AT64" s="145"/>
      <c r="AU64" s="146"/>
      <c r="AV64" s="146"/>
      <c r="AW64" s="146"/>
      <c r="AX64" s="146"/>
      <c r="AY64" s="146"/>
      <c r="AZ64" s="146"/>
      <c r="BA64" s="146"/>
      <c r="BB64" s="146"/>
      <c r="BI64" s="141" t="s">
        <v>400</v>
      </c>
      <c r="BP64" s="176"/>
      <c r="BQ64" s="275"/>
      <c r="BR64" s="235"/>
      <c r="BS64" s="176"/>
      <c r="BT64" s="176"/>
      <c r="BU64" s="176"/>
      <c r="BV64" s="176"/>
      <c r="BW64" s="176"/>
      <c r="BX64" s="176"/>
      <c r="CG64" s="171"/>
      <c r="CJ64" s="266"/>
      <c r="CK64" s="266"/>
      <c r="CL64" s="266"/>
      <c r="CM64" s="266"/>
      <c r="CN64" s="266"/>
      <c r="CO64" s="268"/>
      <c r="CP64" s="266"/>
      <c r="CQ64" s="269"/>
      <c r="CR64" s="269"/>
      <c r="CS64" s="269"/>
    </row>
    <row r="65" spans="1:107" s="141" customFormat="1" ht="15" customHeight="1">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43"/>
      <c r="AP65" s="144"/>
      <c r="AQ65" s="144"/>
      <c r="AR65" s="144"/>
      <c r="AS65" s="145"/>
      <c r="AT65" s="145"/>
      <c r="AU65" s="146"/>
      <c r="AV65" s="146"/>
      <c r="AW65" s="146"/>
      <c r="AX65" s="146"/>
      <c r="AY65" s="146"/>
      <c r="AZ65" s="146"/>
      <c r="BA65" s="146"/>
      <c r="BB65" s="146"/>
      <c r="BI65" s="141" t="s">
        <v>401</v>
      </c>
      <c r="BP65" s="176"/>
      <c r="BQ65" s="235"/>
      <c r="BR65" s="235"/>
      <c r="BS65" s="176"/>
      <c r="BT65" s="176"/>
      <c r="BU65" s="176"/>
      <c r="BV65" s="176"/>
      <c r="BW65" s="176"/>
      <c r="BX65" s="176"/>
      <c r="CG65" s="171"/>
      <c r="CJ65" s="266"/>
      <c r="CK65" s="266"/>
      <c r="CL65" s="266"/>
      <c r="CM65" s="266"/>
      <c r="CN65" s="266"/>
      <c r="CO65" s="268"/>
      <c r="CP65" s="266"/>
      <c r="CQ65" s="269"/>
      <c r="CR65" s="269"/>
      <c r="CS65" s="269"/>
    </row>
    <row r="66" spans="1:107" s="141" customFormat="1" ht="15" customHeight="1">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c r="AN66" s="137"/>
      <c r="AO66" s="143"/>
      <c r="AP66" s="144"/>
      <c r="AQ66" s="144"/>
      <c r="AR66" s="144"/>
      <c r="AS66" s="145"/>
      <c r="AT66" s="145"/>
      <c r="AU66" s="146"/>
      <c r="AV66" s="146"/>
      <c r="AW66" s="146"/>
      <c r="AX66" s="146"/>
      <c r="AY66" s="146"/>
      <c r="AZ66" s="146"/>
      <c r="BA66" s="146"/>
      <c r="BB66" s="146"/>
      <c r="BI66" s="141" t="s">
        <v>402</v>
      </c>
      <c r="BN66" s="202"/>
      <c r="BP66" s="176"/>
      <c r="BQ66" s="235"/>
      <c r="BR66" s="270"/>
      <c r="BS66" s="176"/>
      <c r="BT66" s="274"/>
      <c r="BU66" s="274"/>
      <c r="BV66" s="271"/>
      <c r="BW66" s="271"/>
      <c r="BX66" s="176"/>
      <c r="CG66" s="171"/>
      <c r="CJ66" s="266"/>
      <c r="CK66" s="266"/>
      <c r="CL66" s="266"/>
      <c r="CM66" s="266"/>
      <c r="CN66" s="266"/>
      <c r="CO66" s="268"/>
      <c r="CP66" s="266"/>
      <c r="CQ66" s="269"/>
      <c r="CR66" s="269"/>
      <c r="CS66" s="269"/>
    </row>
    <row r="67" spans="1:107" s="141" customFormat="1" ht="15" customHeight="1">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43"/>
      <c r="AP67" s="144"/>
      <c r="AQ67" s="144"/>
      <c r="AR67" s="144"/>
      <c r="AS67" s="145"/>
      <c r="AT67" s="145"/>
      <c r="AU67" s="146"/>
      <c r="AV67" s="146"/>
      <c r="AW67" s="146"/>
      <c r="AX67" s="146"/>
      <c r="AY67" s="146"/>
      <c r="AZ67" s="146"/>
      <c r="BA67" s="146"/>
      <c r="BB67" s="146"/>
      <c r="BI67" s="141" t="s">
        <v>403</v>
      </c>
      <c r="BP67" s="176"/>
      <c r="BQ67" s="235"/>
      <c r="BR67" s="275"/>
      <c r="BS67" s="176"/>
      <c r="BT67" s="202"/>
      <c r="BU67" s="202"/>
      <c r="BV67" s="202"/>
      <c r="BW67" s="202"/>
      <c r="BX67" s="176"/>
      <c r="CG67" s="171"/>
      <c r="CJ67" s="266"/>
      <c r="CK67" s="266"/>
      <c r="CL67" s="266"/>
      <c r="CM67" s="266"/>
      <c r="CN67" s="266"/>
      <c r="CO67" s="268"/>
      <c r="CP67" s="266"/>
      <c r="CQ67" s="269"/>
      <c r="CR67" s="269"/>
      <c r="CS67" s="269"/>
    </row>
    <row r="68" spans="1:107" s="141" customFormat="1" ht="15" customHeight="1">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c r="AN68" s="137"/>
      <c r="AO68" s="143"/>
      <c r="AP68" s="144"/>
      <c r="AQ68" s="144"/>
      <c r="AR68" s="144"/>
      <c r="AS68" s="145"/>
      <c r="AT68" s="145"/>
      <c r="AU68" s="146"/>
      <c r="AV68" s="146"/>
      <c r="AW68" s="146"/>
      <c r="AX68" s="146"/>
      <c r="AY68" s="146"/>
      <c r="AZ68" s="146"/>
      <c r="BA68" s="146"/>
      <c r="BB68" s="146"/>
      <c r="BI68" s="141" t="s">
        <v>404</v>
      </c>
      <c r="BM68" s="202"/>
      <c r="BR68" s="235"/>
      <c r="BS68" s="176"/>
      <c r="BT68" s="176"/>
      <c r="BU68" s="176"/>
      <c r="BV68" s="176"/>
      <c r="BW68" s="176"/>
      <c r="BX68" s="176"/>
      <c r="CG68" s="171"/>
      <c r="CJ68" s="266"/>
      <c r="CK68" s="266"/>
      <c r="CL68" s="266"/>
      <c r="CM68" s="266"/>
      <c r="CN68" s="266"/>
      <c r="CO68" s="268"/>
      <c r="CP68" s="266"/>
      <c r="CQ68" s="269"/>
      <c r="CR68" s="269"/>
      <c r="CS68" s="269"/>
    </row>
    <row r="69" spans="1:107" s="141" customFormat="1" ht="15" customHeight="1">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37"/>
      <c r="AO69" s="143"/>
      <c r="AP69" s="144"/>
      <c r="AQ69" s="144"/>
      <c r="AR69" s="144"/>
      <c r="AS69" s="145"/>
      <c r="AT69" s="145"/>
      <c r="AU69" s="146"/>
      <c r="AV69" s="146"/>
      <c r="AW69" s="146"/>
      <c r="AX69" s="146"/>
      <c r="AY69" s="146"/>
      <c r="AZ69" s="146"/>
      <c r="BA69" s="146"/>
      <c r="BB69" s="146"/>
      <c r="BI69" s="141" t="s">
        <v>405</v>
      </c>
      <c r="BR69" s="235"/>
      <c r="BS69" s="176"/>
      <c r="BT69" s="176"/>
      <c r="BU69" s="176"/>
      <c r="BV69" s="176"/>
      <c r="BW69" s="176"/>
      <c r="BX69" s="176"/>
      <c r="CG69" s="171"/>
      <c r="CJ69" s="266"/>
      <c r="CK69" s="266"/>
      <c r="CL69" s="266"/>
      <c r="CM69" s="266"/>
      <c r="CN69" s="266"/>
      <c r="CO69" s="268"/>
      <c r="CP69" s="266"/>
      <c r="CQ69" s="269"/>
      <c r="CR69" s="269"/>
      <c r="CS69" s="269"/>
    </row>
    <row r="70" spans="1:107" s="141" customFormat="1" ht="15" customHeight="1">
      <c r="A70" s="137"/>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143"/>
      <c r="AP70" s="144"/>
      <c r="AQ70" s="144"/>
      <c r="AR70" s="144"/>
      <c r="AS70" s="145"/>
      <c r="AT70" s="145"/>
      <c r="AU70" s="146"/>
      <c r="AV70" s="146"/>
      <c r="AW70" s="146"/>
      <c r="AX70" s="146"/>
      <c r="AY70" s="146"/>
      <c r="AZ70" s="146"/>
      <c r="BA70" s="146"/>
      <c r="BB70" s="146"/>
      <c r="BI70" s="141" t="s">
        <v>406</v>
      </c>
      <c r="BR70" s="235"/>
      <c r="BS70" s="176"/>
      <c r="BT70" s="176"/>
      <c r="BU70" s="176"/>
      <c r="BV70" s="176"/>
      <c r="BW70" s="176"/>
      <c r="BX70" s="176"/>
      <c r="CJ70" s="266"/>
      <c r="CK70" s="266"/>
      <c r="CL70" s="266"/>
      <c r="CM70" s="266"/>
      <c r="CN70" s="266"/>
      <c r="CO70" s="268"/>
      <c r="CP70" s="266"/>
      <c r="CQ70" s="269"/>
      <c r="CR70" s="269"/>
      <c r="CS70" s="269"/>
    </row>
    <row r="71" spans="1:107" s="141" customFormat="1" ht="15" customHeight="1">
      <c r="A71" s="137"/>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43"/>
      <c r="AP71" s="144"/>
      <c r="AQ71" s="144"/>
      <c r="AR71" s="144"/>
      <c r="AS71" s="145"/>
      <c r="AT71" s="145"/>
      <c r="AU71" s="146"/>
      <c r="AV71" s="146"/>
      <c r="AW71" s="146"/>
      <c r="AX71" s="146"/>
      <c r="AY71" s="146"/>
      <c r="AZ71" s="146"/>
      <c r="BA71" s="146"/>
      <c r="BB71" s="146"/>
      <c r="BI71" s="141" t="s">
        <v>407</v>
      </c>
      <c r="BS71" s="176"/>
      <c r="CJ71" s="266"/>
      <c r="CK71" s="266"/>
      <c r="CL71" s="266"/>
      <c r="CM71" s="266"/>
      <c r="CN71" s="266"/>
      <c r="CO71" s="268"/>
      <c r="CP71" s="266"/>
      <c r="CQ71" s="269"/>
      <c r="CR71" s="269"/>
      <c r="CS71" s="269"/>
    </row>
    <row r="72" spans="1:107" s="141" customFormat="1" ht="15" customHeight="1">
      <c r="A72" s="137"/>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143"/>
      <c r="AP72" s="144"/>
      <c r="AQ72" s="144"/>
      <c r="AR72" s="144"/>
      <c r="AS72" s="145"/>
      <c r="AT72" s="145"/>
      <c r="AU72" s="146"/>
      <c r="AV72" s="146"/>
      <c r="AW72" s="146"/>
      <c r="AX72" s="146"/>
      <c r="AY72" s="146"/>
      <c r="AZ72" s="146"/>
      <c r="BA72" s="146"/>
      <c r="BB72" s="146"/>
      <c r="BI72" s="141" t="s">
        <v>408</v>
      </c>
    </row>
    <row r="73" spans="1:107" s="141" customFormat="1" ht="15" customHeight="1">
      <c r="A73" s="137"/>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207"/>
      <c r="AP73" s="137"/>
      <c r="AQ73" s="137"/>
      <c r="AR73" s="144"/>
      <c r="AS73" s="145"/>
      <c r="AT73" s="145"/>
      <c r="AU73" s="146"/>
      <c r="AV73" s="146"/>
      <c r="AW73" s="146"/>
      <c r="AX73" s="146"/>
      <c r="AY73" s="146"/>
      <c r="AZ73" s="146"/>
      <c r="BA73" s="146"/>
      <c r="BB73" s="146"/>
      <c r="BC73" s="137"/>
      <c r="BD73" s="137"/>
      <c r="BE73" s="137"/>
      <c r="BI73" s="137" t="s">
        <v>409</v>
      </c>
      <c r="CX73" s="137"/>
      <c r="CY73" s="137"/>
      <c r="CZ73" s="137"/>
      <c r="DA73" s="137"/>
      <c r="DB73" s="137"/>
      <c r="DC73" s="137"/>
    </row>
    <row r="74" spans="1:107" s="141" customFormat="1">
      <c r="A74" s="137"/>
      <c r="B74" s="137"/>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210"/>
      <c r="AP74" s="137"/>
      <c r="AQ74" s="137"/>
      <c r="AR74" s="144"/>
      <c r="AS74" s="145"/>
      <c r="AT74" s="145"/>
      <c r="AU74" s="146"/>
      <c r="AV74" s="146"/>
      <c r="AW74" s="146"/>
      <c r="AX74" s="146"/>
      <c r="AY74" s="146"/>
      <c r="AZ74" s="146"/>
      <c r="BA74" s="146"/>
      <c r="BB74" s="146"/>
      <c r="BC74" s="137"/>
      <c r="BD74" s="137"/>
      <c r="BE74" s="137"/>
      <c r="BH74" s="137"/>
      <c r="BI74" s="137"/>
      <c r="BJ74" s="137"/>
      <c r="BK74" s="137"/>
      <c r="CX74" s="137"/>
      <c r="CY74" s="137"/>
      <c r="CZ74" s="137"/>
      <c r="DA74" s="137"/>
      <c r="DB74" s="137"/>
      <c r="DC74" s="137"/>
    </row>
    <row r="75" spans="1:107" s="141" customFormat="1" ht="16.5" customHeight="1">
      <c r="A75" s="137"/>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210"/>
      <c r="AP75" s="137"/>
      <c r="AQ75" s="137"/>
      <c r="AR75" s="137"/>
      <c r="AS75" s="208"/>
      <c r="AT75" s="208"/>
      <c r="AU75" s="137"/>
      <c r="AV75" s="137"/>
      <c r="AW75" s="137"/>
      <c r="AX75" s="137"/>
      <c r="AY75" s="137"/>
      <c r="AZ75" s="137"/>
      <c r="BA75" s="137"/>
      <c r="BB75" s="137"/>
      <c r="BC75" s="137"/>
      <c r="BD75" s="137"/>
      <c r="BE75" s="137"/>
      <c r="BF75" s="209"/>
      <c r="BG75" s="137"/>
      <c r="BH75" s="137"/>
      <c r="BI75" s="137"/>
      <c r="BJ75" s="137"/>
      <c r="BK75" s="137"/>
      <c r="CX75" s="137"/>
      <c r="CY75" s="137"/>
      <c r="CZ75" s="137"/>
      <c r="DA75" s="137"/>
      <c r="DB75" s="137"/>
      <c r="DC75" s="137"/>
    </row>
    <row r="76" spans="1:107" s="141" customFormat="1" ht="13.5" customHeight="1">
      <c r="A76" s="137"/>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210"/>
      <c r="AP76" s="137"/>
      <c r="AQ76" s="137"/>
      <c r="AR76" s="137"/>
      <c r="AS76" s="137"/>
      <c r="AT76" s="137"/>
      <c r="AU76" s="137"/>
      <c r="AV76" s="137"/>
      <c r="AW76" s="137"/>
      <c r="AX76" s="137"/>
      <c r="AY76" s="137"/>
      <c r="AZ76" s="137"/>
      <c r="BA76" s="137"/>
      <c r="BB76" s="137"/>
      <c r="BC76" s="137"/>
      <c r="BD76" s="137"/>
      <c r="BE76" s="137"/>
      <c r="BF76" s="137"/>
      <c r="BG76" s="137"/>
      <c r="BH76" s="137"/>
      <c r="BI76" s="137"/>
      <c r="BJ76" s="137"/>
      <c r="BK76" s="137"/>
      <c r="CX76" s="137"/>
      <c r="CY76" s="137"/>
      <c r="CZ76" s="137"/>
      <c r="DA76" s="137"/>
      <c r="DB76" s="137"/>
      <c r="DC76" s="137"/>
    </row>
    <row r="77" spans="1:107" s="141" customFormat="1" ht="13.5" customHeight="1">
      <c r="A77" s="137"/>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140"/>
      <c r="AP77" s="137"/>
      <c r="AQ77" s="137"/>
      <c r="AR77" s="137"/>
      <c r="AS77" s="137"/>
      <c r="AT77" s="137"/>
      <c r="AU77" s="137"/>
      <c r="AV77" s="137"/>
      <c r="AW77" s="137"/>
      <c r="AX77" s="137"/>
      <c r="AY77" s="137"/>
      <c r="AZ77" s="137"/>
      <c r="BA77" s="137"/>
      <c r="BB77" s="137"/>
      <c r="BC77" s="137"/>
      <c r="BD77" s="137"/>
      <c r="BE77" s="137"/>
      <c r="BF77" s="137"/>
      <c r="BG77" s="137"/>
      <c r="BH77" s="137"/>
      <c r="BI77" s="137"/>
      <c r="BJ77" s="137"/>
      <c r="BK77" s="137"/>
      <c r="CX77" s="137"/>
      <c r="CY77" s="137"/>
      <c r="CZ77" s="137"/>
      <c r="DA77" s="137"/>
      <c r="DB77" s="137"/>
      <c r="DC77" s="137"/>
    </row>
    <row r="78" spans="1:107" s="141" customFormat="1" ht="13.5" customHeight="1">
      <c r="A78" s="137"/>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210"/>
      <c r="AP78" s="137"/>
      <c r="AQ78" s="137"/>
      <c r="AR78" s="137"/>
      <c r="AS78" s="137"/>
      <c r="AT78" s="137"/>
      <c r="AU78" s="137"/>
      <c r="AV78" s="137"/>
      <c r="AW78" s="137"/>
      <c r="AX78" s="137"/>
      <c r="AY78" s="137"/>
      <c r="AZ78" s="137"/>
      <c r="BA78" s="137"/>
      <c r="BB78" s="137"/>
      <c r="BC78" s="137"/>
      <c r="BD78" s="137"/>
      <c r="BE78" s="137"/>
      <c r="BF78" s="137"/>
      <c r="BG78" s="137"/>
      <c r="BH78" s="137"/>
      <c r="BI78" s="137"/>
      <c r="BJ78" s="137"/>
      <c r="BK78" s="137"/>
      <c r="CX78" s="137"/>
      <c r="CY78" s="137"/>
      <c r="CZ78" s="137"/>
      <c r="DA78" s="137"/>
      <c r="DB78" s="137"/>
      <c r="DC78" s="137"/>
    </row>
    <row r="79" spans="1:107" s="141" customFormat="1" ht="13.5" customHeight="1">
      <c r="A79" s="137"/>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211"/>
      <c r="AP79" s="137"/>
      <c r="AQ79" s="137"/>
      <c r="AR79" s="137"/>
      <c r="AS79" s="137"/>
      <c r="AT79" s="137"/>
      <c r="AU79" s="137"/>
      <c r="AV79" s="137"/>
      <c r="AW79" s="137"/>
      <c r="AX79" s="137"/>
      <c r="AY79" s="137"/>
      <c r="AZ79" s="137"/>
      <c r="BA79" s="137"/>
      <c r="BB79" s="137"/>
      <c r="BC79" s="137"/>
      <c r="BD79" s="137"/>
      <c r="BE79" s="137"/>
      <c r="BF79" s="137"/>
      <c r="BG79" s="137"/>
      <c r="BH79" s="137"/>
      <c r="BI79" s="137"/>
      <c r="BJ79" s="137"/>
      <c r="BK79" s="137"/>
      <c r="CX79" s="137"/>
      <c r="CY79" s="137"/>
      <c r="CZ79" s="137"/>
      <c r="DA79" s="137"/>
      <c r="DB79" s="137"/>
      <c r="DC79" s="137"/>
    </row>
    <row r="80" spans="1:107" s="141" customFormat="1" ht="13.5" customHeight="1">
      <c r="A80" s="137"/>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211"/>
      <c r="AP80" s="137"/>
      <c r="AQ80" s="137"/>
      <c r="AR80" s="137"/>
      <c r="AS80" s="137"/>
      <c r="AT80" s="137"/>
      <c r="AU80" s="137"/>
      <c r="AV80" s="137"/>
      <c r="AW80" s="137"/>
      <c r="AX80" s="137"/>
      <c r="AY80" s="137"/>
      <c r="AZ80" s="137"/>
      <c r="BA80" s="137"/>
      <c r="BB80" s="137"/>
      <c r="BC80" s="137"/>
      <c r="BD80" s="137"/>
      <c r="BE80" s="137"/>
      <c r="BF80" s="137"/>
      <c r="BG80" s="137"/>
      <c r="BH80" s="137"/>
      <c r="BI80" s="137"/>
      <c r="BJ80" s="137"/>
      <c r="BK80" s="137"/>
      <c r="CX80" s="137"/>
      <c r="CY80" s="137"/>
      <c r="CZ80" s="137"/>
      <c r="DA80" s="137"/>
      <c r="DB80" s="137"/>
      <c r="DC80" s="137"/>
    </row>
    <row r="81" spans="1:107" s="141" customFormat="1" ht="13.5" customHeight="1">
      <c r="A81" s="137"/>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137"/>
      <c r="AV81" s="137"/>
      <c r="AW81" s="137"/>
      <c r="AX81" s="137"/>
      <c r="AY81" s="137"/>
      <c r="AZ81" s="137"/>
      <c r="BA81" s="137"/>
      <c r="BB81" s="137"/>
      <c r="BC81" s="137"/>
      <c r="BD81" s="137"/>
      <c r="BE81" s="137"/>
      <c r="BF81" s="137"/>
      <c r="BG81" s="137"/>
      <c r="BH81" s="137"/>
      <c r="BI81" s="137"/>
      <c r="BJ81" s="137"/>
      <c r="BK81" s="137"/>
      <c r="CX81" s="137"/>
      <c r="CY81" s="137"/>
      <c r="CZ81" s="137"/>
      <c r="DA81" s="137"/>
      <c r="DB81" s="137"/>
      <c r="DC81" s="137"/>
    </row>
    <row r="82" spans="1:107" ht="13.5" customHeight="1">
      <c r="AO82" s="210"/>
    </row>
    <row r="83" spans="1:107" ht="13.5" customHeight="1">
      <c r="AO83" s="212"/>
    </row>
    <row r="84" spans="1:107" ht="13.5" customHeight="1">
      <c r="AO84" s="212"/>
    </row>
    <row r="85" spans="1:107" ht="13.5" customHeight="1"/>
    <row r="86" spans="1:107" ht="13.5" customHeight="1"/>
    <row r="88" spans="1:107" ht="13.5" customHeight="1"/>
    <row r="89" spans="1:107" ht="14.25" customHeight="1"/>
  </sheetData>
  <sheetProtection algorithmName="SHA-512" hashValue="KKu/u93rHxLeVIS/mrnLO4tS5Vte5yXpAm92rgLC/uf2et4OUTE/v0jo4/32X/vOQZk+zo8sBTotpNw7fFm33Q==" saltValue="VydSFavyTZD4SeQk4fwQCQ==" spinCount="100000" sheet="1" objects="1" scenarios="1" formatCells="0"/>
  <mergeCells count="41">
    <mergeCell ref="U3:V3"/>
    <mergeCell ref="K6:M6"/>
    <mergeCell ref="K7:M7"/>
    <mergeCell ref="B4:C4"/>
    <mergeCell ref="B5:C5"/>
    <mergeCell ref="B6:C6"/>
    <mergeCell ref="B7:C7"/>
    <mergeCell ref="E4:G4"/>
    <mergeCell ref="H4:J4"/>
    <mergeCell ref="W3:AL3"/>
    <mergeCell ref="B3:C3"/>
    <mergeCell ref="N3:P3"/>
    <mergeCell ref="AM23:AM24"/>
    <mergeCell ref="Q23:Q24"/>
    <mergeCell ref="AF23:AF24"/>
    <mergeCell ref="F23:F24"/>
    <mergeCell ref="Z23:Z24"/>
    <mergeCell ref="K4:M4"/>
    <mergeCell ref="E3:G3"/>
    <mergeCell ref="H3:J3"/>
    <mergeCell ref="K3:M3"/>
    <mergeCell ref="N4:P4"/>
    <mergeCell ref="N5:P5"/>
    <mergeCell ref="N6:P6"/>
    <mergeCell ref="N7:P7"/>
    <mergeCell ref="AE1:AL1"/>
    <mergeCell ref="A21:A23"/>
    <mergeCell ref="AJ21:AL22"/>
    <mergeCell ref="E5:G5"/>
    <mergeCell ref="E6:G6"/>
    <mergeCell ref="E7:G7"/>
    <mergeCell ref="H5:J5"/>
    <mergeCell ref="H6:J6"/>
    <mergeCell ref="H7:J7"/>
    <mergeCell ref="V14:X14"/>
    <mergeCell ref="W15:X15"/>
    <mergeCell ref="W16:X16"/>
    <mergeCell ref="W17:X17"/>
    <mergeCell ref="W18:X18"/>
    <mergeCell ref="K5:M5"/>
    <mergeCell ref="U5:AL10"/>
  </mergeCells>
  <phoneticPr fontId="3"/>
  <conditionalFormatting sqref="H7 K8:L8 N4:N7 I8 E7 T7:T8">
    <cfRule type="expression" dxfId="13" priority="17">
      <formula>#REF!="なし"</formula>
    </cfRule>
  </conditionalFormatting>
  <conditionalFormatting sqref="Z27:Z36">
    <cfRule type="expression" dxfId="12" priority="14">
      <formula>$H$1="なし"</formula>
    </cfRule>
  </conditionalFormatting>
  <conditionalFormatting sqref="A20">
    <cfRule type="expression" dxfId="11" priority="18">
      <formula>#REF!&lt;&gt;2</formula>
    </cfRule>
  </conditionalFormatting>
  <conditionalFormatting sqref="A20">
    <cfRule type="expression" dxfId="10" priority="19">
      <formula>#REF!=2</formula>
    </cfRule>
  </conditionalFormatting>
  <conditionalFormatting sqref="L27:N36">
    <cfRule type="expression" dxfId="9" priority="8">
      <formula>OR($AP27=1,$AP27=2,$AP27=3,$AP27=8,AP27=9)</formula>
    </cfRule>
  </conditionalFormatting>
  <conditionalFormatting sqref="AD27:AD36">
    <cfRule type="expression" dxfId="8" priority="7">
      <formula>OR($AQ27=1,$AQ27=2,$AQ27=3,$AQ27=8,AQ27=9)</formula>
    </cfRule>
  </conditionalFormatting>
  <conditionalFormatting sqref="W15:X18">
    <cfRule type="expression" dxfId="7" priority="5">
      <formula>$V$14&lt;&gt;""</formula>
    </cfRule>
  </conditionalFormatting>
  <conditionalFormatting sqref="V16:V17">
    <cfRule type="expression" dxfId="6" priority="4">
      <formula>$V$14&lt;&gt;""</formula>
    </cfRule>
  </conditionalFormatting>
  <conditionalFormatting sqref="W26">
    <cfRule type="expression" dxfId="5" priority="3">
      <formula>COUNTIF(AO27:AO36,"○")&gt;0</formula>
    </cfRule>
  </conditionalFormatting>
  <conditionalFormatting sqref="U5:AL10">
    <cfRule type="expression" dxfId="4" priority="1">
      <formula>COUNTIF($BE$27:$BE$36,"○")&gt;0</formula>
    </cfRule>
    <cfRule type="expression" dxfId="3" priority="2">
      <formula>AO26&lt;0</formula>
    </cfRule>
  </conditionalFormatting>
  <dataValidations count="10">
    <dataValidation type="list" allowBlank="1" showInputMessage="1" showErrorMessage="1" sqref="AA25:AA36" xr:uid="{0579CECB-811E-4D7F-81A5-3CE906A373FC}">
      <formula1>INDIRECT(Z25)</formula1>
    </dataValidation>
    <dataValidation type="whole" allowBlank="1" showInputMessage="1" showErrorMessage="1" sqref="Y25" xr:uid="{506C41B2-C3D1-4003-91B6-BC8EFEE07048}">
      <formula1>0</formula1>
      <formula2>H25</formula2>
    </dataValidation>
    <dataValidation type="list" allowBlank="1" showInputMessage="1" showErrorMessage="1" sqref="I25 I27:I36" xr:uid="{9E0D0D04-8B94-4AFB-AC2D-989C16ACB999}">
      <formula1>INDIRECT(F25)</formula1>
    </dataValidation>
    <dataValidation type="list" allowBlank="1" showInputMessage="1" showErrorMessage="1" error="プルダウンから選択してください。" sqref="AM25:AN25 AM27:AM36" xr:uid="{99665838-0530-4225-86F5-54BD1D282986}">
      <formula1>"有,　"</formula1>
    </dataValidation>
    <dataValidation type="whole" allowBlank="1" showInputMessage="1" showErrorMessage="1" sqref="G27:G36 G25" xr:uid="{0D08229F-7C84-455A-BF39-DD888C4D8607}">
      <formula1>1900</formula1>
      <formula2>2040</formula2>
    </dataValidation>
    <dataValidation type="list" allowBlank="1" showInputMessage="1" showErrorMessage="1" sqref="C27:C36 V25 V27:V36 C25" xr:uid="{C089D16D-4EB4-4C38-9975-DA5299F7FF87}">
      <formula1>$BR$9:$BR$17</formula1>
    </dataValidation>
    <dataValidation type="list" allowBlank="1" showInputMessage="1" showErrorMessage="1" sqref="F15:H19" xr:uid="{D727299B-5153-4616-BA27-0FCFC3BB04A3}">
      <formula1>$AT$4:$AT$9</formula1>
    </dataValidation>
    <dataValidation type="list" allowBlank="1" showInputMessage="1" showErrorMessage="1" sqref="F25 Z27:Z36 Z25 F27:F36 V14:X14" xr:uid="{6A80F559-2FB6-45B3-9A7A-7238BF0D1893}">
      <formula1>$BA$2:$BA$5</formula1>
    </dataValidation>
    <dataValidation type="list" allowBlank="1" showInputMessage="1" showErrorMessage="1" sqref="E25 E27:E36 X25 X27:X36" xr:uid="{6F6E12C2-B0AB-4AEB-B756-A5959E3385D7}">
      <formula1>$BB$12:$BB$17</formula1>
    </dataValidation>
    <dataValidation type="list" allowBlank="1" showInputMessage="1" showErrorMessage="1" sqref="V16:V17" xr:uid="{CFCC2336-1A5E-4E5B-8EA9-590469A70CE6}">
      <formula1>$BB$8:$BB$10</formula1>
    </dataValidation>
  </dataValidations>
  <printOptions horizontalCentered="1"/>
  <pageMargins left="0.27559055118110237" right="0.19685039370078741" top="0.74803149606299213" bottom="0.56999999999999995" header="0.31496062992125984" footer="0.31496062992125984"/>
  <pageSetup paperSize="9" scale="55" orientation="landscape" r:id="rId1"/>
  <headerFooter>
    <oddHeader>&amp;L様式第1号（別紙）</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90480-B710-4681-ADCD-64889F3D6178}">
  <sheetPr>
    <pageSetUpPr fitToPage="1"/>
  </sheetPr>
  <dimension ref="A1:K35"/>
  <sheetViews>
    <sheetView view="pageBreakPreview" topLeftCell="A10" zoomScaleNormal="100" zoomScaleSheetLayoutView="100" workbookViewId="0">
      <selection activeCell="I28" sqref="I28"/>
    </sheetView>
  </sheetViews>
  <sheetFormatPr defaultColWidth="8.875" defaultRowHeight="18.75"/>
  <cols>
    <col min="1" max="1" width="8.5" style="681" customWidth="1"/>
    <col min="2" max="2" width="25.125" style="681" customWidth="1"/>
    <col min="3" max="4" width="8.875" style="681"/>
    <col min="5" max="5" width="12.875" style="681" customWidth="1"/>
    <col min="6" max="6" width="12.125" style="681" customWidth="1"/>
    <col min="7" max="8" width="8.875" style="681"/>
    <col min="9" max="9" width="14.875" style="682" customWidth="1"/>
    <col min="10" max="10" width="11.875" style="681" customWidth="1"/>
    <col min="11" max="16384" width="8.875" style="681"/>
  </cols>
  <sheetData>
    <row r="1" spans="1:11">
      <c r="A1" s="23" t="s">
        <v>825</v>
      </c>
      <c r="B1" s="666"/>
      <c r="C1" s="667" t="s">
        <v>866</v>
      </c>
      <c r="D1" s="667"/>
      <c r="E1" s="666"/>
      <c r="F1" s="666"/>
      <c r="G1" s="666"/>
      <c r="H1" s="666"/>
      <c r="I1" s="668"/>
      <c r="J1" s="666"/>
      <c r="K1" s="666"/>
    </row>
    <row r="2" spans="1:11" hidden="1">
      <c r="A2" s="666"/>
      <c r="B2" s="24">
        <v>1</v>
      </c>
      <c r="C2" s="24">
        <v>2</v>
      </c>
      <c r="D2" s="24"/>
      <c r="E2" s="24">
        <v>3</v>
      </c>
      <c r="F2" s="25">
        <v>4</v>
      </c>
      <c r="G2" s="25">
        <v>5</v>
      </c>
      <c r="H2" s="25">
        <v>6</v>
      </c>
      <c r="I2" s="25">
        <v>7</v>
      </c>
      <c r="J2" s="24">
        <v>8</v>
      </c>
      <c r="K2" s="666"/>
    </row>
    <row r="3" spans="1:11">
      <c r="A3" s="666"/>
      <c r="B3" s="24"/>
      <c r="C3" s="667" t="s">
        <v>865</v>
      </c>
      <c r="D3" s="24"/>
      <c r="E3" s="24"/>
      <c r="F3" s="25"/>
      <c r="G3" s="25"/>
      <c r="H3" s="25"/>
      <c r="I3" s="25"/>
      <c r="J3" s="24"/>
      <c r="K3" s="666"/>
    </row>
    <row r="4" spans="1:11">
      <c r="A4" s="666"/>
      <c r="B4" s="24"/>
      <c r="C4" s="667" t="s">
        <v>881</v>
      </c>
      <c r="D4" s="24"/>
      <c r="E4" s="24"/>
      <c r="F4" s="25"/>
      <c r="G4" s="25"/>
      <c r="H4" s="25"/>
      <c r="I4" s="25"/>
      <c r="J4" s="24"/>
      <c r="K4" s="666"/>
    </row>
    <row r="5" spans="1:11">
      <c r="A5" s="666"/>
      <c r="B5" s="26" t="s">
        <v>61</v>
      </c>
      <c r="C5" s="27" t="s">
        <v>826</v>
      </c>
      <c r="D5" s="27" t="s">
        <v>827</v>
      </c>
      <c r="E5" s="28" t="s">
        <v>62</v>
      </c>
      <c r="F5" s="29" t="s">
        <v>63</v>
      </c>
      <c r="G5" s="30" t="s">
        <v>64</v>
      </c>
      <c r="H5" s="28" t="s">
        <v>65</v>
      </c>
      <c r="I5" s="31" t="s">
        <v>66</v>
      </c>
      <c r="J5" s="28" t="s">
        <v>65</v>
      </c>
      <c r="K5" s="666"/>
    </row>
    <row r="6" spans="1:11" ht="18" customHeight="1">
      <c r="A6" s="666"/>
      <c r="B6" s="32" t="s">
        <v>67</v>
      </c>
      <c r="C6" s="669">
        <v>38.200000000000003</v>
      </c>
      <c r="D6" s="669"/>
      <c r="E6" s="33" t="str">
        <f>"MJ/"&amp;F6</f>
        <v>MJ/L</v>
      </c>
      <c r="F6" s="33" t="s">
        <v>68</v>
      </c>
      <c r="G6" s="670">
        <v>1.8700000000000001E-2</v>
      </c>
      <c r="H6" s="34" t="s">
        <v>69</v>
      </c>
      <c r="I6" s="35">
        <f>$C6*G6*44/12/1000</f>
        <v>2.6192466666666667E-3</v>
      </c>
      <c r="J6" s="671" t="str">
        <f>"tCO2/"&amp;F6</f>
        <v>tCO2/L</v>
      </c>
      <c r="K6" s="666"/>
    </row>
    <row r="7" spans="1:11">
      <c r="A7" s="666"/>
      <c r="B7" s="32" t="s">
        <v>70</v>
      </c>
      <c r="C7" s="669">
        <v>35.299999999999997</v>
      </c>
      <c r="D7" s="669"/>
      <c r="E7" s="33" t="str">
        <f t="shared" ref="E7:E13" si="0">"MJ/"&amp;F7</f>
        <v>MJ/L</v>
      </c>
      <c r="F7" s="33" t="s">
        <v>68</v>
      </c>
      <c r="G7" s="670">
        <v>1.84E-2</v>
      </c>
      <c r="H7" s="34" t="s">
        <v>69</v>
      </c>
      <c r="I7" s="35">
        <f t="shared" ref="I7:I28" si="1">$C7*G7*44/12/1000</f>
        <v>2.3815733333333333E-3</v>
      </c>
      <c r="J7" s="671" t="str">
        <f t="shared" ref="J7:J33" si="2">"tCO2/"&amp;F7</f>
        <v>tCO2/L</v>
      </c>
      <c r="K7" s="666"/>
    </row>
    <row r="8" spans="1:11">
      <c r="A8" s="666"/>
      <c r="B8" s="32" t="s">
        <v>71</v>
      </c>
      <c r="C8" s="669">
        <v>34.6</v>
      </c>
      <c r="D8" s="669"/>
      <c r="E8" s="33" t="str">
        <f t="shared" si="0"/>
        <v>MJ/L</v>
      </c>
      <c r="F8" s="33" t="s">
        <v>68</v>
      </c>
      <c r="G8" s="670">
        <v>1.83E-2</v>
      </c>
      <c r="H8" s="34" t="s">
        <v>69</v>
      </c>
      <c r="I8" s="35">
        <f t="shared" si="1"/>
        <v>2.3216600000000001E-3</v>
      </c>
      <c r="J8" s="671" t="str">
        <f t="shared" si="2"/>
        <v>tCO2/L</v>
      </c>
      <c r="K8" s="666"/>
    </row>
    <row r="9" spans="1:11">
      <c r="A9" s="666"/>
      <c r="B9" s="32" t="s">
        <v>72</v>
      </c>
      <c r="C9" s="669">
        <v>33.6</v>
      </c>
      <c r="D9" s="669"/>
      <c r="E9" s="33" t="str">
        <f t="shared" si="0"/>
        <v>MJ/L</v>
      </c>
      <c r="F9" s="33" t="s">
        <v>68</v>
      </c>
      <c r="G9" s="670">
        <v>1.8200000000000001E-2</v>
      </c>
      <c r="H9" s="34" t="s">
        <v>69</v>
      </c>
      <c r="I9" s="35">
        <f t="shared" si="1"/>
        <v>2.2422400000000004E-3</v>
      </c>
      <c r="J9" s="671" t="str">
        <f t="shared" si="2"/>
        <v>tCO2/L</v>
      </c>
      <c r="K9" s="666"/>
    </row>
    <row r="10" spans="1:11">
      <c r="A10" s="666"/>
      <c r="B10" s="575" t="s">
        <v>73</v>
      </c>
      <c r="C10" s="672">
        <v>36.700000000000003</v>
      </c>
      <c r="D10" s="672">
        <v>34.200000000000003</v>
      </c>
      <c r="E10" s="576" t="str">
        <f t="shared" si="0"/>
        <v>MJ/L</v>
      </c>
      <c r="F10" s="576" t="s">
        <v>68</v>
      </c>
      <c r="G10" s="673">
        <v>1.8499999999999999E-2</v>
      </c>
      <c r="H10" s="577" t="s">
        <v>69</v>
      </c>
      <c r="I10" s="578">
        <f t="shared" si="1"/>
        <v>2.4894833333333338E-3</v>
      </c>
      <c r="J10" s="674" t="str">
        <f t="shared" si="2"/>
        <v>tCO2/L</v>
      </c>
      <c r="K10" s="666" t="s">
        <v>837</v>
      </c>
    </row>
    <row r="11" spans="1:11">
      <c r="A11" s="666"/>
      <c r="B11" s="575" t="s">
        <v>74</v>
      </c>
      <c r="C11" s="672">
        <v>37.700000000000003</v>
      </c>
      <c r="D11" s="672">
        <v>35.1</v>
      </c>
      <c r="E11" s="576" t="str">
        <f t="shared" si="0"/>
        <v>MJ/L</v>
      </c>
      <c r="F11" s="576" t="s">
        <v>68</v>
      </c>
      <c r="G11" s="673">
        <v>1.8700000000000001E-2</v>
      </c>
      <c r="H11" s="577" t="s">
        <v>69</v>
      </c>
      <c r="I11" s="578">
        <f t="shared" si="1"/>
        <v>2.584963333333334E-3</v>
      </c>
      <c r="J11" s="674" t="str">
        <f t="shared" si="2"/>
        <v>tCO2/L</v>
      </c>
      <c r="K11" s="666" t="s">
        <v>837</v>
      </c>
    </row>
    <row r="12" spans="1:11">
      <c r="A12" s="666"/>
      <c r="B12" s="575" t="s">
        <v>75</v>
      </c>
      <c r="C12" s="672">
        <v>39.1</v>
      </c>
      <c r="D12" s="672">
        <v>36.6</v>
      </c>
      <c r="E12" s="576" t="str">
        <f t="shared" si="0"/>
        <v>MJ/L</v>
      </c>
      <c r="F12" s="576" t="s">
        <v>68</v>
      </c>
      <c r="G12" s="673">
        <v>1.89E-2</v>
      </c>
      <c r="H12" s="577" t="s">
        <v>69</v>
      </c>
      <c r="I12" s="578">
        <f t="shared" si="1"/>
        <v>2.7096300000000002E-3</v>
      </c>
      <c r="J12" s="674" t="str">
        <f t="shared" si="2"/>
        <v>tCO2/L</v>
      </c>
      <c r="K12" s="666" t="s">
        <v>837</v>
      </c>
    </row>
    <row r="13" spans="1:11">
      <c r="A13" s="666"/>
      <c r="B13" s="575" t="s">
        <v>76</v>
      </c>
      <c r="C13" s="672">
        <v>41.9</v>
      </c>
      <c r="D13" s="672">
        <v>39.4</v>
      </c>
      <c r="E13" s="576" t="str">
        <f t="shared" si="0"/>
        <v>MJ/L</v>
      </c>
      <c r="F13" s="576" t="s">
        <v>68</v>
      </c>
      <c r="G13" s="673">
        <v>1.95E-2</v>
      </c>
      <c r="H13" s="577" t="s">
        <v>69</v>
      </c>
      <c r="I13" s="578">
        <f t="shared" si="1"/>
        <v>2.9958499999999996E-3</v>
      </c>
      <c r="J13" s="674" t="str">
        <f t="shared" si="2"/>
        <v>tCO2/L</v>
      </c>
      <c r="K13" s="666" t="s">
        <v>837</v>
      </c>
    </row>
    <row r="14" spans="1:11">
      <c r="A14" s="666"/>
      <c r="B14" s="32" t="s">
        <v>77</v>
      </c>
      <c r="C14" s="669">
        <v>40.9</v>
      </c>
      <c r="D14" s="669"/>
      <c r="E14" s="33" t="str">
        <f>"MJ/"&amp;F14</f>
        <v>MJ/kg</v>
      </c>
      <c r="F14" s="33" t="s">
        <v>78</v>
      </c>
      <c r="G14" s="670">
        <v>2.0799999999999999E-2</v>
      </c>
      <c r="H14" s="34" t="s">
        <v>69</v>
      </c>
      <c r="I14" s="35">
        <f t="shared" si="1"/>
        <v>3.1193066666666668E-3</v>
      </c>
      <c r="J14" s="671" t="str">
        <f t="shared" si="2"/>
        <v>tCO2/kg</v>
      </c>
      <c r="K14" s="666"/>
    </row>
    <row r="15" spans="1:11">
      <c r="A15" s="666"/>
      <c r="B15" s="32" t="s">
        <v>79</v>
      </c>
      <c r="C15" s="669">
        <v>29.9</v>
      </c>
      <c r="D15" s="669"/>
      <c r="E15" s="33" t="str">
        <f t="shared" ref="E15:E33" si="3">"MJ/"&amp;F15</f>
        <v>MJ/kg</v>
      </c>
      <c r="F15" s="33" t="s">
        <v>78</v>
      </c>
      <c r="G15" s="670">
        <v>2.5399999999999999E-2</v>
      </c>
      <c r="H15" s="34" t="s">
        <v>69</v>
      </c>
      <c r="I15" s="35">
        <f t="shared" si="1"/>
        <v>2.7846866666666661E-3</v>
      </c>
      <c r="J15" s="671" t="str">
        <f t="shared" si="2"/>
        <v>tCO2/kg</v>
      </c>
      <c r="K15" s="666"/>
    </row>
    <row r="16" spans="1:11">
      <c r="A16" s="666"/>
      <c r="B16" s="575" t="s">
        <v>80</v>
      </c>
      <c r="C16" s="672">
        <v>50.8</v>
      </c>
      <c r="D16" s="672">
        <v>45.8</v>
      </c>
      <c r="E16" s="576" t="str">
        <f t="shared" si="3"/>
        <v>MJ/kg</v>
      </c>
      <c r="F16" s="576" t="s">
        <v>78</v>
      </c>
      <c r="G16" s="673">
        <v>1.61E-2</v>
      </c>
      <c r="H16" s="577" t="s">
        <v>69</v>
      </c>
      <c r="I16" s="578">
        <f t="shared" si="1"/>
        <v>2.998893333333333E-3</v>
      </c>
      <c r="J16" s="674" t="str">
        <f t="shared" si="2"/>
        <v>tCO2/kg</v>
      </c>
      <c r="K16" s="666" t="s">
        <v>837</v>
      </c>
    </row>
    <row r="17" spans="1:11">
      <c r="A17" s="666"/>
      <c r="B17" s="32" t="s">
        <v>81</v>
      </c>
      <c r="C17" s="669">
        <v>44.9</v>
      </c>
      <c r="D17" s="669"/>
      <c r="E17" s="33" t="str">
        <f t="shared" si="3"/>
        <v>MJ/N㎥</v>
      </c>
      <c r="F17" s="33" t="s">
        <v>829</v>
      </c>
      <c r="G17" s="670">
        <v>1.4200000000000001E-2</v>
      </c>
      <c r="H17" s="34" t="s">
        <v>69</v>
      </c>
      <c r="I17" s="35">
        <f t="shared" si="1"/>
        <v>2.3377933333333335E-3</v>
      </c>
      <c r="J17" s="671" t="str">
        <f t="shared" si="2"/>
        <v>tCO2/N㎥</v>
      </c>
      <c r="K17" s="666"/>
    </row>
    <row r="18" spans="1:11" ht="18" customHeight="1">
      <c r="A18" s="666"/>
      <c r="B18" s="575" t="s">
        <v>82</v>
      </c>
      <c r="C18" s="672">
        <v>54.6</v>
      </c>
      <c r="D18" s="672">
        <v>49.2</v>
      </c>
      <c r="E18" s="576" t="str">
        <f t="shared" si="3"/>
        <v>MJ/kg</v>
      </c>
      <c r="F18" s="576" t="s">
        <v>78</v>
      </c>
      <c r="G18" s="673">
        <v>1.35E-2</v>
      </c>
      <c r="H18" s="577" t="s">
        <v>69</v>
      </c>
      <c r="I18" s="578">
        <f t="shared" si="1"/>
        <v>2.7027000000000002E-3</v>
      </c>
      <c r="J18" s="674" t="str">
        <f t="shared" si="2"/>
        <v>tCO2/kg</v>
      </c>
      <c r="K18" s="666" t="s">
        <v>837</v>
      </c>
    </row>
    <row r="19" spans="1:11">
      <c r="A19" s="666"/>
      <c r="B19" s="32" t="s">
        <v>83</v>
      </c>
      <c r="C19" s="669">
        <v>43.5</v>
      </c>
      <c r="D19" s="669"/>
      <c r="E19" s="33" t="str">
        <f t="shared" si="3"/>
        <v>MJ/N㎥</v>
      </c>
      <c r="F19" s="33" t="s">
        <v>828</v>
      </c>
      <c r="G19" s="670">
        <v>1.3899999999999999E-2</v>
      </c>
      <c r="H19" s="34" t="s">
        <v>69</v>
      </c>
      <c r="I19" s="35">
        <f t="shared" si="1"/>
        <v>2.2170499999999999E-3</v>
      </c>
      <c r="J19" s="671" t="str">
        <f t="shared" si="2"/>
        <v>tCO2/N㎥</v>
      </c>
      <c r="K19" s="666"/>
    </row>
    <row r="20" spans="1:11">
      <c r="A20" s="666"/>
      <c r="B20" s="32" t="s">
        <v>84</v>
      </c>
      <c r="C20" s="669">
        <v>29</v>
      </c>
      <c r="D20" s="669"/>
      <c r="E20" s="33" t="str">
        <f t="shared" si="3"/>
        <v>MJ/kg</v>
      </c>
      <c r="F20" s="33" t="s">
        <v>78</v>
      </c>
      <c r="G20" s="670">
        <v>2.4500000000000001E-2</v>
      </c>
      <c r="H20" s="34" t="s">
        <v>69</v>
      </c>
      <c r="I20" s="35">
        <f t="shared" si="1"/>
        <v>2.6051666666666667E-3</v>
      </c>
      <c r="J20" s="671" t="str">
        <f t="shared" si="2"/>
        <v>tCO2/kg</v>
      </c>
      <c r="K20" s="666"/>
    </row>
    <row r="21" spans="1:11">
      <c r="A21" s="666"/>
      <c r="B21" s="32" t="s">
        <v>85</v>
      </c>
      <c r="C21" s="669">
        <v>25.7</v>
      </c>
      <c r="D21" s="669"/>
      <c r="E21" s="33" t="str">
        <f t="shared" si="3"/>
        <v>MJ/kg</v>
      </c>
      <c r="F21" s="33" t="s">
        <v>78</v>
      </c>
      <c r="G21" s="670">
        <v>2.47E-2</v>
      </c>
      <c r="H21" s="34" t="s">
        <v>69</v>
      </c>
      <c r="I21" s="35">
        <f t="shared" si="1"/>
        <v>2.3275633333333335E-3</v>
      </c>
      <c r="J21" s="671" t="str">
        <f t="shared" si="2"/>
        <v>tCO2/kg</v>
      </c>
      <c r="K21" s="666"/>
    </row>
    <row r="22" spans="1:11">
      <c r="A22" s="666"/>
      <c r="B22" s="32" t="s">
        <v>86</v>
      </c>
      <c r="C22" s="669">
        <v>26.9</v>
      </c>
      <c r="D22" s="669"/>
      <c r="E22" s="33" t="str">
        <f t="shared" si="3"/>
        <v>MJ/kg</v>
      </c>
      <c r="F22" s="33" t="s">
        <v>78</v>
      </c>
      <c r="G22" s="670">
        <v>2.5499999999999998E-2</v>
      </c>
      <c r="H22" s="34" t="s">
        <v>69</v>
      </c>
      <c r="I22" s="35">
        <f t="shared" si="1"/>
        <v>2.5151499999999999E-3</v>
      </c>
      <c r="J22" s="671" t="str">
        <f t="shared" si="2"/>
        <v>tCO2/kg</v>
      </c>
      <c r="K22" s="666"/>
    </row>
    <row r="23" spans="1:11">
      <c r="A23" s="666"/>
      <c r="B23" s="32" t="s">
        <v>87</v>
      </c>
      <c r="C23" s="669">
        <v>29.4</v>
      </c>
      <c r="D23" s="669"/>
      <c r="E23" s="33" t="str">
        <f t="shared" si="3"/>
        <v>MJ/kg</v>
      </c>
      <c r="F23" s="33" t="s">
        <v>78</v>
      </c>
      <c r="G23" s="670">
        <v>2.9399999999999999E-2</v>
      </c>
      <c r="H23" s="34" t="s">
        <v>69</v>
      </c>
      <c r="I23" s="35">
        <f t="shared" si="1"/>
        <v>3.1693199999999993E-3</v>
      </c>
      <c r="J23" s="671" t="str">
        <f t="shared" si="2"/>
        <v>tCO2/kg</v>
      </c>
      <c r="K23" s="666"/>
    </row>
    <row r="24" spans="1:11">
      <c r="A24" s="666"/>
      <c r="B24" s="32" t="s">
        <v>88</v>
      </c>
      <c r="C24" s="669">
        <v>37.299999999999997</v>
      </c>
      <c r="D24" s="669"/>
      <c r="E24" s="33" t="str">
        <f t="shared" si="3"/>
        <v>MJ/kg</v>
      </c>
      <c r="F24" s="33" t="s">
        <v>78</v>
      </c>
      <c r="G24" s="670">
        <v>2.0899999999999998E-2</v>
      </c>
      <c r="H24" s="34" t="s">
        <v>69</v>
      </c>
      <c r="I24" s="35">
        <f t="shared" si="1"/>
        <v>2.8584233333333329E-3</v>
      </c>
      <c r="J24" s="671" t="str">
        <f t="shared" si="2"/>
        <v>tCO2/kg</v>
      </c>
      <c r="K24" s="666"/>
    </row>
    <row r="25" spans="1:11">
      <c r="A25" s="666"/>
      <c r="B25" s="32" t="s">
        <v>89</v>
      </c>
      <c r="C25" s="669">
        <v>21.1</v>
      </c>
      <c r="D25" s="669"/>
      <c r="E25" s="33" t="str">
        <f t="shared" si="3"/>
        <v>MJ/N㎥</v>
      </c>
      <c r="F25" s="33" t="s">
        <v>828</v>
      </c>
      <c r="G25" s="670">
        <v>1.0999999999999999E-2</v>
      </c>
      <c r="H25" s="34" t="s">
        <v>69</v>
      </c>
      <c r="I25" s="35">
        <f t="shared" si="1"/>
        <v>8.5103333333333344E-4</v>
      </c>
      <c r="J25" s="671" t="str">
        <f t="shared" si="2"/>
        <v>tCO2/N㎥</v>
      </c>
      <c r="K25" s="666"/>
    </row>
    <row r="26" spans="1:11">
      <c r="A26" s="666"/>
      <c r="B26" s="32" t="s">
        <v>90</v>
      </c>
      <c r="C26" s="675">
        <v>3.41</v>
      </c>
      <c r="D26" s="675"/>
      <c r="E26" s="33" t="str">
        <f t="shared" si="3"/>
        <v>MJ/N㎥</v>
      </c>
      <c r="F26" s="33" t="s">
        <v>828</v>
      </c>
      <c r="G26" s="670">
        <v>2.63E-2</v>
      </c>
      <c r="H26" s="34" t="s">
        <v>69</v>
      </c>
      <c r="I26" s="35">
        <f t="shared" si="1"/>
        <v>3.2883766666666665E-4</v>
      </c>
      <c r="J26" s="671" t="str">
        <f t="shared" si="2"/>
        <v>tCO2/N㎥</v>
      </c>
      <c r="K26" s="666"/>
    </row>
    <row r="27" spans="1:11">
      <c r="A27" s="666"/>
      <c r="B27" s="32" t="s">
        <v>91</v>
      </c>
      <c r="C27" s="675">
        <v>8.41</v>
      </c>
      <c r="D27" s="675"/>
      <c r="E27" s="33" t="str">
        <f t="shared" si="3"/>
        <v>MJ/N㎥</v>
      </c>
      <c r="F27" s="33" t="s">
        <v>828</v>
      </c>
      <c r="G27" s="670">
        <v>3.8399999999999997E-2</v>
      </c>
      <c r="H27" s="36" t="s">
        <v>69</v>
      </c>
      <c r="I27" s="37">
        <f t="shared" si="1"/>
        <v>1.1841279999999998E-3</v>
      </c>
      <c r="J27" s="676" t="str">
        <f t="shared" si="2"/>
        <v>tCO2/N㎥</v>
      </c>
      <c r="K27" s="666"/>
    </row>
    <row r="28" spans="1:11">
      <c r="A28" s="666"/>
      <c r="B28" s="575" t="s">
        <v>830</v>
      </c>
      <c r="C28" s="586">
        <v>45</v>
      </c>
      <c r="D28" s="586">
        <v>40.799999999999997</v>
      </c>
      <c r="E28" s="576" t="str">
        <f t="shared" si="3"/>
        <v>MJ/N㎥</v>
      </c>
      <c r="F28" s="576" t="s">
        <v>828</v>
      </c>
      <c r="G28" s="673">
        <v>1.3599999999999999E-2</v>
      </c>
      <c r="H28" s="577" t="s">
        <v>69</v>
      </c>
      <c r="I28" s="578">
        <f t="shared" si="1"/>
        <v>2.2440000000000003E-3</v>
      </c>
      <c r="J28" s="674" t="str">
        <f>"tCO2/"&amp;F28</f>
        <v>tCO2/N㎥</v>
      </c>
      <c r="K28" s="666" t="s">
        <v>837</v>
      </c>
    </row>
    <row r="29" spans="1:11">
      <c r="A29" s="666"/>
      <c r="B29" s="38" t="s">
        <v>92</v>
      </c>
      <c r="C29" s="675">
        <v>1.02</v>
      </c>
      <c r="D29" s="675"/>
      <c r="E29" s="33" t="str">
        <f>"MJ/"&amp;F29</f>
        <v>MJ/MJ</v>
      </c>
      <c r="F29" s="33" t="s">
        <v>93</v>
      </c>
      <c r="G29" s="677">
        <v>0.06</v>
      </c>
      <c r="H29" s="39" t="s">
        <v>94</v>
      </c>
      <c r="I29" s="37">
        <f>$C29*G29/1000</f>
        <v>6.1199999999999997E-5</v>
      </c>
      <c r="J29" s="676" t="str">
        <f>"tCO2/"&amp;F29</f>
        <v>tCO2/MJ</v>
      </c>
      <c r="K29" s="666"/>
    </row>
    <row r="30" spans="1:11">
      <c r="A30" s="666"/>
      <c r="B30" s="38" t="s">
        <v>95</v>
      </c>
      <c r="C30" s="675">
        <v>1.36</v>
      </c>
      <c r="D30" s="675"/>
      <c r="E30" s="33" t="str">
        <f>"MJ/"&amp;F30</f>
        <v>MJ/MJ</v>
      </c>
      <c r="F30" s="33" t="s">
        <v>93</v>
      </c>
      <c r="G30" s="677">
        <v>5.7000000000000002E-2</v>
      </c>
      <c r="H30" s="39" t="s">
        <v>94</v>
      </c>
      <c r="I30" s="37">
        <f t="shared" ref="I30:I32" si="4">$C30*G30/1000</f>
        <v>7.7520000000000003E-5</v>
      </c>
      <c r="J30" s="676" t="str">
        <f t="shared" si="2"/>
        <v>tCO2/MJ</v>
      </c>
      <c r="K30" s="666"/>
    </row>
    <row r="31" spans="1:11">
      <c r="A31" s="666"/>
      <c r="B31" s="38" t="s">
        <v>96</v>
      </c>
      <c r="C31" s="675">
        <v>1.36</v>
      </c>
      <c r="D31" s="675"/>
      <c r="E31" s="33" t="str">
        <f>"MJ/"&amp;F31</f>
        <v>MJ/MJ</v>
      </c>
      <c r="F31" s="33" t="s">
        <v>93</v>
      </c>
      <c r="G31" s="677">
        <v>5.7000000000000002E-2</v>
      </c>
      <c r="H31" s="39" t="s">
        <v>94</v>
      </c>
      <c r="I31" s="37">
        <f t="shared" si="4"/>
        <v>7.7520000000000003E-5</v>
      </c>
      <c r="J31" s="676" t="str">
        <f t="shared" si="2"/>
        <v>tCO2/MJ</v>
      </c>
      <c r="K31" s="666"/>
    </row>
    <row r="32" spans="1:11">
      <c r="A32" s="666"/>
      <c r="B32" s="38" t="s">
        <v>97</v>
      </c>
      <c r="C32" s="675">
        <v>1.36</v>
      </c>
      <c r="D32" s="675"/>
      <c r="E32" s="33" t="str">
        <f>"MJ/"&amp;F32</f>
        <v>MJ/MJ</v>
      </c>
      <c r="F32" s="33" t="s">
        <v>93</v>
      </c>
      <c r="G32" s="677">
        <v>5.7000000000000002E-2</v>
      </c>
      <c r="H32" s="39" t="s">
        <v>94</v>
      </c>
      <c r="I32" s="37">
        <f t="shared" si="4"/>
        <v>7.7520000000000003E-5</v>
      </c>
      <c r="J32" s="676" t="str">
        <f t="shared" si="2"/>
        <v>tCO2/MJ</v>
      </c>
      <c r="K32" s="666"/>
    </row>
    <row r="33" spans="1:11" ht="18" customHeight="1">
      <c r="A33" s="666"/>
      <c r="B33" s="678" t="s">
        <v>57</v>
      </c>
      <c r="C33" s="679">
        <v>9.76</v>
      </c>
      <c r="D33" s="680"/>
      <c r="E33" s="576" t="str">
        <f t="shared" si="3"/>
        <v>MJ/kWh</v>
      </c>
      <c r="F33" s="576" t="s">
        <v>98</v>
      </c>
      <c r="G33" s="587">
        <v>4.95E-4</v>
      </c>
      <c r="H33" s="579" t="s">
        <v>99</v>
      </c>
      <c r="I33" s="578">
        <f>G33</f>
        <v>4.95E-4</v>
      </c>
      <c r="J33" s="674" t="str">
        <f t="shared" si="2"/>
        <v>tCO2/kWh</v>
      </c>
      <c r="K33" s="666"/>
    </row>
    <row r="34" spans="1:11">
      <c r="A34" s="666"/>
      <c r="B34" s="666"/>
      <c r="C34" s="667" t="s">
        <v>863</v>
      </c>
      <c r="D34" s="666"/>
      <c r="E34" s="666"/>
      <c r="F34" s="666"/>
      <c r="G34" s="666"/>
      <c r="H34" s="666"/>
      <c r="I34" s="668"/>
      <c r="J34" s="666"/>
      <c r="K34" s="666"/>
    </row>
    <row r="35" spans="1:11">
      <c r="A35" s="666"/>
      <c r="B35" s="666"/>
      <c r="C35" s="667" t="s">
        <v>864</v>
      </c>
      <c r="D35" s="666"/>
      <c r="E35" s="666"/>
      <c r="F35" s="666"/>
      <c r="G35" s="666"/>
      <c r="H35" s="666"/>
      <c r="I35" s="668"/>
      <c r="J35" s="666"/>
      <c r="K35" s="666"/>
    </row>
  </sheetData>
  <sheetProtection algorithmName="SHA-512" hashValue="ShNOh2JzmkFB5EPKFRYrXZuanlkzpOEZGmqkrSOBSNKkuE4oNfx6lqoiw+l4sIFYgKaB0xo5t0LHDVpehyDMAQ==" saltValue="pg2V8HZ9Hk+WqYFNq59/6Q==" spinCount="100000" sheet="1" formatCells="0" formatColumns="0" formatRows="0"/>
  <phoneticPr fontId="3"/>
  <conditionalFormatting sqref="H33 C33:D33">
    <cfRule type="containsErrors" dxfId="2" priority="3">
      <formula>ISERROR(C33)</formula>
    </cfRule>
  </conditionalFormatting>
  <conditionalFormatting sqref="G33">
    <cfRule type="containsErrors" dxfId="1" priority="2">
      <formula>ISERROR(G33)</formula>
    </cfRule>
  </conditionalFormatting>
  <conditionalFormatting sqref="B33">
    <cfRule type="cellIs" dxfId="0" priority="1" operator="equal">
      <formula>"電気事業者名を選択"</formula>
    </cfRule>
  </conditionalFormatting>
  <dataValidations count="1">
    <dataValidation type="list" allowBlank="1" showInputMessage="1" showErrorMessage="1" sqref="B28" xr:uid="{C7332817-4744-4E43-A001-DDD424C1B842}">
      <formula1>$B$6:$B$33</formula1>
    </dataValidation>
  </dataValidations>
  <pageMargins left="0.27559055118110237" right="0.19685039370078741" top="0.74803149606299213" bottom="0.55118110236220474" header="0.31496062992125984" footer="0.31496062992125984"/>
  <pageSetup paperSize="9" scale="87" orientation="landscape" r:id="rId1"/>
  <headerFooter>
    <oddHeader>&amp;L様式第1号（別紙）</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92988-CD31-4A43-9199-0430FECC24C1}">
  <dimension ref="A1:F122"/>
  <sheetViews>
    <sheetView workbookViewId="0"/>
  </sheetViews>
  <sheetFormatPr defaultRowHeight="18.75"/>
  <cols>
    <col min="1" max="1" width="9" style="40"/>
    <col min="2" max="2" width="11.625" style="40" customWidth="1"/>
    <col min="3" max="16384" width="9" style="40"/>
  </cols>
  <sheetData>
    <row r="1" spans="1:6">
      <c r="B1" s="40" t="s">
        <v>101</v>
      </c>
      <c r="C1" s="40" t="s">
        <v>102</v>
      </c>
      <c r="D1" s="40" t="s">
        <v>103</v>
      </c>
      <c r="E1" s="40" t="s">
        <v>104</v>
      </c>
      <c r="F1" s="40" t="s">
        <v>105</v>
      </c>
    </row>
    <row r="2" spans="1:6">
      <c r="A2" s="40" t="s">
        <v>106</v>
      </c>
      <c r="B2" s="41">
        <v>0.75</v>
      </c>
      <c r="C2" s="42">
        <v>0.72099999999999997</v>
      </c>
      <c r="D2" s="42">
        <v>0.72099999999999997</v>
      </c>
      <c r="E2" s="42">
        <v>0.7</v>
      </c>
      <c r="F2" s="42"/>
    </row>
    <row r="3" spans="1:6">
      <c r="A3" s="40" t="s">
        <v>106</v>
      </c>
      <c r="B3" s="43">
        <v>1.1000000000000001</v>
      </c>
      <c r="C3" s="42">
        <v>0.75</v>
      </c>
      <c r="D3" s="42">
        <v>0.75</v>
      </c>
      <c r="E3" s="42">
        <v>0.72900000000000009</v>
      </c>
      <c r="F3" s="42"/>
    </row>
    <row r="4" spans="1:6">
      <c r="A4" s="40" t="s">
        <v>106</v>
      </c>
      <c r="B4" s="43">
        <v>1.5</v>
      </c>
      <c r="C4" s="42">
        <v>0.77200000000000002</v>
      </c>
      <c r="D4" s="42">
        <v>0.77200000000000002</v>
      </c>
      <c r="E4" s="42">
        <v>0.752</v>
      </c>
      <c r="F4" s="42"/>
    </row>
    <row r="5" spans="1:6">
      <c r="A5" s="40" t="s">
        <v>106</v>
      </c>
      <c r="B5" s="43">
        <v>2.2000000000000002</v>
      </c>
      <c r="C5" s="42">
        <v>0.79700000000000004</v>
      </c>
      <c r="D5" s="42">
        <v>0.79700000000000004</v>
      </c>
      <c r="E5" s="42">
        <v>0.77700000000000002</v>
      </c>
      <c r="F5" s="42"/>
    </row>
    <row r="6" spans="1:6">
      <c r="A6" s="40" t="s">
        <v>106</v>
      </c>
      <c r="B6" s="43">
        <v>3</v>
      </c>
      <c r="C6" s="42">
        <v>0.81499999999999995</v>
      </c>
      <c r="D6" s="42">
        <v>0.81499999999999995</v>
      </c>
      <c r="E6" s="42">
        <v>0.79700000000000004</v>
      </c>
      <c r="F6" s="42"/>
    </row>
    <row r="7" spans="1:6">
      <c r="A7" s="40" t="s">
        <v>106</v>
      </c>
      <c r="B7" s="43">
        <v>3.7</v>
      </c>
      <c r="C7" s="42">
        <v>0.82700000000000007</v>
      </c>
      <c r="D7" s="42">
        <v>0.82700000000000007</v>
      </c>
      <c r="E7" s="42">
        <v>0.80900000000000005</v>
      </c>
      <c r="F7" s="42"/>
    </row>
    <row r="8" spans="1:6">
      <c r="A8" s="40" t="s">
        <v>106</v>
      </c>
      <c r="B8" s="43">
        <v>4</v>
      </c>
      <c r="C8" s="42">
        <v>0.83099999999999996</v>
      </c>
      <c r="D8" s="42">
        <v>0.83099999999999996</v>
      </c>
      <c r="E8" s="42">
        <v>0.81400000000000006</v>
      </c>
      <c r="F8" s="42"/>
    </row>
    <row r="9" spans="1:6">
      <c r="A9" s="40" t="s">
        <v>106</v>
      </c>
      <c r="B9" s="43">
        <v>5.5</v>
      </c>
      <c r="C9" s="42">
        <v>0.84699999999999998</v>
      </c>
      <c r="D9" s="42">
        <v>0.84699999999999998</v>
      </c>
      <c r="E9" s="42">
        <v>0.83099999999999996</v>
      </c>
      <c r="F9" s="42"/>
    </row>
    <row r="10" spans="1:6">
      <c r="A10" s="40" t="s">
        <v>106</v>
      </c>
      <c r="B10" s="43">
        <v>7.5</v>
      </c>
      <c r="C10" s="42">
        <v>0.86</v>
      </c>
      <c r="D10" s="42">
        <v>0.86</v>
      </c>
      <c r="E10" s="42">
        <v>0.84699999999999998</v>
      </c>
      <c r="F10" s="42"/>
    </row>
    <row r="11" spans="1:6">
      <c r="A11" s="40" t="s">
        <v>106</v>
      </c>
      <c r="B11" s="44">
        <v>11</v>
      </c>
      <c r="C11" s="42">
        <v>0.87599999999999989</v>
      </c>
      <c r="D11" s="42">
        <v>0.87599999999999989</v>
      </c>
      <c r="E11" s="42">
        <v>0.8640000000000001</v>
      </c>
      <c r="F11" s="42"/>
    </row>
    <row r="12" spans="1:6">
      <c r="A12" s="40" t="s">
        <v>106</v>
      </c>
      <c r="B12" s="44">
        <v>15</v>
      </c>
      <c r="C12" s="42">
        <v>0.88700000000000001</v>
      </c>
      <c r="D12" s="42">
        <v>0.88700000000000001</v>
      </c>
      <c r="E12" s="42">
        <v>0.877</v>
      </c>
      <c r="F12" s="42"/>
    </row>
    <row r="13" spans="1:6">
      <c r="A13" s="40" t="s">
        <v>106</v>
      </c>
      <c r="B13" s="44">
        <v>18.5</v>
      </c>
      <c r="C13" s="42">
        <v>0.89300000000000002</v>
      </c>
      <c r="D13" s="42">
        <v>0.89300000000000002</v>
      </c>
      <c r="E13" s="42">
        <v>0.8859999999999999</v>
      </c>
      <c r="F13" s="42"/>
    </row>
    <row r="14" spans="1:6">
      <c r="A14" s="40" t="s">
        <v>106</v>
      </c>
      <c r="B14" s="44">
        <v>22</v>
      </c>
      <c r="C14" s="42">
        <v>0.89900000000000002</v>
      </c>
      <c r="D14" s="42">
        <v>0.89900000000000002</v>
      </c>
      <c r="E14" s="42">
        <v>0.89200000000000002</v>
      </c>
      <c r="F14" s="42"/>
    </row>
    <row r="15" spans="1:6">
      <c r="A15" s="40" t="s">
        <v>106</v>
      </c>
      <c r="B15" s="44">
        <v>30</v>
      </c>
      <c r="C15" s="42">
        <v>0.90700000000000003</v>
      </c>
      <c r="D15" s="42">
        <v>0.90700000000000003</v>
      </c>
      <c r="E15" s="42">
        <v>0.90200000000000002</v>
      </c>
      <c r="F15" s="42"/>
    </row>
    <row r="16" spans="1:6">
      <c r="A16" s="40" t="s">
        <v>106</v>
      </c>
      <c r="B16" s="44">
        <v>37</v>
      </c>
      <c r="C16" s="42">
        <v>0.91200000000000003</v>
      </c>
      <c r="D16" s="42">
        <v>0.91200000000000003</v>
      </c>
      <c r="E16" s="42">
        <v>0.90799999999999992</v>
      </c>
      <c r="F16" s="42"/>
    </row>
    <row r="17" spans="1:6">
      <c r="A17" s="40" t="s">
        <v>106</v>
      </c>
      <c r="B17" s="44">
        <v>45</v>
      </c>
      <c r="C17" s="42">
        <v>0.91700000000000004</v>
      </c>
      <c r="D17" s="42">
        <v>0.91700000000000004</v>
      </c>
      <c r="E17" s="42">
        <v>0.91400000000000003</v>
      </c>
      <c r="F17" s="42"/>
    </row>
    <row r="18" spans="1:6">
      <c r="A18" s="40" t="s">
        <v>106</v>
      </c>
      <c r="B18" s="44">
        <v>55</v>
      </c>
      <c r="C18" s="42">
        <v>0.92099999999999993</v>
      </c>
      <c r="D18" s="42">
        <v>0.92099999999999993</v>
      </c>
      <c r="E18" s="42">
        <v>0.91900000000000004</v>
      </c>
      <c r="F18" s="42"/>
    </row>
    <row r="19" spans="1:6">
      <c r="A19" s="40" t="s">
        <v>106</v>
      </c>
      <c r="B19" s="44">
        <v>75</v>
      </c>
      <c r="C19" s="42">
        <v>0.92700000000000005</v>
      </c>
      <c r="D19" s="42">
        <v>0.92700000000000005</v>
      </c>
      <c r="E19" s="42">
        <v>0.92599999999999993</v>
      </c>
      <c r="F19" s="42"/>
    </row>
    <row r="20" spans="1:6">
      <c r="A20" s="40" t="s">
        <v>106</v>
      </c>
      <c r="B20" s="44">
        <v>90</v>
      </c>
      <c r="C20" s="42">
        <v>0.93</v>
      </c>
      <c r="D20" s="42">
        <v>0.93</v>
      </c>
      <c r="E20" s="42">
        <v>0.92900000000000005</v>
      </c>
      <c r="F20" s="42"/>
    </row>
    <row r="21" spans="1:6">
      <c r="A21" s="40" t="s">
        <v>106</v>
      </c>
      <c r="B21" s="44">
        <v>110</v>
      </c>
      <c r="C21" s="42">
        <v>0.93299999999999994</v>
      </c>
      <c r="D21" s="42">
        <v>0.93299999999999994</v>
      </c>
      <c r="E21" s="42">
        <v>0.93299999999999994</v>
      </c>
      <c r="F21" s="42"/>
    </row>
    <row r="22" spans="1:6">
      <c r="A22" s="40" t="s">
        <v>106</v>
      </c>
      <c r="B22" s="44">
        <v>132</v>
      </c>
      <c r="C22" s="42">
        <v>0.93500000000000005</v>
      </c>
      <c r="D22" s="42">
        <v>0.93500000000000005</v>
      </c>
      <c r="E22" s="42">
        <v>0.93500000000000005</v>
      </c>
      <c r="F22" s="42"/>
    </row>
    <row r="23" spans="1:6">
      <c r="A23" s="40" t="s">
        <v>106</v>
      </c>
      <c r="B23" s="44">
        <v>160</v>
      </c>
      <c r="C23" s="42">
        <v>0.93799999999999994</v>
      </c>
      <c r="D23" s="42">
        <v>0.93799999999999994</v>
      </c>
      <c r="E23" s="42">
        <v>0.93799999999999994</v>
      </c>
      <c r="F23" s="42"/>
    </row>
    <row r="24" spans="1:6">
      <c r="A24" s="40" t="s">
        <v>100</v>
      </c>
      <c r="B24" s="44">
        <v>185</v>
      </c>
      <c r="C24" s="42">
        <v>0.94</v>
      </c>
      <c r="D24" s="42">
        <v>0.94</v>
      </c>
      <c r="E24" s="42">
        <v>0.94</v>
      </c>
      <c r="F24" s="42"/>
    </row>
    <row r="25" spans="1:6">
      <c r="A25" s="40" t="s">
        <v>100</v>
      </c>
      <c r="B25" s="44">
        <v>200</v>
      </c>
      <c r="C25" s="42">
        <v>0.94</v>
      </c>
      <c r="D25" s="42">
        <v>0.94</v>
      </c>
      <c r="E25" s="42">
        <v>0.94</v>
      </c>
      <c r="F25" s="42"/>
    </row>
    <row r="26" spans="1:6">
      <c r="A26" s="40" t="s">
        <v>100</v>
      </c>
      <c r="B26" s="44">
        <v>220</v>
      </c>
      <c r="C26" s="42">
        <v>0.94</v>
      </c>
      <c r="D26" s="42">
        <v>0.94</v>
      </c>
      <c r="E26" s="42">
        <v>0.94</v>
      </c>
      <c r="F26" s="42"/>
    </row>
    <row r="27" spans="1:6">
      <c r="A27" s="40" t="s">
        <v>100</v>
      </c>
      <c r="B27" s="44">
        <v>250</v>
      </c>
      <c r="C27" s="42">
        <v>0.94</v>
      </c>
      <c r="D27" s="42">
        <v>0.94</v>
      </c>
      <c r="E27" s="42">
        <v>0.94</v>
      </c>
      <c r="F27" s="42"/>
    </row>
    <row r="28" spans="1:6">
      <c r="A28" s="40" t="s">
        <v>100</v>
      </c>
      <c r="B28" s="44">
        <v>280</v>
      </c>
      <c r="C28" s="42">
        <v>0.94</v>
      </c>
      <c r="D28" s="42">
        <v>0.94</v>
      </c>
      <c r="E28" s="42">
        <v>0.94</v>
      </c>
      <c r="F28" s="42"/>
    </row>
    <row r="29" spans="1:6">
      <c r="A29" s="40" t="s">
        <v>100</v>
      </c>
      <c r="B29" s="44">
        <v>300</v>
      </c>
      <c r="C29" s="42">
        <v>0.94</v>
      </c>
      <c r="D29" s="42">
        <v>0.94</v>
      </c>
      <c r="E29" s="42">
        <v>0.94</v>
      </c>
      <c r="F29" s="42"/>
    </row>
    <row r="30" spans="1:6">
      <c r="A30" s="40" t="s">
        <v>100</v>
      </c>
      <c r="B30" s="44">
        <v>315</v>
      </c>
      <c r="C30" s="42">
        <v>0.94</v>
      </c>
      <c r="D30" s="42">
        <v>0.94</v>
      </c>
      <c r="E30" s="42">
        <v>0.94</v>
      </c>
      <c r="F30" s="42"/>
    </row>
    <row r="31" spans="1:6">
      <c r="A31" s="40" t="s">
        <v>106</v>
      </c>
      <c r="B31" s="44">
        <v>355</v>
      </c>
      <c r="C31" s="42">
        <v>0.94</v>
      </c>
      <c r="D31" s="42">
        <v>0.94</v>
      </c>
      <c r="E31" s="42">
        <v>0.94</v>
      </c>
      <c r="F31" s="42"/>
    </row>
    <row r="32" spans="1:6">
      <c r="A32" s="40" t="s">
        <v>106</v>
      </c>
      <c r="B32" s="44">
        <v>375</v>
      </c>
      <c r="C32" s="42">
        <v>0.94</v>
      </c>
      <c r="D32" s="42">
        <v>0.94</v>
      </c>
      <c r="E32" s="42">
        <v>0.94</v>
      </c>
      <c r="F32" s="42"/>
    </row>
    <row r="33" spans="1:6">
      <c r="A33" s="40" t="s">
        <v>107</v>
      </c>
      <c r="B33" s="41">
        <v>0.75</v>
      </c>
      <c r="C33" s="42">
        <v>0.77400000000000002</v>
      </c>
      <c r="D33" s="42">
        <v>0.79599999999999993</v>
      </c>
      <c r="E33" s="42">
        <v>0.75900000000000001</v>
      </c>
      <c r="F33" s="42"/>
    </row>
    <row r="34" spans="1:6">
      <c r="A34" s="40" t="s">
        <v>107</v>
      </c>
      <c r="B34" s="43">
        <v>1.1000000000000001</v>
      </c>
      <c r="C34" s="42">
        <v>0.79599999999999993</v>
      </c>
      <c r="D34" s="42">
        <v>0.81400000000000006</v>
      </c>
      <c r="E34" s="42">
        <v>0.78099999999999992</v>
      </c>
      <c r="F34" s="42"/>
    </row>
    <row r="35" spans="1:6">
      <c r="A35" s="40" t="s">
        <v>107</v>
      </c>
      <c r="B35" s="43">
        <v>1.5</v>
      </c>
      <c r="C35" s="42">
        <v>0.81299999999999994</v>
      </c>
      <c r="D35" s="42">
        <v>0.82799999999999996</v>
      </c>
      <c r="E35" s="42">
        <v>0.79799999999999993</v>
      </c>
      <c r="F35" s="42"/>
    </row>
    <row r="36" spans="1:6">
      <c r="A36" s="40" t="s">
        <v>107</v>
      </c>
      <c r="B36" s="43">
        <v>2.2000000000000002</v>
      </c>
      <c r="C36" s="42">
        <v>0.83200000000000007</v>
      </c>
      <c r="D36" s="42">
        <v>0.84299999999999997</v>
      </c>
      <c r="E36" s="42">
        <v>0.81799999999999995</v>
      </c>
      <c r="F36" s="42"/>
    </row>
    <row r="37" spans="1:6">
      <c r="A37" s="40" t="s">
        <v>107</v>
      </c>
      <c r="B37" s="43">
        <v>3</v>
      </c>
      <c r="C37" s="42">
        <v>0.84599999999999997</v>
      </c>
      <c r="D37" s="42">
        <v>0.85499999999999998</v>
      </c>
      <c r="E37" s="42">
        <v>0.83299999999999996</v>
      </c>
      <c r="F37" s="42"/>
    </row>
    <row r="38" spans="1:6">
      <c r="A38" s="40" t="s">
        <v>107</v>
      </c>
      <c r="B38" s="43">
        <v>3.7</v>
      </c>
      <c r="C38" s="42">
        <v>0.85499999999999998</v>
      </c>
      <c r="D38" s="42">
        <v>0.86299999999999999</v>
      </c>
      <c r="E38" s="42">
        <v>0.84299999999999997</v>
      </c>
      <c r="F38" s="42"/>
    </row>
    <row r="39" spans="1:6">
      <c r="A39" s="40" t="s">
        <v>107</v>
      </c>
      <c r="B39" s="43">
        <v>4</v>
      </c>
      <c r="C39" s="42">
        <v>0.85799999999999998</v>
      </c>
      <c r="D39" s="42">
        <v>0.86599999999999999</v>
      </c>
      <c r="E39" s="42">
        <v>0.84599999999999997</v>
      </c>
      <c r="F39" s="42"/>
    </row>
    <row r="40" spans="1:6">
      <c r="A40" s="40" t="s">
        <v>107</v>
      </c>
      <c r="B40" s="43">
        <v>5.5</v>
      </c>
      <c r="C40" s="42">
        <v>0.87</v>
      </c>
      <c r="D40" s="42">
        <v>0.877</v>
      </c>
      <c r="E40" s="42">
        <v>0.86</v>
      </c>
      <c r="F40" s="42"/>
    </row>
    <row r="41" spans="1:6">
      <c r="A41" s="40" t="s">
        <v>107</v>
      </c>
      <c r="B41" s="43">
        <v>7.5</v>
      </c>
      <c r="C41" s="42">
        <v>0.88099999999999989</v>
      </c>
      <c r="D41" s="42">
        <v>0.88700000000000001</v>
      </c>
      <c r="E41" s="42">
        <v>0.872</v>
      </c>
      <c r="F41" s="42"/>
    </row>
    <row r="42" spans="1:6">
      <c r="A42" s="40" t="s">
        <v>107</v>
      </c>
      <c r="B42" s="44">
        <v>11</v>
      </c>
      <c r="C42" s="42">
        <v>0.89400000000000002</v>
      </c>
      <c r="D42" s="42">
        <v>0.89800000000000002</v>
      </c>
      <c r="E42" s="42">
        <v>0.88700000000000001</v>
      </c>
      <c r="F42" s="42"/>
    </row>
    <row r="43" spans="1:6">
      <c r="A43" s="40" t="s">
        <v>107</v>
      </c>
      <c r="B43" s="44">
        <v>15</v>
      </c>
      <c r="C43" s="42">
        <v>0.90300000000000002</v>
      </c>
      <c r="D43" s="42">
        <v>0.90599999999999992</v>
      </c>
      <c r="E43" s="42">
        <v>0.89700000000000002</v>
      </c>
      <c r="F43" s="42"/>
    </row>
    <row r="44" spans="1:6">
      <c r="A44" s="40" t="s">
        <v>107</v>
      </c>
      <c r="B44" s="44">
        <v>18.5</v>
      </c>
      <c r="C44" s="42">
        <v>0.90900000000000003</v>
      </c>
      <c r="D44" s="42">
        <v>0.91200000000000003</v>
      </c>
      <c r="E44" s="42">
        <v>0.90400000000000003</v>
      </c>
      <c r="F44" s="42"/>
    </row>
    <row r="45" spans="1:6">
      <c r="A45" s="40" t="s">
        <v>107</v>
      </c>
      <c r="B45" s="44">
        <v>22</v>
      </c>
      <c r="C45" s="42">
        <v>0.91299999999999992</v>
      </c>
      <c r="D45" s="42">
        <v>0.91599999999999993</v>
      </c>
      <c r="E45" s="42">
        <v>0.90900000000000003</v>
      </c>
      <c r="F45" s="42"/>
    </row>
    <row r="46" spans="1:6">
      <c r="A46" s="40" t="s">
        <v>107</v>
      </c>
      <c r="B46" s="44">
        <v>30</v>
      </c>
      <c r="C46" s="42">
        <v>0.92</v>
      </c>
      <c r="D46" s="42">
        <v>0.92299999999999993</v>
      </c>
      <c r="E46" s="42">
        <v>0.91700000000000004</v>
      </c>
      <c r="F46" s="42"/>
    </row>
    <row r="47" spans="1:6">
      <c r="A47" s="40" t="s">
        <v>107</v>
      </c>
      <c r="B47" s="44">
        <v>37</v>
      </c>
      <c r="C47" s="42">
        <v>0.92500000000000004</v>
      </c>
      <c r="D47" s="42">
        <v>0.92700000000000005</v>
      </c>
      <c r="E47" s="42">
        <v>0.92200000000000004</v>
      </c>
      <c r="F47" s="42"/>
    </row>
    <row r="48" spans="1:6">
      <c r="A48" s="40" t="s">
        <v>107</v>
      </c>
      <c r="B48" s="44">
        <v>45</v>
      </c>
      <c r="C48" s="42">
        <v>0.92900000000000005</v>
      </c>
      <c r="D48" s="42">
        <v>0.93099999999999994</v>
      </c>
      <c r="E48" s="42">
        <v>0.92700000000000005</v>
      </c>
      <c r="F48" s="42"/>
    </row>
    <row r="49" spans="1:6">
      <c r="A49" s="40" t="s">
        <v>107</v>
      </c>
      <c r="B49" s="44">
        <v>55</v>
      </c>
      <c r="C49" s="42">
        <v>0.93200000000000005</v>
      </c>
      <c r="D49" s="42">
        <v>0.93500000000000005</v>
      </c>
      <c r="E49" s="42">
        <v>0.93099999999999994</v>
      </c>
      <c r="F49" s="42"/>
    </row>
    <row r="50" spans="1:6">
      <c r="A50" s="40" t="s">
        <v>107</v>
      </c>
      <c r="B50" s="44">
        <v>75</v>
      </c>
      <c r="C50" s="42">
        <v>0.93799999999999994</v>
      </c>
      <c r="D50" s="42">
        <v>0.94</v>
      </c>
      <c r="E50" s="42">
        <v>0.93700000000000006</v>
      </c>
      <c r="F50" s="42"/>
    </row>
    <row r="51" spans="1:6">
      <c r="A51" s="40" t="s">
        <v>107</v>
      </c>
      <c r="B51" s="44">
        <v>90</v>
      </c>
      <c r="C51" s="42">
        <v>0.94099999999999995</v>
      </c>
      <c r="D51" s="42">
        <v>0.94200000000000006</v>
      </c>
      <c r="E51" s="42">
        <v>0.94</v>
      </c>
      <c r="F51" s="42"/>
    </row>
    <row r="52" spans="1:6">
      <c r="A52" s="40" t="s">
        <v>107</v>
      </c>
      <c r="B52" s="44">
        <v>110</v>
      </c>
      <c r="C52" s="42">
        <v>0.94299999999999995</v>
      </c>
      <c r="D52" s="42">
        <v>0.94499999999999995</v>
      </c>
      <c r="E52" s="42">
        <v>0.94299999999999995</v>
      </c>
      <c r="F52" s="42"/>
    </row>
    <row r="53" spans="1:6">
      <c r="A53" s="40" t="s">
        <v>107</v>
      </c>
      <c r="B53" s="44">
        <v>132</v>
      </c>
      <c r="C53" s="42">
        <v>0.94599999999999995</v>
      </c>
      <c r="D53" s="42">
        <v>0.94700000000000006</v>
      </c>
      <c r="E53" s="42">
        <v>0.94599999999999995</v>
      </c>
      <c r="F53" s="42"/>
    </row>
    <row r="54" spans="1:6">
      <c r="A54" s="40" t="s">
        <v>107</v>
      </c>
      <c r="B54" s="44">
        <v>160</v>
      </c>
      <c r="C54" s="42">
        <v>0.94799999999999995</v>
      </c>
      <c r="D54" s="42">
        <v>0.94900000000000007</v>
      </c>
      <c r="E54" s="42">
        <v>0.94799999999999995</v>
      </c>
      <c r="F54" s="42"/>
    </row>
    <row r="55" spans="1:6">
      <c r="A55" s="40" t="s">
        <v>107</v>
      </c>
      <c r="B55" s="44">
        <v>185</v>
      </c>
      <c r="C55" s="42">
        <v>0.95</v>
      </c>
      <c r="D55" s="42">
        <v>0.95099999999999996</v>
      </c>
      <c r="E55" s="42">
        <v>0.95</v>
      </c>
      <c r="F55" s="42"/>
    </row>
    <row r="56" spans="1:6">
      <c r="A56" s="40" t="s">
        <v>107</v>
      </c>
      <c r="B56" s="44">
        <v>200</v>
      </c>
      <c r="C56" s="42">
        <v>0.95</v>
      </c>
      <c r="D56" s="42">
        <v>0.95099999999999996</v>
      </c>
      <c r="E56" s="42">
        <v>0.95</v>
      </c>
      <c r="F56" s="42"/>
    </row>
    <row r="57" spans="1:6">
      <c r="A57" s="40" t="s">
        <v>107</v>
      </c>
      <c r="B57" s="44">
        <v>220</v>
      </c>
      <c r="C57" s="42">
        <v>0.95</v>
      </c>
      <c r="D57" s="42">
        <v>0.95099999999999996</v>
      </c>
      <c r="E57" s="42">
        <v>0.95</v>
      </c>
      <c r="F57" s="42"/>
    </row>
    <row r="58" spans="1:6">
      <c r="A58" s="40" t="s">
        <v>107</v>
      </c>
      <c r="B58" s="44">
        <v>250</v>
      </c>
      <c r="C58" s="42">
        <v>0.95</v>
      </c>
      <c r="D58" s="42">
        <v>0.95099999999999996</v>
      </c>
      <c r="E58" s="42">
        <v>0.95</v>
      </c>
      <c r="F58" s="42"/>
    </row>
    <row r="59" spans="1:6">
      <c r="A59" s="40" t="s">
        <v>107</v>
      </c>
      <c r="B59" s="44">
        <v>280</v>
      </c>
      <c r="C59" s="42">
        <v>0.95</v>
      </c>
      <c r="D59" s="42">
        <v>0.95099999999999996</v>
      </c>
      <c r="E59" s="42">
        <v>0.95</v>
      </c>
      <c r="F59" s="42"/>
    </row>
    <row r="60" spans="1:6">
      <c r="A60" s="40" t="s">
        <v>107</v>
      </c>
      <c r="B60" s="44">
        <v>300</v>
      </c>
      <c r="C60" s="42">
        <v>0.95</v>
      </c>
      <c r="D60" s="42">
        <v>0.95099999999999996</v>
      </c>
      <c r="E60" s="42">
        <v>0.95</v>
      </c>
      <c r="F60" s="42"/>
    </row>
    <row r="61" spans="1:6">
      <c r="A61" s="40" t="s">
        <v>107</v>
      </c>
      <c r="B61" s="44">
        <v>315</v>
      </c>
      <c r="C61" s="42">
        <v>0.95</v>
      </c>
      <c r="D61" s="42">
        <v>0.95099999999999996</v>
      </c>
      <c r="E61" s="42">
        <v>0.95</v>
      </c>
      <c r="F61" s="42"/>
    </row>
    <row r="62" spans="1:6">
      <c r="A62" s="40" t="s">
        <v>107</v>
      </c>
      <c r="B62" s="44">
        <v>355</v>
      </c>
      <c r="C62" s="42">
        <v>0.95</v>
      </c>
      <c r="D62" s="42">
        <v>0.95099999999999996</v>
      </c>
      <c r="E62" s="42">
        <v>0.95</v>
      </c>
      <c r="F62" s="42"/>
    </row>
    <row r="63" spans="1:6">
      <c r="A63" s="40" t="s">
        <v>107</v>
      </c>
      <c r="B63" s="44">
        <v>375</v>
      </c>
      <c r="C63" s="42">
        <v>0.95</v>
      </c>
      <c r="D63" s="42">
        <v>0.95099999999999996</v>
      </c>
      <c r="E63" s="42">
        <v>0.95</v>
      </c>
      <c r="F63" s="42"/>
    </row>
    <row r="64" spans="1:6">
      <c r="A64" s="40" t="s">
        <v>108</v>
      </c>
      <c r="B64" s="41">
        <v>0.75</v>
      </c>
      <c r="C64" s="42">
        <v>0.80700000000000005</v>
      </c>
      <c r="D64" s="42">
        <v>0.82499999999999996</v>
      </c>
      <c r="E64" s="42">
        <v>0.78900000000000003</v>
      </c>
      <c r="F64" s="42"/>
    </row>
    <row r="65" spans="1:6">
      <c r="A65" s="40" t="s">
        <v>108</v>
      </c>
      <c r="B65" s="43">
        <v>1.1000000000000001</v>
      </c>
      <c r="C65" s="42">
        <v>0.82700000000000007</v>
      </c>
      <c r="D65" s="42">
        <v>0.84099999999999997</v>
      </c>
      <c r="E65" s="42">
        <v>0.81</v>
      </c>
      <c r="F65" s="42"/>
    </row>
    <row r="66" spans="1:6">
      <c r="A66" s="40" t="s">
        <v>108</v>
      </c>
      <c r="B66" s="43">
        <v>1.5</v>
      </c>
      <c r="C66" s="42">
        <v>0.84200000000000008</v>
      </c>
      <c r="D66" s="42">
        <v>0.85299999999999998</v>
      </c>
      <c r="E66" s="42">
        <v>0.82499999999999996</v>
      </c>
      <c r="F66" s="42"/>
    </row>
    <row r="67" spans="1:6">
      <c r="A67" s="40" t="s">
        <v>108</v>
      </c>
      <c r="B67" s="43">
        <v>2.2000000000000002</v>
      </c>
      <c r="C67" s="42">
        <v>0.8590000000000001</v>
      </c>
      <c r="D67" s="42">
        <v>0.86699999999999999</v>
      </c>
      <c r="E67" s="42">
        <v>0.84299999999999997</v>
      </c>
      <c r="F67" s="42"/>
    </row>
    <row r="68" spans="1:6">
      <c r="A68" s="40" t="s">
        <v>108</v>
      </c>
      <c r="B68" s="43">
        <v>3</v>
      </c>
      <c r="C68" s="42">
        <v>0.871</v>
      </c>
      <c r="D68" s="42">
        <v>0.877</v>
      </c>
      <c r="E68" s="42">
        <v>0.85599999999999998</v>
      </c>
      <c r="F68" s="42"/>
    </row>
    <row r="69" spans="1:6">
      <c r="A69" s="40" t="s">
        <v>108</v>
      </c>
      <c r="B69" s="43">
        <v>3.7</v>
      </c>
      <c r="C69" s="42">
        <v>0.878</v>
      </c>
      <c r="D69" s="42">
        <v>0.88400000000000001</v>
      </c>
      <c r="E69" s="42">
        <v>0.86499999999999999</v>
      </c>
      <c r="F69" s="42"/>
    </row>
    <row r="70" spans="1:6">
      <c r="A70" s="40" t="s">
        <v>108</v>
      </c>
      <c r="B70" s="43">
        <v>4</v>
      </c>
      <c r="C70" s="42">
        <v>0.88099999999999989</v>
      </c>
      <c r="D70" s="42">
        <v>0.8859999999999999</v>
      </c>
      <c r="E70" s="42">
        <v>0.86799999999999999</v>
      </c>
      <c r="F70" s="42"/>
    </row>
    <row r="71" spans="1:6">
      <c r="A71" s="40" t="s">
        <v>108</v>
      </c>
      <c r="B71" s="43">
        <v>5.5</v>
      </c>
      <c r="C71" s="42">
        <v>0.89200000000000002</v>
      </c>
      <c r="D71" s="42">
        <v>0.89599999999999991</v>
      </c>
      <c r="E71" s="42">
        <v>0.88</v>
      </c>
      <c r="F71" s="42"/>
    </row>
    <row r="72" spans="1:6">
      <c r="A72" s="40" t="s">
        <v>108</v>
      </c>
      <c r="B72" s="43">
        <v>7.5</v>
      </c>
      <c r="C72" s="42">
        <v>0.90099999999999991</v>
      </c>
      <c r="D72" s="42">
        <v>0.90400000000000003</v>
      </c>
      <c r="E72" s="42">
        <v>0.8909999999999999</v>
      </c>
      <c r="F72" s="42"/>
    </row>
    <row r="73" spans="1:6">
      <c r="A73" s="40" t="s">
        <v>108</v>
      </c>
      <c r="B73" s="44">
        <v>11</v>
      </c>
      <c r="C73" s="42">
        <v>0.91200000000000003</v>
      </c>
      <c r="D73" s="42">
        <v>0.91400000000000003</v>
      </c>
      <c r="E73" s="42">
        <v>0.90300000000000002</v>
      </c>
      <c r="F73" s="42"/>
    </row>
    <row r="74" spans="1:6">
      <c r="A74" s="40" t="s">
        <v>108</v>
      </c>
      <c r="B74" s="44">
        <v>15</v>
      </c>
      <c r="C74" s="42">
        <v>0.91900000000000004</v>
      </c>
      <c r="D74" s="42">
        <v>0.92099999999999993</v>
      </c>
      <c r="E74" s="42">
        <v>0.91200000000000003</v>
      </c>
      <c r="F74" s="42"/>
    </row>
    <row r="75" spans="1:6">
      <c r="A75" s="40" t="s">
        <v>108</v>
      </c>
      <c r="B75" s="44">
        <v>18.5</v>
      </c>
      <c r="C75" s="42">
        <v>0.92400000000000004</v>
      </c>
      <c r="D75" s="42">
        <v>0.92599999999999993</v>
      </c>
      <c r="E75" s="42">
        <v>0.91700000000000004</v>
      </c>
      <c r="F75" s="42"/>
    </row>
    <row r="76" spans="1:6">
      <c r="A76" s="40" t="s">
        <v>108</v>
      </c>
      <c r="B76" s="44">
        <v>22</v>
      </c>
      <c r="C76" s="42">
        <v>0.92700000000000005</v>
      </c>
      <c r="D76" s="42">
        <v>0.93</v>
      </c>
      <c r="E76" s="42">
        <v>0.92200000000000004</v>
      </c>
      <c r="F76" s="42"/>
    </row>
    <row r="77" spans="1:6">
      <c r="A77" s="40" t="s">
        <v>108</v>
      </c>
      <c r="B77" s="44">
        <v>30</v>
      </c>
      <c r="C77" s="42">
        <v>0.93299999999999994</v>
      </c>
      <c r="D77" s="42">
        <v>0.93599999999999994</v>
      </c>
      <c r="E77" s="42">
        <v>0.92900000000000005</v>
      </c>
      <c r="F77" s="42"/>
    </row>
    <row r="78" spans="1:6">
      <c r="A78" s="40" t="s">
        <v>108</v>
      </c>
      <c r="B78" s="44">
        <v>37</v>
      </c>
      <c r="C78" s="42">
        <v>0.93700000000000006</v>
      </c>
      <c r="D78" s="42">
        <v>0.93900000000000006</v>
      </c>
      <c r="E78" s="42">
        <v>0.93299999999999994</v>
      </c>
      <c r="F78" s="42"/>
    </row>
    <row r="79" spans="1:6">
      <c r="A79" s="40" t="s">
        <v>108</v>
      </c>
      <c r="B79" s="44">
        <v>45</v>
      </c>
      <c r="C79" s="42">
        <v>0.94</v>
      </c>
      <c r="D79" s="42">
        <v>0.94200000000000006</v>
      </c>
      <c r="E79" s="42">
        <v>0.93700000000000006</v>
      </c>
      <c r="F79" s="42"/>
    </row>
    <row r="80" spans="1:6">
      <c r="A80" s="40" t="s">
        <v>108</v>
      </c>
      <c r="B80" s="44">
        <v>55</v>
      </c>
      <c r="C80" s="42">
        <v>0.94299999999999995</v>
      </c>
      <c r="D80" s="42">
        <v>0.94599999999999995</v>
      </c>
      <c r="E80" s="42">
        <v>0.94099999999999995</v>
      </c>
      <c r="F80" s="42"/>
    </row>
    <row r="81" spans="1:6">
      <c r="A81" s="40" t="s">
        <v>108</v>
      </c>
      <c r="B81" s="44">
        <v>75</v>
      </c>
      <c r="C81" s="42">
        <v>0.94700000000000006</v>
      </c>
      <c r="D81" s="42">
        <v>0.95</v>
      </c>
      <c r="E81" s="42">
        <v>0.94599999999999995</v>
      </c>
      <c r="F81" s="42"/>
    </row>
    <row r="82" spans="1:6">
      <c r="A82" s="40" t="s">
        <v>108</v>
      </c>
      <c r="B82" s="44">
        <v>90</v>
      </c>
      <c r="C82" s="42">
        <v>0.95</v>
      </c>
      <c r="D82" s="42">
        <v>0.95200000000000007</v>
      </c>
      <c r="E82" s="42">
        <v>0.94900000000000007</v>
      </c>
      <c r="F82" s="42"/>
    </row>
    <row r="83" spans="1:6">
      <c r="A83" s="40" t="s">
        <v>108</v>
      </c>
      <c r="B83" s="44">
        <v>110</v>
      </c>
      <c r="C83" s="42">
        <v>0.95200000000000007</v>
      </c>
      <c r="D83" s="42">
        <v>0.95400000000000007</v>
      </c>
      <c r="E83" s="42">
        <v>0.95099999999999996</v>
      </c>
      <c r="F83" s="42"/>
    </row>
    <row r="84" spans="1:6">
      <c r="A84" s="40" t="s">
        <v>108</v>
      </c>
      <c r="B84" s="44">
        <v>132</v>
      </c>
      <c r="C84" s="42">
        <v>0.95400000000000007</v>
      </c>
      <c r="D84" s="42">
        <v>0.95599999999999996</v>
      </c>
      <c r="E84" s="42">
        <v>0.95400000000000007</v>
      </c>
      <c r="F84" s="42"/>
    </row>
    <row r="85" spans="1:6">
      <c r="A85" s="40" t="s">
        <v>108</v>
      </c>
      <c r="B85" s="44">
        <v>160</v>
      </c>
      <c r="C85" s="42">
        <v>0.95599999999999996</v>
      </c>
      <c r="D85" s="42">
        <v>0.95799999999999996</v>
      </c>
      <c r="E85" s="42">
        <v>0.95599999999999996</v>
      </c>
      <c r="F85" s="42"/>
    </row>
    <row r="86" spans="1:6">
      <c r="A86" s="40" t="s">
        <v>108</v>
      </c>
      <c r="B86" s="44">
        <v>185</v>
      </c>
      <c r="C86" s="42">
        <v>0.95799999999999996</v>
      </c>
      <c r="D86" s="42">
        <v>0.96</v>
      </c>
      <c r="E86" s="42">
        <v>0.95799999999999996</v>
      </c>
      <c r="F86" s="42"/>
    </row>
    <row r="87" spans="1:6">
      <c r="A87" s="40" t="s">
        <v>108</v>
      </c>
      <c r="B87" s="44">
        <v>200</v>
      </c>
      <c r="C87" s="42">
        <v>0.95799999999999996</v>
      </c>
      <c r="D87" s="42">
        <v>0.96</v>
      </c>
      <c r="E87" s="42">
        <v>0.95799999999999996</v>
      </c>
      <c r="F87" s="42"/>
    </row>
    <row r="88" spans="1:6">
      <c r="A88" s="40" t="s">
        <v>108</v>
      </c>
      <c r="B88" s="44">
        <v>220</v>
      </c>
      <c r="C88" s="42">
        <v>0.95799999999999996</v>
      </c>
      <c r="D88" s="42">
        <v>0.96</v>
      </c>
      <c r="E88" s="42">
        <v>0.95799999999999996</v>
      </c>
      <c r="F88" s="42"/>
    </row>
    <row r="89" spans="1:6">
      <c r="A89" s="40" t="s">
        <v>108</v>
      </c>
      <c r="B89" s="44">
        <v>250</v>
      </c>
      <c r="C89" s="42">
        <v>0.95799999999999996</v>
      </c>
      <c r="D89" s="42">
        <v>0.96</v>
      </c>
      <c r="E89" s="42">
        <v>0.95799999999999996</v>
      </c>
      <c r="F89" s="42"/>
    </row>
    <row r="90" spans="1:6">
      <c r="A90" s="40" t="s">
        <v>108</v>
      </c>
      <c r="B90" s="44">
        <v>280</v>
      </c>
      <c r="C90" s="42">
        <v>0.95799999999999996</v>
      </c>
      <c r="D90" s="42">
        <v>0.96</v>
      </c>
      <c r="E90" s="42">
        <v>0.95799999999999996</v>
      </c>
      <c r="F90" s="42"/>
    </row>
    <row r="91" spans="1:6">
      <c r="A91" s="40" t="s">
        <v>108</v>
      </c>
      <c r="B91" s="44">
        <v>300</v>
      </c>
      <c r="C91" s="42">
        <v>0.95799999999999996</v>
      </c>
      <c r="D91" s="42">
        <v>0.96</v>
      </c>
      <c r="E91" s="42">
        <v>0.95799999999999996</v>
      </c>
      <c r="F91" s="42"/>
    </row>
    <row r="92" spans="1:6">
      <c r="A92" s="40" t="s">
        <v>108</v>
      </c>
      <c r="B92" s="44">
        <v>315</v>
      </c>
      <c r="C92" s="42">
        <v>0.95799999999999996</v>
      </c>
      <c r="D92" s="42">
        <v>0.96</v>
      </c>
      <c r="E92" s="42">
        <v>0.95799999999999996</v>
      </c>
      <c r="F92" s="42"/>
    </row>
    <row r="93" spans="1:6">
      <c r="A93" s="40" t="s">
        <v>108</v>
      </c>
      <c r="B93" s="44">
        <v>355</v>
      </c>
      <c r="C93" s="42">
        <v>0.95799999999999996</v>
      </c>
      <c r="D93" s="42">
        <v>0.96</v>
      </c>
      <c r="E93" s="42">
        <v>0.95799999999999996</v>
      </c>
      <c r="F93" s="42"/>
    </row>
    <row r="94" spans="1:6">
      <c r="A94" s="40" t="s">
        <v>108</v>
      </c>
      <c r="B94" s="44">
        <v>375</v>
      </c>
      <c r="C94" s="42">
        <v>0.95799999999999996</v>
      </c>
      <c r="D94" s="42">
        <v>0.96</v>
      </c>
      <c r="E94" s="42">
        <v>0.95799999999999996</v>
      </c>
      <c r="F94" s="42"/>
    </row>
    <row r="95" spans="1:6">
      <c r="A95" s="40" t="s">
        <v>109</v>
      </c>
      <c r="B95" s="41">
        <v>0.75</v>
      </c>
      <c r="C95" s="42">
        <v>0.83499999999999996</v>
      </c>
      <c r="D95" s="42">
        <v>0.85699999999999998</v>
      </c>
      <c r="E95" s="42">
        <v>0.82700000000000007</v>
      </c>
      <c r="F95" s="42">
        <v>0.78400000000000003</v>
      </c>
    </row>
    <row r="96" spans="1:6">
      <c r="A96" s="40" t="s">
        <v>109</v>
      </c>
      <c r="B96" s="43">
        <v>1.1000000000000001</v>
      </c>
      <c r="C96" s="42">
        <v>0.85199999999999998</v>
      </c>
      <c r="D96" s="42">
        <v>0.872</v>
      </c>
      <c r="E96" s="42">
        <v>0.84499999999999997</v>
      </c>
      <c r="F96" s="42">
        <v>0.80799999999999994</v>
      </c>
    </row>
    <row r="97" spans="1:6">
      <c r="A97" s="40" t="s">
        <v>109</v>
      </c>
      <c r="B97" s="43">
        <v>1.5</v>
      </c>
      <c r="C97" s="42">
        <v>0.86499999999999999</v>
      </c>
      <c r="D97" s="42">
        <v>0.88200000000000001</v>
      </c>
      <c r="E97" s="42">
        <v>0.8590000000000001</v>
      </c>
      <c r="F97" s="42">
        <v>0.82599999999999996</v>
      </c>
    </row>
    <row r="98" spans="1:6">
      <c r="A98" s="40" t="s">
        <v>109</v>
      </c>
      <c r="B98" s="43">
        <v>2.2000000000000002</v>
      </c>
      <c r="C98" s="42">
        <v>0.88</v>
      </c>
      <c r="D98" s="42">
        <v>0.89500000000000002</v>
      </c>
      <c r="E98" s="42">
        <v>0.87400000000000011</v>
      </c>
      <c r="F98" s="42">
        <v>0.84499999999999997</v>
      </c>
    </row>
    <row r="99" spans="1:6">
      <c r="A99" s="40" t="s">
        <v>109</v>
      </c>
      <c r="B99" s="43">
        <v>3</v>
      </c>
      <c r="C99" s="42">
        <v>0.8909999999999999</v>
      </c>
      <c r="D99" s="42">
        <v>0.90400000000000003</v>
      </c>
      <c r="E99" s="42">
        <v>0.8859999999999999</v>
      </c>
      <c r="F99" s="42">
        <v>0.8590000000000001</v>
      </c>
    </row>
    <row r="100" spans="1:6">
      <c r="A100" s="40" t="s">
        <v>109</v>
      </c>
      <c r="B100" s="43">
        <v>3.7</v>
      </c>
      <c r="C100" s="42">
        <v>0.89700000000000002</v>
      </c>
      <c r="D100" s="42">
        <v>0.90900000000000003</v>
      </c>
      <c r="E100" s="42">
        <v>0.89300000000000002</v>
      </c>
      <c r="F100" s="42">
        <v>0.86799999999999999</v>
      </c>
    </row>
    <row r="101" spans="1:6">
      <c r="A101" s="40" t="s">
        <v>109</v>
      </c>
      <c r="B101" s="43">
        <v>4</v>
      </c>
      <c r="C101" s="42">
        <v>0.9</v>
      </c>
      <c r="D101" s="42">
        <v>0.91099999999999992</v>
      </c>
      <c r="E101" s="42">
        <v>0.89500000000000002</v>
      </c>
      <c r="F101" s="42">
        <v>0.871</v>
      </c>
    </row>
    <row r="102" spans="1:6">
      <c r="A102" s="40" t="s">
        <v>109</v>
      </c>
      <c r="B102" s="43">
        <v>5.5</v>
      </c>
      <c r="C102" s="42">
        <v>0.90900000000000003</v>
      </c>
      <c r="D102" s="42">
        <v>0.91900000000000004</v>
      </c>
      <c r="E102" s="42">
        <v>0.90500000000000003</v>
      </c>
      <c r="F102" s="42">
        <v>0.88300000000000001</v>
      </c>
    </row>
    <row r="103" spans="1:6">
      <c r="A103" s="40" t="s">
        <v>109</v>
      </c>
      <c r="B103" s="43">
        <v>7.5</v>
      </c>
      <c r="C103" s="42">
        <v>0.91700000000000004</v>
      </c>
      <c r="D103" s="42">
        <v>0.92599999999999993</v>
      </c>
      <c r="E103" s="42">
        <v>0.91299999999999992</v>
      </c>
      <c r="F103" s="42">
        <v>0.89300000000000002</v>
      </c>
    </row>
    <row r="104" spans="1:6">
      <c r="A104" s="40" t="s">
        <v>109</v>
      </c>
      <c r="B104" s="44">
        <v>11</v>
      </c>
      <c r="C104" s="42">
        <v>0.92599999999999993</v>
      </c>
      <c r="D104" s="42">
        <v>0.93299999999999994</v>
      </c>
      <c r="E104" s="42">
        <v>0.92299999999999993</v>
      </c>
      <c r="F104" s="42">
        <v>0.90400000000000003</v>
      </c>
    </row>
    <row r="105" spans="1:6">
      <c r="A105" s="40" t="s">
        <v>109</v>
      </c>
      <c r="B105" s="44">
        <v>15</v>
      </c>
      <c r="C105" s="42">
        <v>0.93299999999999994</v>
      </c>
      <c r="D105" s="42">
        <v>0.93900000000000006</v>
      </c>
      <c r="E105" s="42">
        <v>0.92900000000000005</v>
      </c>
      <c r="F105" s="42">
        <v>0.91200000000000003</v>
      </c>
    </row>
    <row r="106" spans="1:6">
      <c r="A106" s="40" t="s">
        <v>109</v>
      </c>
      <c r="B106" s="44">
        <v>18.5</v>
      </c>
      <c r="C106" s="42">
        <v>0.93700000000000006</v>
      </c>
      <c r="D106" s="42">
        <v>0.94200000000000006</v>
      </c>
      <c r="E106" s="42">
        <v>0.93400000000000005</v>
      </c>
      <c r="F106" s="42">
        <v>0.91700000000000004</v>
      </c>
    </row>
    <row r="107" spans="1:6">
      <c r="A107" s="40" t="s">
        <v>109</v>
      </c>
      <c r="B107" s="44">
        <v>22</v>
      </c>
      <c r="C107" s="42">
        <v>0.94</v>
      </c>
      <c r="D107" s="42">
        <v>0.94499999999999995</v>
      </c>
      <c r="E107" s="42">
        <v>0.93700000000000006</v>
      </c>
      <c r="F107" s="42">
        <v>0.92099999999999993</v>
      </c>
    </row>
    <row r="108" spans="1:6">
      <c r="A108" s="40" t="s">
        <v>109</v>
      </c>
      <c r="B108" s="44">
        <v>30</v>
      </c>
      <c r="C108" s="42">
        <v>0.94499999999999995</v>
      </c>
      <c r="D108" s="42">
        <v>0.94900000000000007</v>
      </c>
      <c r="E108" s="42">
        <v>0.94200000000000006</v>
      </c>
      <c r="F108" s="42">
        <v>0.92700000000000005</v>
      </c>
    </row>
    <row r="109" spans="1:6">
      <c r="A109" s="40" t="s">
        <v>109</v>
      </c>
      <c r="B109" s="44">
        <v>37</v>
      </c>
      <c r="C109" s="42">
        <v>0.94799999999999995</v>
      </c>
      <c r="D109" s="42">
        <v>0.95200000000000007</v>
      </c>
      <c r="E109" s="42">
        <v>0.94499999999999995</v>
      </c>
      <c r="F109" s="42">
        <v>0.93099999999999994</v>
      </c>
    </row>
    <row r="110" spans="1:6">
      <c r="A110" s="40" t="s">
        <v>109</v>
      </c>
      <c r="B110" s="44">
        <v>45</v>
      </c>
      <c r="C110" s="42">
        <v>0.95</v>
      </c>
      <c r="D110" s="42">
        <v>0.95400000000000007</v>
      </c>
      <c r="E110" s="42">
        <v>0.94799999999999995</v>
      </c>
      <c r="F110" s="42">
        <v>0.93400000000000005</v>
      </c>
    </row>
    <row r="111" spans="1:6">
      <c r="A111" s="40" t="s">
        <v>109</v>
      </c>
      <c r="B111" s="44">
        <v>55</v>
      </c>
      <c r="C111" s="42">
        <v>0.95299999999999996</v>
      </c>
      <c r="D111" s="42">
        <v>0.95700000000000007</v>
      </c>
      <c r="E111" s="42">
        <v>0.95099999999999996</v>
      </c>
      <c r="F111" s="42">
        <v>0.93700000000000006</v>
      </c>
    </row>
    <row r="112" spans="1:6">
      <c r="A112" s="40" t="s">
        <v>109</v>
      </c>
      <c r="B112" s="44">
        <v>75</v>
      </c>
      <c r="C112" s="42">
        <v>0.95599999999999996</v>
      </c>
      <c r="D112" s="42">
        <v>0.96</v>
      </c>
      <c r="E112" s="42">
        <v>0.95400000000000007</v>
      </c>
      <c r="F112" s="42">
        <v>0.94200000000000006</v>
      </c>
    </row>
    <row r="113" spans="1:6">
      <c r="A113" s="40" t="s">
        <v>109</v>
      </c>
      <c r="B113" s="44">
        <v>90</v>
      </c>
      <c r="C113" s="42">
        <v>0.95799999999999996</v>
      </c>
      <c r="D113" s="42">
        <v>0.96099999999999997</v>
      </c>
      <c r="E113" s="42">
        <v>0.95599999999999996</v>
      </c>
      <c r="F113" s="42">
        <v>0.94400000000000006</v>
      </c>
    </row>
    <row r="114" spans="1:6">
      <c r="A114" s="40" t="s">
        <v>109</v>
      </c>
      <c r="B114" s="44">
        <v>110</v>
      </c>
      <c r="C114" s="42">
        <v>0.96</v>
      </c>
      <c r="D114" s="42">
        <v>0.96299999999999997</v>
      </c>
      <c r="E114" s="42">
        <v>0.95799999999999996</v>
      </c>
      <c r="F114" s="42">
        <v>0.94700000000000006</v>
      </c>
    </row>
    <row r="115" spans="1:6">
      <c r="A115" s="40" t="s">
        <v>109</v>
      </c>
      <c r="B115" s="44">
        <v>132</v>
      </c>
      <c r="C115" s="42">
        <v>0.96200000000000008</v>
      </c>
      <c r="D115" s="42">
        <v>0.96400000000000008</v>
      </c>
      <c r="E115" s="42">
        <v>0.96</v>
      </c>
      <c r="F115" s="42">
        <v>0.94900000000000007</v>
      </c>
    </row>
    <row r="116" spans="1:6">
      <c r="A116" s="40" t="s">
        <v>109</v>
      </c>
      <c r="B116" s="44">
        <v>160</v>
      </c>
      <c r="C116" s="42">
        <v>0.96299999999999997</v>
      </c>
      <c r="D116" s="42">
        <v>0.96599999999999997</v>
      </c>
      <c r="E116" s="42">
        <v>0.96200000000000008</v>
      </c>
      <c r="F116" s="42">
        <v>0.95099999999999996</v>
      </c>
    </row>
    <row r="117" spans="1:6">
      <c r="A117" s="40" t="s">
        <v>109</v>
      </c>
      <c r="B117" s="44">
        <v>200</v>
      </c>
      <c r="C117" s="42">
        <v>0.96499999999999997</v>
      </c>
      <c r="D117" s="42">
        <v>0.96700000000000008</v>
      </c>
      <c r="E117" s="42">
        <v>0.96299999999999997</v>
      </c>
      <c r="F117" s="42">
        <v>0.95400000000000007</v>
      </c>
    </row>
    <row r="118" spans="1:6">
      <c r="A118" s="40" t="s">
        <v>109</v>
      </c>
      <c r="B118" s="44">
        <v>250</v>
      </c>
      <c r="C118" s="42">
        <v>0.96499999999999997</v>
      </c>
      <c r="D118" s="42">
        <v>0.96700000000000008</v>
      </c>
      <c r="E118" s="42">
        <v>0.96499999999999997</v>
      </c>
      <c r="F118" s="42">
        <v>0.95400000000000007</v>
      </c>
    </row>
    <row r="119" spans="1:6">
      <c r="A119" s="40" t="s">
        <v>109</v>
      </c>
      <c r="B119" s="44">
        <v>315</v>
      </c>
      <c r="C119" s="45">
        <v>0.96499999999999997</v>
      </c>
      <c r="D119" s="45">
        <v>0.96700000000000008</v>
      </c>
      <c r="E119" s="45">
        <v>0.96599999999999997</v>
      </c>
      <c r="F119" s="45">
        <v>0.95400000000000007</v>
      </c>
    </row>
    <row r="120" spans="1:6">
      <c r="A120" s="40" t="s">
        <v>109</v>
      </c>
      <c r="B120" s="46">
        <v>355</v>
      </c>
      <c r="C120" s="45">
        <v>0.96499999999999997</v>
      </c>
      <c r="D120" s="45">
        <v>0.96700000000000008</v>
      </c>
      <c r="E120" s="45">
        <v>0.96599999999999997</v>
      </c>
      <c r="F120" s="45">
        <v>0.95400000000000007</v>
      </c>
    </row>
    <row r="121" spans="1:6">
      <c r="A121" s="40" t="s">
        <v>109</v>
      </c>
      <c r="B121" s="46">
        <v>375</v>
      </c>
      <c r="C121" s="42">
        <v>0.96499999999999997</v>
      </c>
      <c r="D121" s="42">
        <v>0.96700000000000008</v>
      </c>
      <c r="E121" s="42">
        <v>0.96599999999999997</v>
      </c>
      <c r="F121" s="42">
        <v>0.95400000000000007</v>
      </c>
    </row>
    <row r="122" spans="1:6">
      <c r="A122" s="40" t="s">
        <v>109</v>
      </c>
      <c r="B122" s="44">
        <v>1000</v>
      </c>
      <c r="C122" s="45">
        <v>0.96499999999999997</v>
      </c>
      <c r="D122" s="45">
        <v>0.96700000000000008</v>
      </c>
      <c r="E122" s="45">
        <v>0.96599999999999997</v>
      </c>
      <c r="F122" s="45">
        <v>0.95400000000000007</v>
      </c>
    </row>
  </sheetData>
  <sheetProtection algorithmName="SHA-512" hashValue="voSU4aSAENsnDw/Q5HpoA44e0HqkHyO+9aZSxOLqsx5oFiinP8KnuqSmUXoGqfLSBpvArr8PiVf231z9IQ+bYQ==" saltValue="WHm8Q1E1PWGyMoaSRLt2WQ==" spinCount="100000" sheet="1" objects="1" scenarios="1"/>
  <phoneticPr fontId="3"/>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5410E-6E35-46D0-958B-9BBE0FB53A53}">
  <dimension ref="B2:Q35"/>
  <sheetViews>
    <sheetView topLeftCell="B1" workbookViewId="0">
      <selection activeCell="N4" sqref="N4"/>
    </sheetView>
  </sheetViews>
  <sheetFormatPr defaultRowHeight="18.75"/>
  <cols>
    <col min="1" max="1" width="3" style="40" customWidth="1"/>
    <col min="2" max="4" width="17.5" style="40" customWidth="1"/>
    <col min="5" max="5" width="3" style="40" customWidth="1"/>
    <col min="6" max="8" width="17.5" style="40" customWidth="1"/>
    <col min="9" max="9" width="3" style="40" customWidth="1"/>
    <col min="10" max="10" width="8.125" style="43" customWidth="1"/>
    <col min="11" max="11" width="8.125" style="54" customWidth="1"/>
    <col min="12" max="12" width="1.5" style="54" customWidth="1"/>
    <col min="13" max="14" width="8.125" style="54" customWidth="1"/>
    <col min="15" max="15" width="1.5" style="54" customWidth="1"/>
    <col min="16" max="17" width="8.125" style="54" customWidth="1"/>
    <col min="18" max="16384" width="9" style="40"/>
  </cols>
  <sheetData>
    <row r="2" spans="2:17">
      <c r="B2" s="1144" t="s">
        <v>110</v>
      </c>
      <c r="C2" s="1144"/>
      <c r="D2" s="1144"/>
      <c r="E2" s="47"/>
      <c r="F2" s="1144" t="s">
        <v>111</v>
      </c>
      <c r="G2" s="1144"/>
      <c r="H2" s="1144"/>
      <c r="J2" s="1145" t="s">
        <v>112</v>
      </c>
      <c r="K2" s="1145"/>
      <c r="L2" s="1145"/>
      <c r="M2" s="1145"/>
      <c r="N2" s="1145"/>
      <c r="O2" s="1145"/>
      <c r="P2" s="1145"/>
      <c r="Q2" s="1145"/>
    </row>
    <row r="3" spans="2:17">
      <c r="B3" s="48" t="s">
        <v>113</v>
      </c>
      <c r="C3" s="48" t="s">
        <v>114</v>
      </c>
      <c r="D3" s="48" t="s">
        <v>115</v>
      </c>
      <c r="E3" s="47"/>
      <c r="F3" s="48" t="s">
        <v>116</v>
      </c>
      <c r="G3" s="48" t="s">
        <v>114</v>
      </c>
      <c r="H3" s="48" t="s">
        <v>115</v>
      </c>
      <c r="J3" s="48" t="s">
        <v>19</v>
      </c>
      <c r="K3" s="49" t="s">
        <v>117</v>
      </c>
      <c r="L3" s="50"/>
      <c r="M3" s="49" t="s">
        <v>19</v>
      </c>
      <c r="N3" s="49" t="s">
        <v>117</v>
      </c>
      <c r="O3" s="50"/>
      <c r="P3" s="49" t="s">
        <v>19</v>
      </c>
      <c r="Q3" s="49" t="s">
        <v>117</v>
      </c>
    </row>
    <row r="4" spans="2:17">
      <c r="B4" s="51" t="s">
        <v>118</v>
      </c>
      <c r="C4" s="51" t="s">
        <v>119</v>
      </c>
      <c r="D4" s="51" t="s">
        <v>120</v>
      </c>
      <c r="E4" s="47"/>
      <c r="F4" s="51" t="s">
        <v>121</v>
      </c>
      <c r="G4" s="51" t="s">
        <v>122</v>
      </c>
      <c r="H4" s="51" t="s">
        <v>123</v>
      </c>
      <c r="J4" s="52">
        <v>1</v>
      </c>
      <c r="K4" s="53">
        <v>900</v>
      </c>
      <c r="M4" s="53">
        <v>10.6</v>
      </c>
      <c r="N4" s="53">
        <v>9500</v>
      </c>
      <c r="P4" s="53">
        <v>67</v>
      </c>
      <c r="Q4" s="53">
        <v>60000</v>
      </c>
    </row>
    <row r="5" spans="2:17">
      <c r="B5" s="51" t="s">
        <v>124</v>
      </c>
      <c r="C5" s="51" t="s">
        <v>125</v>
      </c>
      <c r="D5" s="51" t="s">
        <v>126</v>
      </c>
      <c r="E5" s="47"/>
      <c r="F5" s="51" t="s">
        <v>127</v>
      </c>
      <c r="G5" s="51" t="s">
        <v>128</v>
      </c>
      <c r="H5" s="51" t="s">
        <v>129</v>
      </c>
      <c r="J5" s="52">
        <v>1.1000000000000001</v>
      </c>
      <c r="K5" s="53">
        <v>1000</v>
      </c>
      <c r="M5" s="53">
        <v>11.2</v>
      </c>
      <c r="N5" s="53">
        <v>10000</v>
      </c>
      <c r="P5" s="53">
        <v>71</v>
      </c>
      <c r="Q5" s="53">
        <v>63000</v>
      </c>
    </row>
    <row r="6" spans="2:17">
      <c r="B6" s="51" t="s">
        <v>127</v>
      </c>
      <c r="C6" s="51" t="s">
        <v>128</v>
      </c>
      <c r="D6" s="51" t="s">
        <v>130</v>
      </c>
      <c r="E6" s="47"/>
      <c r="F6" s="51" t="s">
        <v>131</v>
      </c>
      <c r="G6" s="51" t="s">
        <v>132</v>
      </c>
      <c r="H6" s="51" t="s">
        <v>133</v>
      </c>
      <c r="J6" s="52">
        <v>1.2</v>
      </c>
      <c r="K6" s="53">
        <v>1120</v>
      </c>
      <c r="M6" s="53">
        <v>11.8</v>
      </c>
      <c r="N6" s="53">
        <v>10600</v>
      </c>
      <c r="P6" s="53">
        <v>75</v>
      </c>
      <c r="Q6" s="53">
        <v>67000</v>
      </c>
    </row>
    <row r="7" spans="2:17">
      <c r="B7" s="51" t="s">
        <v>134</v>
      </c>
      <c r="C7" s="51" t="s">
        <v>135</v>
      </c>
      <c r="D7" s="51" t="s">
        <v>133</v>
      </c>
      <c r="E7" s="47"/>
      <c r="F7" s="51" t="s">
        <v>136</v>
      </c>
      <c r="G7" s="51" t="s">
        <v>137</v>
      </c>
      <c r="H7" s="51" t="s">
        <v>138</v>
      </c>
      <c r="J7" s="52">
        <v>1.4</v>
      </c>
      <c r="K7" s="53">
        <v>1250</v>
      </c>
      <c r="M7" s="53">
        <v>12.5</v>
      </c>
      <c r="N7" s="53">
        <v>11200</v>
      </c>
      <c r="P7" s="53">
        <v>80</v>
      </c>
      <c r="Q7" s="53">
        <v>71000</v>
      </c>
    </row>
    <row r="8" spans="2:17">
      <c r="B8" s="51" t="s">
        <v>131</v>
      </c>
      <c r="C8" s="51" t="s">
        <v>132</v>
      </c>
      <c r="D8" s="51" t="s">
        <v>138</v>
      </c>
      <c r="E8" s="47"/>
      <c r="F8" s="51" t="s">
        <v>139</v>
      </c>
      <c r="G8" s="51" t="s">
        <v>140</v>
      </c>
      <c r="H8" s="51" t="s">
        <v>141</v>
      </c>
      <c r="J8" s="52">
        <v>1.6</v>
      </c>
      <c r="K8" s="53">
        <v>1400</v>
      </c>
      <c r="M8" s="53">
        <v>13.2</v>
      </c>
      <c r="N8" s="53">
        <v>11800</v>
      </c>
      <c r="P8" s="53">
        <v>85</v>
      </c>
      <c r="Q8" s="53">
        <v>75000</v>
      </c>
    </row>
    <row r="9" spans="2:17">
      <c r="B9" s="51" t="s">
        <v>142</v>
      </c>
      <c r="C9" s="51" t="s">
        <v>143</v>
      </c>
      <c r="D9" s="51" t="s">
        <v>141</v>
      </c>
      <c r="E9" s="47"/>
      <c r="F9" s="51" t="s">
        <v>144</v>
      </c>
      <c r="G9" s="51" t="s">
        <v>145</v>
      </c>
      <c r="H9" s="51" t="s">
        <v>146</v>
      </c>
      <c r="J9" s="52">
        <v>1.8</v>
      </c>
      <c r="K9" s="53">
        <v>1600</v>
      </c>
      <c r="M9" s="53">
        <v>14</v>
      </c>
      <c r="N9" s="53">
        <v>12500</v>
      </c>
      <c r="P9" s="53">
        <v>90</v>
      </c>
      <c r="Q9" s="53">
        <v>80000</v>
      </c>
    </row>
    <row r="10" spans="2:17">
      <c r="B10" s="51" t="s">
        <v>136</v>
      </c>
      <c r="C10" s="51" t="s">
        <v>137</v>
      </c>
      <c r="D10" s="51" t="s">
        <v>147</v>
      </c>
      <c r="E10" s="47"/>
      <c r="F10" s="51" t="s">
        <v>148</v>
      </c>
      <c r="G10" s="51" t="s">
        <v>149</v>
      </c>
      <c r="H10" s="51" t="s">
        <v>150</v>
      </c>
      <c r="J10" s="52">
        <v>2</v>
      </c>
      <c r="K10" s="53">
        <v>1800</v>
      </c>
      <c r="M10" s="53">
        <v>15</v>
      </c>
      <c r="N10" s="53">
        <v>13200</v>
      </c>
      <c r="P10" s="53">
        <v>95</v>
      </c>
      <c r="Q10" s="53">
        <v>85000</v>
      </c>
    </row>
    <row r="11" spans="2:17">
      <c r="B11" s="51" t="s">
        <v>139</v>
      </c>
      <c r="C11" s="51" t="s">
        <v>140</v>
      </c>
      <c r="D11" s="51" t="s">
        <v>146</v>
      </c>
      <c r="E11" s="47"/>
      <c r="F11" s="51" t="s">
        <v>151</v>
      </c>
      <c r="G11" s="51" t="s">
        <v>152</v>
      </c>
      <c r="H11" s="51" t="s">
        <v>153</v>
      </c>
      <c r="J11" s="52">
        <v>2.2000000000000002</v>
      </c>
      <c r="K11" s="53">
        <v>2000</v>
      </c>
      <c r="M11" s="53">
        <v>16</v>
      </c>
      <c r="N11" s="53">
        <v>14000</v>
      </c>
      <c r="P11" s="53">
        <v>100</v>
      </c>
      <c r="Q11" s="53">
        <v>90000</v>
      </c>
    </row>
    <row r="12" spans="2:17">
      <c r="B12" s="51" t="s">
        <v>154</v>
      </c>
      <c r="C12" s="51" t="s">
        <v>155</v>
      </c>
      <c r="D12" s="51" t="s">
        <v>156</v>
      </c>
      <c r="E12" s="47"/>
      <c r="F12" s="51" t="s">
        <v>157</v>
      </c>
      <c r="G12" s="51" t="s">
        <v>158</v>
      </c>
      <c r="H12" s="51" t="s">
        <v>159</v>
      </c>
      <c r="J12" s="52">
        <v>2.5</v>
      </c>
      <c r="K12" s="53">
        <v>2240</v>
      </c>
      <c r="M12" s="53">
        <v>17</v>
      </c>
      <c r="N12" s="53">
        <v>15000</v>
      </c>
      <c r="P12" s="53">
        <v>106</v>
      </c>
      <c r="Q12" s="53">
        <v>95000</v>
      </c>
    </row>
    <row r="13" spans="2:17">
      <c r="B13" s="51" t="s">
        <v>144</v>
      </c>
      <c r="C13" s="51" t="s">
        <v>145</v>
      </c>
      <c r="D13" s="51" t="s">
        <v>150</v>
      </c>
      <c r="E13" s="47"/>
      <c r="F13" s="51" t="s">
        <v>160</v>
      </c>
      <c r="G13" s="51" t="s">
        <v>161</v>
      </c>
      <c r="H13" s="51" t="s">
        <v>162</v>
      </c>
      <c r="J13" s="52">
        <v>2.8</v>
      </c>
      <c r="K13" s="53">
        <v>2500</v>
      </c>
      <c r="M13" s="53">
        <v>18</v>
      </c>
      <c r="N13" s="53">
        <v>16000</v>
      </c>
      <c r="P13" s="53">
        <v>112</v>
      </c>
      <c r="Q13" s="53">
        <v>100000</v>
      </c>
    </row>
    <row r="14" spans="2:17">
      <c r="B14" s="51" t="s">
        <v>163</v>
      </c>
      <c r="C14" s="51" t="s">
        <v>164</v>
      </c>
      <c r="D14" s="51" t="s">
        <v>165</v>
      </c>
      <c r="E14" s="47"/>
      <c r="F14" s="51" t="s">
        <v>166</v>
      </c>
      <c r="G14" s="51" t="s">
        <v>167</v>
      </c>
      <c r="H14" s="51" t="s">
        <v>168</v>
      </c>
      <c r="J14" s="52">
        <v>3</v>
      </c>
      <c r="K14" s="53">
        <v>2650</v>
      </c>
      <c r="M14" s="53">
        <v>19</v>
      </c>
      <c r="N14" s="53">
        <v>17000</v>
      </c>
      <c r="P14" s="53">
        <v>118</v>
      </c>
      <c r="Q14" s="53">
        <v>106000</v>
      </c>
    </row>
    <row r="15" spans="2:17">
      <c r="B15" s="51" t="s">
        <v>169</v>
      </c>
      <c r="C15" s="51" t="s">
        <v>170</v>
      </c>
      <c r="D15" s="51" t="s">
        <v>153</v>
      </c>
      <c r="E15" s="47"/>
      <c r="F15" s="51" t="s">
        <v>171</v>
      </c>
      <c r="G15" s="51" t="s">
        <v>172</v>
      </c>
      <c r="H15" s="51" t="s">
        <v>173</v>
      </c>
      <c r="J15" s="52">
        <v>3.2</v>
      </c>
      <c r="K15" s="53">
        <v>2800</v>
      </c>
      <c r="M15" s="53">
        <v>20</v>
      </c>
      <c r="N15" s="53">
        <v>18000</v>
      </c>
      <c r="P15" s="53">
        <v>125</v>
      </c>
      <c r="Q15" s="53">
        <v>112000</v>
      </c>
    </row>
    <row r="16" spans="2:17">
      <c r="B16" s="51" t="s">
        <v>174</v>
      </c>
      <c r="C16" s="51" t="s">
        <v>175</v>
      </c>
      <c r="D16" s="51" t="s">
        <v>159</v>
      </c>
      <c r="E16" s="47"/>
      <c r="F16" s="51" t="s">
        <v>176</v>
      </c>
      <c r="G16" s="51" t="s">
        <v>177</v>
      </c>
      <c r="H16" s="51" t="s">
        <v>178</v>
      </c>
      <c r="J16" s="52">
        <v>3.4</v>
      </c>
      <c r="K16" s="53">
        <v>3000</v>
      </c>
      <c r="M16" s="53">
        <v>21.2</v>
      </c>
      <c r="N16" s="53">
        <v>19000</v>
      </c>
      <c r="P16" s="53">
        <v>132</v>
      </c>
      <c r="Q16" s="53">
        <v>118000</v>
      </c>
    </row>
    <row r="17" spans="2:17">
      <c r="B17" s="51" t="s">
        <v>157</v>
      </c>
      <c r="C17" s="51" t="s">
        <v>158</v>
      </c>
      <c r="D17" s="51" t="s">
        <v>179</v>
      </c>
      <c r="E17" s="47"/>
      <c r="F17" s="51" t="s">
        <v>180</v>
      </c>
      <c r="G17" s="51" t="s">
        <v>181</v>
      </c>
      <c r="H17" s="51" t="s">
        <v>182</v>
      </c>
      <c r="J17" s="52">
        <v>3.6</v>
      </c>
      <c r="K17" s="53">
        <v>3150</v>
      </c>
      <c r="M17" s="53">
        <v>22.4</v>
      </c>
      <c r="N17" s="53">
        <v>20000</v>
      </c>
      <c r="P17" s="53">
        <v>140</v>
      </c>
      <c r="Q17" s="53">
        <v>125000</v>
      </c>
    </row>
    <row r="18" spans="2:17">
      <c r="B18" s="51" t="s">
        <v>183</v>
      </c>
      <c r="C18" s="51" t="s">
        <v>184</v>
      </c>
      <c r="D18" s="51" t="s">
        <v>185</v>
      </c>
      <c r="E18" s="47"/>
      <c r="F18" s="51" t="s">
        <v>186</v>
      </c>
      <c r="G18" s="51" t="s">
        <v>187</v>
      </c>
      <c r="H18" s="51" t="s">
        <v>188</v>
      </c>
      <c r="J18" s="52">
        <v>3.8</v>
      </c>
      <c r="K18" s="53">
        <v>3350</v>
      </c>
      <c r="M18" s="53">
        <v>23.6</v>
      </c>
      <c r="N18" s="53">
        <v>21200</v>
      </c>
      <c r="P18" s="53">
        <v>150</v>
      </c>
      <c r="Q18" s="53">
        <v>132000</v>
      </c>
    </row>
    <row r="19" spans="2:17">
      <c r="B19" s="51" t="s">
        <v>189</v>
      </c>
      <c r="C19" s="51" t="s">
        <v>190</v>
      </c>
      <c r="D19" s="51" t="s">
        <v>162</v>
      </c>
      <c r="E19" s="47"/>
      <c r="F19" s="51" t="s">
        <v>191</v>
      </c>
      <c r="G19" s="51" t="s">
        <v>192</v>
      </c>
      <c r="H19" s="51" t="s">
        <v>193</v>
      </c>
      <c r="J19" s="52">
        <v>4</v>
      </c>
      <c r="K19" s="53">
        <v>3550</v>
      </c>
      <c r="M19" s="53">
        <v>25</v>
      </c>
      <c r="N19" s="53">
        <v>22400</v>
      </c>
      <c r="P19" s="53">
        <v>160</v>
      </c>
      <c r="Q19" s="53">
        <v>140000</v>
      </c>
    </row>
    <row r="20" spans="2:17">
      <c r="B20" s="51" t="s">
        <v>194</v>
      </c>
      <c r="C20" s="51" t="s">
        <v>195</v>
      </c>
      <c r="D20" s="51" t="s">
        <v>168</v>
      </c>
      <c r="E20" s="47"/>
      <c r="F20" s="51" t="s">
        <v>196</v>
      </c>
      <c r="G20" s="51" t="s">
        <v>197</v>
      </c>
      <c r="H20" s="51" t="s">
        <v>198</v>
      </c>
      <c r="J20" s="52">
        <v>4.2</v>
      </c>
      <c r="K20" s="53">
        <v>3750</v>
      </c>
      <c r="M20" s="53">
        <v>26.5</v>
      </c>
      <c r="N20" s="53">
        <v>23600</v>
      </c>
      <c r="P20" s="53">
        <v>170</v>
      </c>
      <c r="Q20" s="53">
        <v>150000</v>
      </c>
    </row>
    <row r="21" spans="2:17">
      <c r="B21" s="51" t="s">
        <v>199</v>
      </c>
      <c r="C21" s="51" t="s">
        <v>200</v>
      </c>
      <c r="D21" s="51" t="s">
        <v>201</v>
      </c>
      <c r="E21" s="47"/>
      <c r="F21" s="51" t="s">
        <v>202</v>
      </c>
      <c r="G21" s="51" t="s">
        <v>203</v>
      </c>
      <c r="H21" s="51" t="s">
        <v>204</v>
      </c>
      <c r="J21" s="52">
        <v>4.5</v>
      </c>
      <c r="K21" s="53">
        <v>4000</v>
      </c>
      <c r="M21" s="53">
        <v>28</v>
      </c>
      <c r="N21" s="53">
        <v>25000</v>
      </c>
      <c r="P21" s="53">
        <v>180</v>
      </c>
      <c r="Q21" s="53">
        <v>160000</v>
      </c>
    </row>
    <row r="22" spans="2:17">
      <c r="B22" s="51" t="s">
        <v>205</v>
      </c>
      <c r="C22" s="51" t="s">
        <v>206</v>
      </c>
      <c r="D22" s="51" t="s">
        <v>173</v>
      </c>
      <c r="E22" s="47"/>
      <c r="F22" s="51" t="s">
        <v>207</v>
      </c>
      <c r="G22" s="51" t="s">
        <v>208</v>
      </c>
      <c r="H22" s="51" t="s">
        <v>209</v>
      </c>
      <c r="J22" s="52">
        <v>4.8</v>
      </c>
      <c r="K22" s="53">
        <v>4250</v>
      </c>
      <c r="M22" s="53">
        <v>30</v>
      </c>
      <c r="N22" s="53">
        <v>26500</v>
      </c>
      <c r="P22" s="53">
        <v>190</v>
      </c>
      <c r="Q22" s="53">
        <v>170000</v>
      </c>
    </row>
    <row r="23" spans="2:17">
      <c r="B23" s="51" t="s">
        <v>210</v>
      </c>
      <c r="C23" s="51" t="s">
        <v>211</v>
      </c>
      <c r="D23" s="51" t="s">
        <v>212</v>
      </c>
      <c r="E23" s="47"/>
      <c r="F23" s="51" t="s">
        <v>213</v>
      </c>
      <c r="G23" s="51" t="s">
        <v>214</v>
      </c>
      <c r="H23" s="51" t="s">
        <v>215</v>
      </c>
      <c r="J23" s="52">
        <v>5</v>
      </c>
      <c r="K23" s="53">
        <v>4500</v>
      </c>
      <c r="M23" s="53">
        <v>31.5</v>
      </c>
      <c r="N23" s="53">
        <v>28000</v>
      </c>
      <c r="P23" s="53">
        <v>200</v>
      </c>
      <c r="Q23" s="53">
        <v>180000</v>
      </c>
    </row>
    <row r="24" spans="2:17">
      <c r="B24" s="51" t="s">
        <v>216</v>
      </c>
      <c r="C24" s="51" t="s">
        <v>217</v>
      </c>
      <c r="D24" s="51" t="s">
        <v>178</v>
      </c>
      <c r="E24" s="47"/>
      <c r="F24" s="51" t="s">
        <v>218</v>
      </c>
      <c r="G24" s="51" t="s">
        <v>219</v>
      </c>
      <c r="H24" s="51" t="s">
        <v>220</v>
      </c>
      <c r="J24" s="52">
        <v>5.3</v>
      </c>
      <c r="K24" s="53">
        <v>4750</v>
      </c>
      <c r="M24" s="53">
        <v>33.5</v>
      </c>
      <c r="N24" s="53">
        <v>30000</v>
      </c>
      <c r="P24" s="53">
        <v>212</v>
      </c>
      <c r="Q24" s="53">
        <v>190000</v>
      </c>
    </row>
    <row r="25" spans="2:17">
      <c r="B25" s="51" t="s">
        <v>176</v>
      </c>
      <c r="C25" s="51" t="s">
        <v>177</v>
      </c>
      <c r="D25" s="51" t="s">
        <v>182</v>
      </c>
      <c r="E25" s="47"/>
      <c r="F25" s="47"/>
      <c r="G25" s="47"/>
      <c r="H25" s="47"/>
      <c r="J25" s="52">
        <v>5.6</v>
      </c>
      <c r="K25" s="53">
        <v>5000</v>
      </c>
      <c r="M25" s="53">
        <v>35.5</v>
      </c>
      <c r="N25" s="53">
        <v>31500</v>
      </c>
      <c r="P25" s="53">
        <v>224</v>
      </c>
      <c r="Q25" s="53">
        <v>200000</v>
      </c>
    </row>
    <row r="26" spans="2:17">
      <c r="B26" s="51" t="s">
        <v>180</v>
      </c>
      <c r="C26" s="51" t="s">
        <v>181</v>
      </c>
      <c r="D26" s="51" t="s">
        <v>188</v>
      </c>
      <c r="E26" s="47"/>
      <c r="F26" s="47"/>
      <c r="G26" s="47"/>
      <c r="H26" s="47"/>
      <c r="J26" s="52">
        <v>6</v>
      </c>
      <c r="K26" s="53">
        <v>5300</v>
      </c>
      <c r="M26" s="53">
        <v>37.5</v>
      </c>
      <c r="N26" s="53">
        <v>33500</v>
      </c>
      <c r="P26" s="53">
        <v>236</v>
      </c>
      <c r="Q26" s="53">
        <v>212000</v>
      </c>
    </row>
    <row r="27" spans="2:17">
      <c r="B27" s="51" t="s">
        <v>221</v>
      </c>
      <c r="C27" s="51" t="s">
        <v>222</v>
      </c>
      <c r="D27" s="51" t="s">
        <v>193</v>
      </c>
      <c r="E27" s="47"/>
      <c r="F27" s="47"/>
      <c r="G27" s="47"/>
      <c r="H27" s="47"/>
      <c r="J27" s="52">
        <v>6.3</v>
      </c>
      <c r="K27" s="53">
        <v>5600</v>
      </c>
      <c r="M27" s="53">
        <v>40</v>
      </c>
      <c r="N27" s="53">
        <v>35500</v>
      </c>
      <c r="P27" s="53">
        <v>250</v>
      </c>
      <c r="Q27" s="53">
        <v>224000</v>
      </c>
    </row>
    <row r="28" spans="2:17">
      <c r="B28" s="51" t="s">
        <v>223</v>
      </c>
      <c r="C28" s="51" t="s">
        <v>224</v>
      </c>
      <c r="D28" s="51" t="s">
        <v>198</v>
      </c>
      <c r="E28" s="47"/>
      <c r="F28" s="47"/>
      <c r="G28" s="47"/>
      <c r="H28" s="47"/>
      <c r="J28" s="52">
        <v>6.7</v>
      </c>
      <c r="K28" s="53">
        <v>6000</v>
      </c>
      <c r="M28" s="53">
        <v>42.5</v>
      </c>
      <c r="N28" s="53">
        <v>37500</v>
      </c>
      <c r="P28" s="53">
        <v>265</v>
      </c>
      <c r="Q28" s="53">
        <v>236000</v>
      </c>
    </row>
    <row r="29" spans="2:17">
      <c r="B29" s="51" t="s">
        <v>196</v>
      </c>
      <c r="C29" s="51" t="s">
        <v>197</v>
      </c>
      <c r="D29" s="51" t="s">
        <v>204</v>
      </c>
      <c r="E29" s="47"/>
      <c r="F29" s="47"/>
      <c r="G29" s="47"/>
      <c r="H29" s="47"/>
      <c r="J29" s="52">
        <v>7.1</v>
      </c>
      <c r="K29" s="53">
        <v>6300</v>
      </c>
      <c r="M29" s="53">
        <v>45</v>
      </c>
      <c r="N29" s="53">
        <v>40000</v>
      </c>
      <c r="P29" s="53">
        <v>280</v>
      </c>
      <c r="Q29" s="53">
        <v>250000</v>
      </c>
    </row>
    <row r="30" spans="2:17">
      <c r="B30" s="51" t="s">
        <v>225</v>
      </c>
      <c r="C30" s="51" t="s">
        <v>226</v>
      </c>
      <c r="D30" s="51" t="s">
        <v>209</v>
      </c>
      <c r="E30" s="47"/>
      <c r="F30" s="47"/>
      <c r="G30" s="47"/>
      <c r="H30" s="47"/>
      <c r="J30" s="52">
        <v>7.5</v>
      </c>
      <c r="K30" s="53">
        <v>6700</v>
      </c>
      <c r="M30" s="53">
        <v>47.5</v>
      </c>
      <c r="N30" s="53">
        <v>42500</v>
      </c>
      <c r="P30" s="53">
        <v>300</v>
      </c>
      <c r="Q30" s="53">
        <v>265000</v>
      </c>
    </row>
    <row r="31" spans="2:17">
      <c r="B31" s="51" t="s">
        <v>227</v>
      </c>
      <c r="C31" s="51" t="s">
        <v>228</v>
      </c>
      <c r="D31" s="51" t="s">
        <v>215</v>
      </c>
      <c r="E31" s="47"/>
      <c r="F31" s="47"/>
      <c r="G31" s="47"/>
      <c r="H31" s="47"/>
      <c r="J31" s="52">
        <v>8</v>
      </c>
      <c r="K31" s="53">
        <v>7100</v>
      </c>
      <c r="M31" s="53">
        <v>50</v>
      </c>
      <c r="N31" s="53">
        <v>45000</v>
      </c>
      <c r="P31" s="53">
        <v>315</v>
      </c>
      <c r="Q31" s="53">
        <v>280000</v>
      </c>
    </row>
    <row r="32" spans="2:17">
      <c r="B32" s="51" t="s">
        <v>213</v>
      </c>
      <c r="C32" s="51" t="s">
        <v>214</v>
      </c>
      <c r="D32" s="51" t="s">
        <v>220</v>
      </c>
      <c r="E32" s="47"/>
      <c r="F32" s="47"/>
      <c r="G32" s="47"/>
      <c r="H32" s="47"/>
      <c r="J32" s="52">
        <v>8.5</v>
      </c>
      <c r="K32" s="53">
        <v>7500</v>
      </c>
      <c r="M32" s="53">
        <v>53</v>
      </c>
      <c r="N32" s="53">
        <v>47500</v>
      </c>
      <c r="P32" s="53">
        <v>335</v>
      </c>
      <c r="Q32" s="53">
        <v>300000</v>
      </c>
    </row>
    <row r="33" spans="10:17">
      <c r="J33" s="52">
        <v>9</v>
      </c>
      <c r="K33" s="53">
        <v>8000</v>
      </c>
      <c r="M33" s="53">
        <v>56</v>
      </c>
      <c r="N33" s="53">
        <v>50000</v>
      </c>
      <c r="P33" s="53">
        <v>355</v>
      </c>
      <c r="Q33" s="53">
        <v>315000</v>
      </c>
    </row>
    <row r="34" spans="10:17">
      <c r="J34" s="52">
        <v>9.5</v>
      </c>
      <c r="K34" s="53">
        <v>8500</v>
      </c>
      <c r="M34" s="53">
        <v>60</v>
      </c>
      <c r="N34" s="53">
        <v>53000</v>
      </c>
      <c r="P34" s="53">
        <v>375</v>
      </c>
      <c r="Q34" s="53">
        <v>335000</v>
      </c>
    </row>
    <row r="35" spans="10:17">
      <c r="J35" s="52">
        <v>10</v>
      </c>
      <c r="K35" s="53">
        <v>9000</v>
      </c>
      <c r="L35" s="55"/>
      <c r="M35" s="53">
        <v>63</v>
      </c>
      <c r="N35" s="53">
        <v>56000</v>
      </c>
      <c r="O35" s="55"/>
      <c r="P35" s="53">
        <v>400</v>
      </c>
      <c r="Q35" s="53">
        <v>355000</v>
      </c>
    </row>
  </sheetData>
  <mergeCells count="3">
    <mergeCell ref="B2:D2"/>
    <mergeCell ref="F2:H2"/>
    <mergeCell ref="J2:Q2"/>
  </mergeCells>
  <phoneticPr fontId="3"/>
  <pageMargins left="0.7" right="0.7" top="0.75" bottom="0.75" header="0.3" footer="0.3"/>
  <pageSetup paperSize="9" orientation="portrait"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8CF59-8360-488F-A86C-F7D1F5814B4A}">
  <dimension ref="A1:I54"/>
  <sheetViews>
    <sheetView topLeftCell="A16" workbookViewId="0"/>
  </sheetViews>
  <sheetFormatPr defaultRowHeight="13.5"/>
  <cols>
    <col min="4" max="5" width="7.625" customWidth="1"/>
  </cols>
  <sheetData>
    <row r="1" spans="1:9">
      <c r="A1" t="s">
        <v>247</v>
      </c>
    </row>
    <row r="16" spans="1:9">
      <c r="A16" s="58" t="s">
        <v>233</v>
      </c>
      <c r="B16" s="58"/>
      <c r="C16" s="58"/>
      <c r="D16" s="58"/>
      <c r="E16" s="58"/>
      <c r="F16" s="58"/>
      <c r="G16" s="58"/>
      <c r="H16" s="58"/>
      <c r="I16" s="57"/>
    </row>
    <row r="18" spans="1:6">
      <c r="A18" t="s">
        <v>234</v>
      </c>
    </row>
    <row r="19" spans="1:6">
      <c r="A19" t="s">
        <v>235</v>
      </c>
    </row>
    <row r="21" spans="1:6">
      <c r="A21" t="s">
        <v>262</v>
      </c>
    </row>
    <row r="22" spans="1:6">
      <c r="A22" t="s">
        <v>261</v>
      </c>
    </row>
    <row r="23" spans="1:6">
      <c r="A23" t="s">
        <v>236</v>
      </c>
    </row>
    <row r="24" spans="1:6">
      <c r="A24" s="1146" t="s">
        <v>237</v>
      </c>
      <c r="B24" s="1146"/>
      <c r="C24" s="1146" t="s">
        <v>238</v>
      </c>
      <c r="D24" s="1146"/>
      <c r="E24" s="1146" t="s">
        <v>239</v>
      </c>
      <c r="F24" s="1146"/>
    </row>
    <row r="25" spans="1:6">
      <c r="A25" s="1146" t="s">
        <v>240</v>
      </c>
      <c r="B25" s="1146"/>
      <c r="C25" s="1146">
        <v>2</v>
      </c>
      <c r="D25" s="1146"/>
      <c r="E25" s="1146">
        <v>50</v>
      </c>
      <c r="F25" s="1146"/>
    </row>
    <row r="26" spans="1:6">
      <c r="A26" s="1146" t="s">
        <v>241</v>
      </c>
      <c r="B26" s="1146"/>
      <c r="C26" s="1146">
        <v>2</v>
      </c>
      <c r="D26" s="1146"/>
      <c r="E26" s="1146">
        <v>80</v>
      </c>
      <c r="F26" s="1146"/>
    </row>
    <row r="27" spans="1:6">
      <c r="A27" s="1146" t="s">
        <v>242</v>
      </c>
      <c r="B27" s="1146"/>
      <c r="C27" s="1146">
        <v>1</v>
      </c>
      <c r="D27" s="1146"/>
      <c r="E27" s="1146">
        <v>50</v>
      </c>
      <c r="F27" s="1146"/>
    </row>
    <row r="28" spans="1:6">
      <c r="A28" s="1146" t="s">
        <v>243</v>
      </c>
      <c r="B28" s="1146"/>
      <c r="C28" s="1146">
        <v>2</v>
      </c>
      <c r="D28" s="1146"/>
      <c r="E28" s="1146">
        <v>80</v>
      </c>
      <c r="F28" s="1146"/>
    </row>
    <row r="29" spans="1:6">
      <c r="A29" s="1146" t="s">
        <v>244</v>
      </c>
      <c r="B29" s="1146"/>
      <c r="C29" s="1146">
        <v>4</v>
      </c>
      <c r="D29" s="1146"/>
      <c r="E29" s="1146">
        <v>50</v>
      </c>
      <c r="F29" s="1146"/>
    </row>
    <row r="30" spans="1:6">
      <c r="A30" s="1146" t="s">
        <v>245</v>
      </c>
      <c r="B30" s="1146"/>
      <c r="C30" s="1146">
        <v>11</v>
      </c>
      <c r="D30" s="1146"/>
      <c r="E30" s="1146" t="s">
        <v>246</v>
      </c>
      <c r="F30" s="1146"/>
    </row>
    <row r="32" spans="1:6">
      <c r="A32" t="s">
        <v>248</v>
      </c>
    </row>
    <row r="33" spans="1:7">
      <c r="A33" s="59" t="s">
        <v>249</v>
      </c>
      <c r="B33" s="59" t="s">
        <v>250</v>
      </c>
      <c r="C33" s="1146" t="s">
        <v>251</v>
      </c>
      <c r="D33" s="1146"/>
      <c r="E33" s="1146"/>
      <c r="F33" s="1146"/>
      <c r="G33" s="1146"/>
    </row>
    <row r="34" spans="1:7">
      <c r="A34" s="60" t="s">
        <v>252</v>
      </c>
      <c r="B34" s="59" t="s">
        <v>253</v>
      </c>
      <c r="C34" s="1146" t="s">
        <v>255</v>
      </c>
      <c r="D34" s="1146"/>
      <c r="E34" s="1146" t="s">
        <v>256</v>
      </c>
      <c r="F34" s="1146"/>
      <c r="G34" s="59" t="s">
        <v>257</v>
      </c>
    </row>
    <row r="35" spans="1:7">
      <c r="A35" s="60">
        <v>100</v>
      </c>
      <c r="B35" s="60">
        <v>120</v>
      </c>
      <c r="C35" s="1146"/>
      <c r="D35" s="1146"/>
      <c r="E35" s="1146"/>
      <c r="F35" s="1146"/>
      <c r="G35" s="59"/>
    </row>
    <row r="36" spans="1:7">
      <c r="A36" s="60">
        <v>80</v>
      </c>
      <c r="B36" s="60">
        <v>9.6</v>
      </c>
      <c r="C36" s="1146" t="s">
        <v>254</v>
      </c>
      <c r="D36" s="1146"/>
      <c r="E36" s="1146" t="s">
        <v>254</v>
      </c>
      <c r="F36" s="1146"/>
      <c r="G36" s="59">
        <v>303.8</v>
      </c>
    </row>
    <row r="37" spans="1:7">
      <c r="A37" s="60">
        <v>75</v>
      </c>
      <c r="B37" s="61">
        <v>9</v>
      </c>
      <c r="C37" s="1146"/>
      <c r="D37" s="1146"/>
      <c r="E37" s="1146"/>
      <c r="F37" s="1146"/>
      <c r="G37" s="59"/>
    </row>
    <row r="38" spans="1:7">
      <c r="A38" s="60">
        <v>70</v>
      </c>
      <c r="B38" s="60">
        <v>8.4</v>
      </c>
      <c r="C38" s="1146"/>
      <c r="D38" s="1146"/>
      <c r="E38" s="1146"/>
      <c r="F38" s="1146"/>
      <c r="G38" s="59"/>
    </row>
    <row r="39" spans="1:7">
      <c r="A39" s="60">
        <v>60</v>
      </c>
      <c r="B39" s="60">
        <v>7.2</v>
      </c>
      <c r="C39" s="1146"/>
      <c r="D39" s="1146"/>
      <c r="E39" s="1146"/>
      <c r="F39" s="1146"/>
      <c r="G39" s="59"/>
    </row>
    <row r="40" spans="1:7">
      <c r="A40" s="60">
        <v>55</v>
      </c>
      <c r="B40" s="60">
        <v>6.6</v>
      </c>
      <c r="C40" s="1146"/>
      <c r="D40" s="1146"/>
      <c r="E40" s="1146"/>
      <c r="F40" s="1146"/>
      <c r="G40" s="59"/>
    </row>
    <row r="41" spans="1:7">
      <c r="A41" s="60">
        <v>50</v>
      </c>
      <c r="B41" s="61">
        <v>6</v>
      </c>
      <c r="C41" s="1146"/>
      <c r="D41" s="1146"/>
      <c r="E41" s="1146"/>
      <c r="F41" s="1146"/>
      <c r="G41" s="59"/>
    </row>
    <row r="42" spans="1:7">
      <c r="A42" s="59" t="s">
        <v>245</v>
      </c>
      <c r="B42" s="59"/>
      <c r="C42" s="1146"/>
      <c r="D42" s="1146"/>
      <c r="E42" s="1146"/>
      <c r="F42" s="1146"/>
      <c r="G42" s="59"/>
    </row>
    <row r="44" spans="1:7">
      <c r="A44" t="s">
        <v>260</v>
      </c>
    </row>
    <row r="45" spans="1:7">
      <c r="A45" s="59" t="s">
        <v>249</v>
      </c>
      <c r="B45" s="59" t="s">
        <v>250</v>
      </c>
      <c r="C45" s="1146" t="s">
        <v>251</v>
      </c>
      <c r="D45" s="1146"/>
      <c r="E45" s="1146"/>
      <c r="F45" s="1146"/>
      <c r="G45" s="1146"/>
    </row>
    <row r="46" spans="1:7">
      <c r="A46" s="60" t="s">
        <v>252</v>
      </c>
      <c r="B46" s="59" t="s">
        <v>253</v>
      </c>
      <c r="C46" s="1146" t="s">
        <v>255</v>
      </c>
      <c r="D46" s="1146"/>
      <c r="E46" s="1146" t="s">
        <v>256</v>
      </c>
      <c r="F46" s="1146"/>
      <c r="G46" s="59" t="s">
        <v>257</v>
      </c>
    </row>
    <row r="47" spans="1:7">
      <c r="A47" s="60">
        <v>100</v>
      </c>
      <c r="B47" s="60">
        <v>120</v>
      </c>
      <c r="C47" s="1146"/>
      <c r="D47" s="1146"/>
      <c r="E47" s="1146"/>
      <c r="F47" s="1146"/>
      <c r="G47" s="59"/>
    </row>
    <row r="48" spans="1:7">
      <c r="A48" s="60">
        <v>80</v>
      </c>
      <c r="B48" s="60">
        <v>9.6</v>
      </c>
      <c r="C48" s="1146" t="s">
        <v>258</v>
      </c>
      <c r="D48" s="1146"/>
      <c r="E48" s="1146" t="s">
        <v>259</v>
      </c>
      <c r="F48" s="1146"/>
      <c r="G48" s="59">
        <v>260.2</v>
      </c>
    </row>
    <row r="49" spans="1:7">
      <c r="A49" s="60">
        <v>75</v>
      </c>
      <c r="B49" s="61">
        <v>9</v>
      </c>
      <c r="C49" s="1146"/>
      <c r="D49" s="1146"/>
      <c r="E49" s="1146"/>
      <c r="F49" s="1146"/>
      <c r="G49" s="59"/>
    </row>
    <row r="50" spans="1:7">
      <c r="A50" s="60">
        <v>70</v>
      </c>
      <c r="B50" s="60">
        <v>8.4</v>
      </c>
      <c r="C50" s="1146"/>
      <c r="D50" s="1146"/>
      <c r="E50" s="1146"/>
      <c r="F50" s="1146"/>
      <c r="G50" s="59"/>
    </row>
    <row r="51" spans="1:7">
      <c r="A51" s="60">
        <v>60</v>
      </c>
      <c r="B51" s="60">
        <v>7.2</v>
      </c>
      <c r="C51" s="1146"/>
      <c r="D51" s="1146"/>
      <c r="E51" s="1146"/>
      <c r="F51" s="1146"/>
      <c r="G51" s="59"/>
    </row>
    <row r="52" spans="1:7">
      <c r="A52" s="60">
        <v>55</v>
      </c>
      <c r="B52" s="60">
        <v>6.6</v>
      </c>
      <c r="C52" s="1146"/>
      <c r="D52" s="1146"/>
      <c r="E52" s="1146"/>
      <c r="F52" s="1146"/>
      <c r="G52" s="59"/>
    </row>
    <row r="53" spans="1:7">
      <c r="A53" s="60">
        <v>50</v>
      </c>
      <c r="B53" s="61">
        <v>6</v>
      </c>
      <c r="C53" s="1146"/>
      <c r="D53" s="1146"/>
      <c r="E53" s="1146"/>
      <c r="F53" s="1146"/>
      <c r="G53" s="59"/>
    </row>
    <row r="54" spans="1:7">
      <c r="A54" s="59" t="s">
        <v>245</v>
      </c>
      <c r="B54" s="59"/>
      <c r="C54" s="1146"/>
      <c r="D54" s="1146"/>
      <c r="E54" s="1146"/>
      <c r="F54" s="1146"/>
      <c r="G54" s="59"/>
    </row>
  </sheetData>
  <mergeCells count="59">
    <mergeCell ref="E27:F27"/>
    <mergeCell ref="A24:B24"/>
    <mergeCell ref="C24:D24"/>
    <mergeCell ref="E24:F24"/>
    <mergeCell ref="A25:B25"/>
    <mergeCell ref="A26:B26"/>
    <mergeCell ref="E25:F25"/>
    <mergeCell ref="E26:F26"/>
    <mergeCell ref="A28:B28"/>
    <mergeCell ref="A29:B29"/>
    <mergeCell ref="A30:B30"/>
    <mergeCell ref="C25:D25"/>
    <mergeCell ref="C26:D26"/>
    <mergeCell ref="C27:D27"/>
    <mergeCell ref="C28:D28"/>
    <mergeCell ref="C29:D29"/>
    <mergeCell ref="A27:B27"/>
    <mergeCell ref="E28:F28"/>
    <mergeCell ref="E29:F29"/>
    <mergeCell ref="C30:D30"/>
    <mergeCell ref="E30:F30"/>
    <mergeCell ref="C33:G33"/>
    <mergeCell ref="C34:D34"/>
    <mergeCell ref="E34:F34"/>
    <mergeCell ref="C35:D35"/>
    <mergeCell ref="C36:D36"/>
    <mergeCell ref="E35:F35"/>
    <mergeCell ref="E36:F36"/>
    <mergeCell ref="C37:D37"/>
    <mergeCell ref="E37:F37"/>
    <mergeCell ref="C38:D38"/>
    <mergeCell ref="E38:F38"/>
    <mergeCell ref="C39:D39"/>
    <mergeCell ref="E39:F39"/>
    <mergeCell ref="C48:D48"/>
    <mergeCell ref="E48:F48"/>
    <mergeCell ref="C40:D40"/>
    <mergeCell ref="E40:F40"/>
    <mergeCell ref="C41:D41"/>
    <mergeCell ref="E41:F41"/>
    <mergeCell ref="C42:D42"/>
    <mergeCell ref="E42:F42"/>
    <mergeCell ref="C45:G45"/>
    <mergeCell ref="C46:D46"/>
    <mergeCell ref="E46:F46"/>
    <mergeCell ref="C47:D47"/>
    <mergeCell ref="E47:F47"/>
    <mergeCell ref="C49:D49"/>
    <mergeCell ref="E49:F49"/>
    <mergeCell ref="C50:D50"/>
    <mergeCell ref="E50:F50"/>
    <mergeCell ref="C51:D51"/>
    <mergeCell ref="E51:F51"/>
    <mergeCell ref="C52:D52"/>
    <mergeCell ref="E52:F52"/>
    <mergeCell ref="C53:D53"/>
    <mergeCell ref="E53:F53"/>
    <mergeCell ref="C54:D54"/>
    <mergeCell ref="E54:F54"/>
  </mergeCells>
  <phoneticPr fontId="3"/>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AA21D-FB25-4A69-8F23-CFD8D39BB15F}">
  <sheetPr>
    <tabColor rgb="FFFFC000"/>
  </sheetPr>
  <dimension ref="A1:V192"/>
  <sheetViews>
    <sheetView showGridLines="0" view="pageBreakPreview" topLeftCell="A19" zoomScaleNormal="85" zoomScaleSheetLayoutView="100" workbookViewId="0">
      <selection activeCell="D22" sqref="D22:D23"/>
    </sheetView>
  </sheetViews>
  <sheetFormatPr defaultRowHeight="13.5"/>
  <cols>
    <col min="1" max="1" width="3.25" customWidth="1"/>
    <col min="2" max="2" width="5.75" customWidth="1"/>
  </cols>
  <sheetData>
    <row r="1" spans="1:15" ht="23.25" customHeight="1">
      <c r="A1" s="450" t="s">
        <v>695</v>
      </c>
    </row>
    <row r="2" spans="1:15" ht="30">
      <c r="A2" s="450">
        <v>1</v>
      </c>
      <c r="B2" s="450" t="s">
        <v>779</v>
      </c>
    </row>
    <row r="3" spans="1:15" ht="17.25" customHeight="1" thickBot="1">
      <c r="A3" s="450"/>
      <c r="B3" s="363" t="s">
        <v>781</v>
      </c>
    </row>
    <row r="4" spans="1:15">
      <c r="C4" s="451" t="s">
        <v>788</v>
      </c>
      <c r="D4" s="452"/>
      <c r="E4" s="452"/>
      <c r="F4" s="452"/>
      <c r="G4" s="452"/>
      <c r="H4" s="452"/>
      <c r="I4" s="452"/>
      <c r="J4" s="452"/>
      <c r="K4" s="452"/>
      <c r="L4" s="452"/>
      <c r="M4" s="452"/>
      <c r="N4" s="452"/>
      <c r="O4" s="453"/>
    </row>
    <row r="5" spans="1:15">
      <c r="C5" s="454" t="s">
        <v>789</v>
      </c>
      <c r="D5" s="410"/>
      <c r="E5" s="410"/>
      <c r="F5" s="410"/>
      <c r="G5" s="410"/>
      <c r="H5" s="410"/>
      <c r="I5" s="410"/>
      <c r="J5" s="410"/>
      <c r="K5" s="410"/>
      <c r="L5" s="410"/>
      <c r="M5" s="410"/>
      <c r="N5" s="410"/>
      <c r="O5" s="455"/>
    </row>
    <row r="6" spans="1:15">
      <c r="C6" s="454" t="s">
        <v>821</v>
      </c>
      <c r="D6" s="410"/>
      <c r="E6" s="410"/>
      <c r="F6" s="410"/>
      <c r="G6" s="410"/>
      <c r="H6" s="410"/>
      <c r="I6" s="410"/>
      <c r="J6" s="410"/>
      <c r="K6" s="410"/>
      <c r="L6" s="410"/>
      <c r="M6" s="410"/>
      <c r="N6" s="410"/>
      <c r="O6" s="455"/>
    </row>
    <row r="7" spans="1:15">
      <c r="C7" s="454" t="s">
        <v>953</v>
      </c>
      <c r="D7" s="410"/>
      <c r="E7" s="410"/>
      <c r="F7" s="410"/>
      <c r="G7" s="410"/>
      <c r="H7" s="410"/>
      <c r="I7" s="410"/>
      <c r="J7" s="410"/>
      <c r="K7" s="410"/>
      <c r="L7" s="410"/>
      <c r="M7" s="410"/>
      <c r="N7" s="410"/>
      <c r="O7" s="455"/>
    </row>
    <row r="8" spans="1:15" ht="14.25" thickBot="1">
      <c r="C8" s="456" t="s">
        <v>948</v>
      </c>
      <c r="D8" s="457"/>
      <c r="E8" s="457"/>
      <c r="F8" s="457"/>
      <c r="G8" s="457"/>
      <c r="H8" s="457"/>
      <c r="I8" s="457"/>
      <c r="J8" s="457"/>
      <c r="K8" s="457"/>
      <c r="L8" s="457"/>
      <c r="M8" s="457"/>
      <c r="N8" s="457"/>
      <c r="O8" s="458"/>
    </row>
    <row r="9" spans="1:15">
      <c r="D9" s="410"/>
      <c r="E9" s="410"/>
      <c r="F9" s="410"/>
      <c r="G9" s="410"/>
      <c r="H9" s="410"/>
      <c r="I9" s="410"/>
      <c r="J9" s="410"/>
      <c r="K9" s="410"/>
      <c r="L9" s="410"/>
    </row>
    <row r="11" spans="1:15" ht="18.75" customHeight="1" thickBot="1">
      <c r="B11" t="s">
        <v>780</v>
      </c>
    </row>
    <row r="12" spans="1:15">
      <c r="C12" s="451" t="s">
        <v>838</v>
      </c>
      <c r="D12" s="452"/>
      <c r="E12" s="452"/>
      <c r="F12" s="452"/>
      <c r="G12" s="452"/>
      <c r="H12" s="452"/>
      <c r="I12" s="453"/>
    </row>
    <row r="13" spans="1:15">
      <c r="C13" s="454" t="s">
        <v>904</v>
      </c>
      <c r="D13" s="410"/>
      <c r="E13" s="410"/>
      <c r="F13" s="410"/>
      <c r="G13" s="410"/>
      <c r="H13" s="410"/>
      <c r="I13" s="455"/>
    </row>
    <row r="14" spans="1:15">
      <c r="C14" s="727" t="s">
        <v>905</v>
      </c>
      <c r="D14" s="410"/>
      <c r="E14" s="410"/>
      <c r="F14" s="410"/>
      <c r="G14" s="410"/>
      <c r="H14" s="410"/>
      <c r="I14" s="455"/>
    </row>
    <row r="15" spans="1:15">
      <c r="C15" s="454" t="s">
        <v>841</v>
      </c>
      <c r="D15" s="410"/>
      <c r="E15" s="410"/>
      <c r="F15" s="410"/>
      <c r="G15" s="410"/>
      <c r="H15" s="410"/>
      <c r="I15" s="455"/>
    </row>
    <row r="16" spans="1:15">
      <c r="C16" s="454" t="s">
        <v>839</v>
      </c>
      <c r="D16" s="410"/>
      <c r="E16" s="410"/>
      <c r="F16" s="410"/>
      <c r="G16" s="410"/>
      <c r="H16" s="410"/>
      <c r="I16" s="455"/>
    </row>
    <row r="17" spans="1:14">
      <c r="C17" s="454" t="s">
        <v>840</v>
      </c>
      <c r="D17" s="410"/>
      <c r="E17" s="410"/>
      <c r="F17" s="410"/>
      <c r="G17" s="410"/>
      <c r="H17" s="410"/>
      <c r="I17" s="455"/>
    </row>
    <row r="18" spans="1:14" ht="14.25" thickBot="1">
      <c r="C18" s="456" t="s">
        <v>873</v>
      </c>
      <c r="D18" s="457"/>
      <c r="E18" s="457"/>
      <c r="F18" s="457"/>
      <c r="G18" s="457"/>
      <c r="H18" s="457"/>
      <c r="I18" s="458"/>
    </row>
    <row r="21" spans="1:14" ht="29.25" customHeight="1">
      <c r="A21" s="450">
        <v>2</v>
      </c>
      <c r="B21" s="69" t="s">
        <v>694</v>
      </c>
    </row>
    <row r="22" spans="1:14" ht="13.5" customHeight="1">
      <c r="A22" s="450"/>
      <c r="B22" s="69"/>
      <c r="C22" s="588" t="s">
        <v>844</v>
      </c>
      <c r="D22" t="s">
        <v>868</v>
      </c>
    </row>
    <row r="23" spans="1:14" ht="13.5" customHeight="1">
      <c r="A23" s="450"/>
      <c r="B23" s="69"/>
      <c r="D23" t="s">
        <v>955</v>
      </c>
      <c r="N23" t="s">
        <v>867</v>
      </c>
    </row>
    <row r="41" spans="3:13" ht="8.25" customHeight="1"/>
    <row r="43" spans="3:13">
      <c r="C43" s="459" t="s">
        <v>783</v>
      </c>
      <c r="D43" s="460"/>
      <c r="E43" s="460"/>
      <c r="F43" s="460"/>
      <c r="G43" s="460"/>
      <c r="H43" s="460"/>
      <c r="I43" s="460"/>
      <c r="J43" s="460"/>
      <c r="K43" s="461"/>
      <c r="M43" t="s">
        <v>845</v>
      </c>
    </row>
    <row r="44" spans="3:13">
      <c r="C44" s="462" t="s">
        <v>784</v>
      </c>
      <c r="D44" s="410"/>
      <c r="E44" s="410"/>
      <c r="F44" s="410"/>
      <c r="G44" s="410"/>
      <c r="H44" s="410"/>
      <c r="I44" s="410"/>
      <c r="J44" s="410"/>
      <c r="K44" s="463"/>
      <c r="M44" t="s">
        <v>847</v>
      </c>
    </row>
    <row r="45" spans="3:13">
      <c r="C45" s="462" t="s">
        <v>819</v>
      </c>
      <c r="D45" s="410"/>
      <c r="E45" s="410"/>
      <c r="F45" s="410"/>
      <c r="G45" s="410"/>
      <c r="H45" s="410"/>
      <c r="I45" s="410"/>
      <c r="J45" s="410"/>
      <c r="K45" s="463"/>
    </row>
    <row r="46" spans="3:13">
      <c r="C46" s="462" t="s">
        <v>785</v>
      </c>
      <c r="D46" s="410"/>
      <c r="E46" s="410"/>
      <c r="F46" s="410"/>
      <c r="G46" s="410"/>
      <c r="H46" s="410"/>
      <c r="I46" s="410"/>
      <c r="J46" s="410"/>
      <c r="K46" s="463"/>
    </row>
    <row r="47" spans="3:13">
      <c r="C47" s="464" t="s">
        <v>846</v>
      </c>
      <c r="D47" s="465"/>
      <c r="E47" s="465"/>
      <c r="F47" s="465"/>
      <c r="G47" s="465"/>
      <c r="H47" s="465"/>
      <c r="I47" s="465"/>
      <c r="J47" s="465"/>
      <c r="K47" s="466"/>
    </row>
    <row r="48" spans="3:13">
      <c r="C48" s="410"/>
      <c r="D48" s="410"/>
      <c r="E48" s="410"/>
      <c r="F48" s="410"/>
      <c r="G48" s="410"/>
      <c r="H48" s="410"/>
      <c r="I48" s="410"/>
      <c r="J48" s="410"/>
      <c r="K48" s="410"/>
    </row>
    <row r="49" spans="1:18" ht="30">
      <c r="A49" s="450">
        <v>3</v>
      </c>
      <c r="B49" s="69" t="s">
        <v>229</v>
      </c>
    </row>
    <row r="50" spans="1:18" ht="13.5" customHeight="1">
      <c r="A50" s="450"/>
      <c r="B50" s="69"/>
      <c r="C50" s="588" t="s">
        <v>844</v>
      </c>
      <c r="D50" t="s">
        <v>848</v>
      </c>
    </row>
    <row r="51" spans="1:18" ht="13.5" customHeight="1">
      <c r="A51" s="450"/>
      <c r="B51" s="69"/>
      <c r="D51" t="s">
        <v>850</v>
      </c>
    </row>
    <row r="60" spans="1:18">
      <c r="J60" t="s">
        <v>796</v>
      </c>
    </row>
    <row r="62" spans="1:18">
      <c r="C62" s="459" t="s">
        <v>787</v>
      </c>
      <c r="D62" s="460"/>
      <c r="E62" s="460"/>
      <c r="F62" s="460"/>
      <c r="G62" s="460"/>
      <c r="H62" s="460"/>
      <c r="I62" s="460"/>
      <c r="J62" s="460"/>
      <c r="K62" s="461"/>
      <c r="M62" s="459" t="s">
        <v>786</v>
      </c>
      <c r="N62" s="460"/>
      <c r="O62" s="460"/>
      <c r="P62" s="460"/>
      <c r="Q62" s="460"/>
      <c r="R62" s="461"/>
    </row>
    <row r="63" spans="1:18">
      <c r="C63" s="462" t="s">
        <v>782</v>
      </c>
      <c r="D63" s="410"/>
      <c r="E63" s="410"/>
      <c r="F63" s="410"/>
      <c r="G63" s="410"/>
      <c r="H63" s="410"/>
      <c r="I63" s="410"/>
      <c r="J63" s="410"/>
      <c r="K63" s="463"/>
      <c r="M63" s="464" t="s">
        <v>806</v>
      </c>
      <c r="N63" s="465"/>
      <c r="O63" s="465"/>
      <c r="P63" s="465"/>
      <c r="Q63" s="465"/>
      <c r="R63" s="466"/>
    </row>
    <row r="64" spans="1:18">
      <c r="C64" s="469" t="s">
        <v>822</v>
      </c>
      <c r="D64" s="410"/>
      <c r="E64" s="410"/>
      <c r="F64" s="410"/>
      <c r="G64" s="410"/>
      <c r="H64" s="410"/>
      <c r="I64" s="410"/>
      <c r="J64" s="410"/>
      <c r="K64" s="463"/>
    </row>
    <row r="65" spans="1:11">
      <c r="C65" s="469" t="s">
        <v>849</v>
      </c>
      <c r="D65" s="410"/>
      <c r="E65" s="410"/>
      <c r="F65" s="410"/>
      <c r="G65" s="410"/>
      <c r="H65" s="410"/>
      <c r="I65" s="410"/>
      <c r="J65" s="410"/>
      <c r="K65" s="463"/>
    </row>
    <row r="66" spans="1:11">
      <c r="C66" s="464" t="s">
        <v>805</v>
      </c>
      <c r="D66" s="465"/>
      <c r="E66" s="465"/>
      <c r="F66" s="465"/>
      <c r="G66" s="465"/>
      <c r="H66" s="465"/>
      <c r="I66" s="465"/>
      <c r="J66" s="465"/>
      <c r="K66" s="466"/>
    </row>
    <row r="68" spans="1:11" ht="30">
      <c r="A68" s="69" t="s">
        <v>582</v>
      </c>
    </row>
    <row r="69" spans="1:11" ht="13.5" customHeight="1">
      <c r="A69" s="69"/>
      <c r="B69" s="588" t="s">
        <v>844</v>
      </c>
      <c r="C69" t="s">
        <v>954</v>
      </c>
    </row>
    <row r="70" spans="1:11" ht="13.5" customHeight="1">
      <c r="A70" s="69"/>
      <c r="C70" t="s">
        <v>851</v>
      </c>
    </row>
    <row r="83" spans="2:21">
      <c r="B83" s="866" t="s">
        <v>836</v>
      </c>
      <c r="C83" s="866"/>
      <c r="D83" s="866"/>
      <c r="E83" s="866"/>
      <c r="F83" s="866"/>
      <c r="G83" s="866"/>
      <c r="H83" s="866"/>
      <c r="I83" s="866"/>
      <c r="J83" s="866"/>
      <c r="K83" s="867" t="s">
        <v>945</v>
      </c>
      <c r="L83" s="866"/>
      <c r="M83" s="866"/>
      <c r="N83" s="866"/>
      <c r="O83" s="866"/>
      <c r="P83" s="866"/>
      <c r="Q83" s="868" t="s">
        <v>923</v>
      </c>
      <c r="R83" s="866"/>
      <c r="S83" s="866"/>
      <c r="U83" s="588"/>
    </row>
    <row r="84" spans="2:21">
      <c r="B84" s="866"/>
      <c r="C84" s="866"/>
      <c r="D84" s="866"/>
      <c r="E84" s="866"/>
      <c r="F84" s="866"/>
      <c r="G84" s="866"/>
      <c r="H84" s="866"/>
      <c r="I84" s="866"/>
      <c r="J84" s="866"/>
      <c r="K84" s="867" t="s">
        <v>946</v>
      </c>
      <c r="L84" s="866"/>
      <c r="M84" s="866"/>
      <c r="N84" s="866"/>
      <c r="O84" s="866"/>
      <c r="P84" s="866"/>
      <c r="Q84" s="866" t="s">
        <v>924</v>
      </c>
      <c r="R84" s="866"/>
      <c r="S84" s="866"/>
      <c r="T84" s="866"/>
    </row>
    <row r="85" spans="2:21">
      <c r="B85" s="459" t="s">
        <v>888</v>
      </c>
      <c r="C85" s="460"/>
      <c r="D85" s="460"/>
      <c r="E85" s="460"/>
      <c r="F85" s="460"/>
      <c r="G85" s="460"/>
      <c r="H85" s="460"/>
      <c r="I85" s="460"/>
      <c r="J85" s="461"/>
      <c r="K85" s="869" t="s">
        <v>947</v>
      </c>
    </row>
    <row r="86" spans="2:21">
      <c r="B86" s="462" t="s">
        <v>889</v>
      </c>
      <c r="C86" s="410"/>
      <c r="D86" s="410"/>
      <c r="E86" s="410"/>
      <c r="F86" s="410"/>
      <c r="G86" s="410"/>
      <c r="H86" s="410"/>
      <c r="I86" s="410"/>
      <c r="J86" s="463"/>
    </row>
    <row r="87" spans="2:21">
      <c r="B87" s="462" t="s">
        <v>701</v>
      </c>
      <c r="C87" s="410"/>
      <c r="D87" s="410"/>
      <c r="E87" s="410"/>
      <c r="F87" s="410"/>
      <c r="G87" s="410"/>
      <c r="H87" s="410"/>
      <c r="I87" s="410"/>
      <c r="J87" s="463"/>
      <c r="L87" s="459" t="s">
        <v>872</v>
      </c>
      <c r="M87" s="460"/>
      <c r="N87" s="460"/>
      <c r="O87" s="460"/>
      <c r="P87" s="460"/>
      <c r="Q87" s="461"/>
    </row>
    <row r="88" spans="2:21">
      <c r="B88" s="462" t="s">
        <v>929</v>
      </c>
      <c r="C88" s="410"/>
      <c r="D88" s="410"/>
      <c r="E88" s="410"/>
      <c r="F88" s="410"/>
      <c r="G88" s="410"/>
      <c r="H88" s="410"/>
      <c r="I88" s="410"/>
      <c r="J88" s="463"/>
      <c r="L88" s="462" t="s">
        <v>835</v>
      </c>
      <c r="M88" s="410"/>
      <c r="N88" s="410"/>
      <c r="O88" s="410"/>
      <c r="P88" s="410"/>
      <c r="Q88" s="463"/>
    </row>
    <row r="89" spans="2:21">
      <c r="B89" s="462" t="s">
        <v>790</v>
      </c>
      <c r="C89" s="410"/>
      <c r="D89" s="410"/>
      <c r="E89" s="410"/>
      <c r="F89" s="410"/>
      <c r="G89" s="410"/>
      <c r="H89" s="410"/>
      <c r="I89" s="410"/>
      <c r="J89" s="463"/>
      <c r="L89" s="462" t="s">
        <v>700</v>
      </c>
      <c r="M89" s="410"/>
      <c r="N89" s="410"/>
      <c r="O89" s="410"/>
      <c r="P89" s="410"/>
      <c r="Q89" s="463"/>
    </row>
    <row r="90" spans="2:21">
      <c r="B90" s="913" t="s">
        <v>930</v>
      </c>
      <c r="C90" s="914"/>
      <c r="D90" s="914"/>
      <c r="E90" s="914"/>
      <c r="F90" s="914"/>
      <c r="G90" s="914"/>
      <c r="H90" s="914"/>
      <c r="I90" s="914"/>
      <c r="J90" s="915"/>
      <c r="L90" s="462" t="s">
        <v>697</v>
      </c>
      <c r="M90" s="410"/>
      <c r="N90" s="410"/>
      <c r="O90" s="410"/>
      <c r="P90" s="410"/>
      <c r="Q90" s="463"/>
    </row>
    <row r="91" spans="2:21">
      <c r="B91" s="913" t="s">
        <v>931</v>
      </c>
      <c r="C91" s="914"/>
      <c r="D91" s="914"/>
      <c r="E91" s="914"/>
      <c r="F91" s="914"/>
      <c r="G91" s="914"/>
      <c r="H91" s="914"/>
      <c r="I91" s="914"/>
      <c r="J91" s="915"/>
      <c r="L91" s="464" t="s">
        <v>698</v>
      </c>
      <c r="M91" s="465"/>
      <c r="N91" s="465"/>
      <c r="O91" s="465"/>
      <c r="P91" s="465"/>
      <c r="Q91" s="466"/>
    </row>
    <row r="92" spans="2:21">
      <c r="B92" s="462" t="s">
        <v>696</v>
      </c>
      <c r="C92" s="410"/>
      <c r="D92" s="410"/>
      <c r="E92" s="410"/>
      <c r="F92" s="410"/>
      <c r="G92" s="410"/>
      <c r="H92" s="410"/>
      <c r="I92" s="410"/>
      <c r="J92" s="463"/>
    </row>
    <row r="93" spans="2:21">
      <c r="B93" s="469" t="s">
        <v>874</v>
      </c>
      <c r="C93" s="410"/>
      <c r="D93" s="410"/>
      <c r="E93" s="410"/>
      <c r="F93" s="410"/>
      <c r="G93" s="410"/>
      <c r="H93" s="410"/>
      <c r="I93" s="410"/>
      <c r="J93" s="463"/>
    </row>
    <row r="94" spans="2:21">
      <c r="B94" s="462" t="s">
        <v>702</v>
      </c>
      <c r="C94" s="410"/>
      <c r="D94" s="410"/>
      <c r="E94" s="410"/>
      <c r="F94" s="410"/>
      <c r="G94" s="410"/>
      <c r="H94" s="410"/>
      <c r="I94" s="410"/>
      <c r="J94" s="463"/>
    </row>
    <row r="95" spans="2:21">
      <c r="B95" s="469" t="s">
        <v>703</v>
      </c>
      <c r="C95" s="410"/>
      <c r="D95" s="410"/>
      <c r="E95" s="410"/>
      <c r="F95" s="410"/>
      <c r="G95" s="410"/>
      <c r="H95" s="410"/>
      <c r="I95" s="410"/>
      <c r="J95" s="463"/>
    </row>
    <row r="96" spans="2:21">
      <c r="B96" s="469" t="s">
        <v>797</v>
      </c>
      <c r="C96" s="410"/>
      <c r="D96" s="410"/>
      <c r="E96" s="410"/>
      <c r="F96" s="410"/>
      <c r="G96" s="410"/>
      <c r="H96" s="410"/>
      <c r="I96" s="410"/>
      <c r="J96" s="463"/>
    </row>
    <row r="97" spans="1:10">
      <c r="B97" s="467" t="s">
        <v>798</v>
      </c>
      <c r="C97" s="465"/>
      <c r="D97" s="465"/>
      <c r="E97" s="465"/>
      <c r="F97" s="465"/>
      <c r="G97" s="465"/>
      <c r="H97" s="465"/>
      <c r="I97" s="465"/>
      <c r="J97" s="466"/>
    </row>
    <row r="98" spans="1:10" ht="30">
      <c r="A98" s="450">
        <v>5</v>
      </c>
      <c r="B98" s="69" t="s">
        <v>699</v>
      </c>
    </row>
    <row r="99" spans="1:10" ht="13.5" customHeight="1">
      <c r="A99" s="450"/>
      <c r="B99" s="69"/>
      <c r="C99" s="588" t="s">
        <v>844</v>
      </c>
      <c r="D99" t="s">
        <v>853</v>
      </c>
    </row>
    <row r="100" spans="1:10" ht="13.5" customHeight="1">
      <c r="A100" s="450"/>
      <c r="B100" s="69"/>
      <c r="D100" t="s">
        <v>852</v>
      </c>
    </row>
    <row r="117" spans="1:20">
      <c r="C117" s="459" t="s">
        <v>704</v>
      </c>
      <c r="D117" s="460"/>
      <c r="E117" s="460"/>
      <c r="F117" s="460"/>
      <c r="G117" s="460"/>
      <c r="H117" s="460"/>
      <c r="I117" s="460"/>
      <c r="J117" s="460"/>
      <c r="K117" s="461"/>
      <c r="N117" s="459" t="s">
        <v>799</v>
      </c>
      <c r="O117" s="460"/>
      <c r="P117" s="460"/>
      <c r="Q117" s="460"/>
      <c r="R117" s="460"/>
      <c r="S117" s="460"/>
      <c r="T117" s="461"/>
    </row>
    <row r="118" spans="1:20">
      <c r="C118" s="462" t="s">
        <v>705</v>
      </c>
      <c r="D118" s="410"/>
      <c r="E118" s="410"/>
      <c r="F118" s="410"/>
      <c r="G118" s="410"/>
      <c r="H118" s="410"/>
      <c r="I118" s="410"/>
      <c r="J118" s="410"/>
      <c r="K118" s="463"/>
      <c r="N118" s="464" t="s">
        <v>949</v>
      </c>
      <c r="O118" s="465"/>
      <c r="P118" s="465"/>
      <c r="Q118" s="465"/>
      <c r="R118" s="465"/>
      <c r="S118" s="465"/>
      <c r="T118" s="466"/>
    </row>
    <row r="119" spans="1:20">
      <c r="C119" s="462" t="s">
        <v>708</v>
      </c>
      <c r="D119" s="410"/>
      <c r="E119" s="410"/>
      <c r="F119" s="410"/>
      <c r="G119" s="410"/>
      <c r="H119" s="410"/>
      <c r="I119" s="410"/>
      <c r="J119" s="410"/>
      <c r="K119" s="463"/>
    </row>
    <row r="120" spans="1:20">
      <c r="C120" s="462" t="s">
        <v>875</v>
      </c>
      <c r="D120" s="410"/>
      <c r="E120" s="410"/>
      <c r="F120" s="410"/>
      <c r="G120" s="410"/>
      <c r="H120" s="410"/>
      <c r="I120" s="410"/>
      <c r="J120" s="410"/>
      <c r="K120" s="463"/>
    </row>
    <row r="121" spans="1:20">
      <c r="C121" s="462" t="s">
        <v>709</v>
      </c>
      <c r="D121" s="410"/>
      <c r="E121" s="410"/>
      <c r="F121" s="410"/>
      <c r="G121" s="410"/>
      <c r="H121" s="410"/>
      <c r="I121" s="410"/>
      <c r="J121" s="410"/>
      <c r="K121" s="463"/>
    </row>
    <row r="122" spans="1:20">
      <c r="C122" s="462" t="s">
        <v>869</v>
      </c>
      <c r="D122" s="410"/>
      <c r="E122" s="410"/>
      <c r="F122" s="410"/>
      <c r="G122" s="410"/>
      <c r="H122" s="410"/>
      <c r="I122" s="410"/>
      <c r="J122" s="410"/>
      <c r="K122" s="463"/>
    </row>
    <row r="123" spans="1:20">
      <c r="C123" s="464" t="s">
        <v>706</v>
      </c>
      <c r="D123" s="465"/>
      <c r="E123" s="465"/>
      <c r="F123" s="465"/>
      <c r="G123" s="465"/>
      <c r="H123" s="465"/>
      <c r="I123" s="465"/>
      <c r="J123" s="465"/>
      <c r="K123" s="466"/>
    </row>
    <row r="124" spans="1:20">
      <c r="C124" s="410"/>
      <c r="D124" s="410"/>
      <c r="E124" s="410"/>
      <c r="F124" s="410"/>
      <c r="G124" s="410"/>
      <c r="H124" s="410"/>
      <c r="I124" s="410"/>
      <c r="J124" s="410"/>
    </row>
    <row r="125" spans="1:20" ht="30">
      <c r="A125" s="450">
        <v>6</v>
      </c>
      <c r="B125" s="69" t="s">
        <v>719</v>
      </c>
    </row>
    <row r="126" spans="1:20" ht="13.5" customHeight="1">
      <c r="A126" s="450"/>
      <c r="B126" s="69"/>
      <c r="C126" s="588" t="s">
        <v>844</v>
      </c>
      <c r="D126" t="s">
        <v>871</v>
      </c>
    </row>
    <row r="127" spans="1:20" ht="13.5" customHeight="1">
      <c r="A127" s="450"/>
      <c r="B127" s="69"/>
      <c r="D127" t="s">
        <v>852</v>
      </c>
    </row>
    <row r="136" spans="3:12">
      <c r="C136" s="515" t="s">
        <v>894</v>
      </c>
      <c r="D136" s="516"/>
      <c r="E136" s="516"/>
      <c r="F136" s="516"/>
      <c r="G136" s="516"/>
      <c r="H136" s="516"/>
      <c r="I136" s="516"/>
      <c r="J136" s="516"/>
      <c r="K136" s="461"/>
      <c r="L136" s="653" t="s">
        <v>876</v>
      </c>
    </row>
    <row r="137" spans="3:12">
      <c r="C137" s="462" t="s">
        <v>895</v>
      </c>
      <c r="D137" s="410"/>
      <c r="E137" s="410"/>
      <c r="F137" s="410"/>
      <c r="G137" s="410"/>
      <c r="H137" s="410"/>
      <c r="I137" s="410"/>
      <c r="J137" s="410"/>
      <c r="K137" s="463"/>
    </row>
    <row r="138" spans="3:12">
      <c r="C138" s="517" t="s">
        <v>800</v>
      </c>
      <c r="D138" s="518"/>
      <c r="E138" s="518"/>
      <c r="F138" s="518"/>
      <c r="G138" s="518"/>
      <c r="H138" s="518"/>
      <c r="I138" s="518"/>
      <c r="J138" s="518"/>
      <c r="K138" s="463"/>
    </row>
    <row r="139" spans="3:12">
      <c r="C139" s="517" t="s">
        <v>801</v>
      </c>
      <c r="D139" s="518"/>
      <c r="E139" s="518"/>
      <c r="F139" s="518"/>
      <c r="G139" s="518"/>
      <c r="H139" s="518"/>
      <c r="I139" s="518"/>
      <c r="J139" s="518"/>
      <c r="K139" s="463"/>
    </row>
    <row r="140" spans="3:12">
      <c r="C140" s="517" t="s">
        <v>896</v>
      </c>
      <c r="D140" s="518"/>
      <c r="E140" s="518"/>
      <c r="F140" s="518"/>
      <c r="G140" s="518"/>
      <c r="H140" s="518"/>
      <c r="I140" s="518"/>
      <c r="J140" s="518"/>
      <c r="K140" s="463"/>
    </row>
    <row r="141" spans="3:12">
      <c r="C141" s="652" t="s">
        <v>897</v>
      </c>
      <c r="D141" s="410"/>
      <c r="E141" s="410"/>
      <c r="F141" s="410"/>
      <c r="G141" s="410"/>
      <c r="H141" s="410"/>
      <c r="I141" s="410"/>
      <c r="J141" s="410"/>
      <c r="K141" s="463"/>
    </row>
    <row r="142" spans="3:12">
      <c r="C142" s="517" t="s">
        <v>712</v>
      </c>
      <c r="D142" s="518"/>
      <c r="E142" s="518"/>
      <c r="F142" s="518"/>
      <c r="G142" s="518"/>
      <c r="H142" s="518"/>
      <c r="I142" s="518"/>
      <c r="J142" s="518"/>
      <c r="K142" s="463"/>
    </row>
    <row r="143" spans="3:12">
      <c r="C143" s="517" t="s">
        <v>877</v>
      </c>
      <c r="D143" s="518"/>
      <c r="E143" s="518"/>
      <c r="F143" s="518"/>
      <c r="G143" s="518"/>
      <c r="H143" s="518"/>
      <c r="I143" s="518"/>
      <c r="J143" s="518"/>
      <c r="K143" s="463"/>
    </row>
    <row r="144" spans="3:12">
      <c r="C144" s="519" t="s">
        <v>870</v>
      </c>
      <c r="D144" s="520"/>
      <c r="E144" s="520"/>
      <c r="F144" s="520"/>
      <c r="G144" s="520"/>
      <c r="H144" s="520"/>
      <c r="I144" s="520"/>
      <c r="J144" s="520"/>
      <c r="K144" s="466"/>
    </row>
    <row r="145" spans="1:22" ht="30">
      <c r="A145" s="450">
        <v>7</v>
      </c>
      <c r="B145" s="69" t="s">
        <v>770</v>
      </c>
    </row>
    <row r="146" spans="1:22" ht="13.5" customHeight="1">
      <c r="A146" s="450"/>
      <c r="B146" s="69"/>
      <c r="C146" s="588" t="s">
        <v>844</v>
      </c>
      <c r="D146" t="s">
        <v>855</v>
      </c>
    </row>
    <row r="147" spans="1:22" ht="7.5" customHeight="1"/>
    <row r="157" spans="1:22">
      <c r="K157" t="s">
        <v>862</v>
      </c>
      <c r="Q157" s="904" t="s">
        <v>861</v>
      </c>
      <c r="R157" s="905"/>
      <c r="S157" s="905"/>
      <c r="T157" s="905"/>
      <c r="U157" s="906"/>
    </row>
    <row r="158" spans="1:22">
      <c r="C158" s="459" t="s">
        <v>859</v>
      </c>
      <c r="D158" s="460"/>
      <c r="E158" s="460"/>
      <c r="F158" s="460"/>
      <c r="G158" s="460"/>
      <c r="H158" s="460"/>
      <c r="I158" s="460"/>
      <c r="J158" s="460"/>
      <c r="K158" s="461"/>
      <c r="Q158" s="907"/>
      <c r="R158" s="908"/>
      <c r="S158" s="908"/>
      <c r="T158" s="908"/>
      <c r="U158" s="909"/>
    </row>
    <row r="159" spans="1:22">
      <c r="C159" s="462" t="s">
        <v>858</v>
      </c>
      <c r="D159" s="410"/>
      <c r="E159" s="410"/>
      <c r="F159" s="410"/>
      <c r="G159" s="410"/>
      <c r="H159" s="410"/>
      <c r="I159" s="410"/>
      <c r="J159" s="410"/>
      <c r="K159" s="463"/>
      <c r="L159" t="s">
        <v>832</v>
      </c>
      <c r="Q159" s="907"/>
      <c r="R159" s="908"/>
      <c r="S159" s="908"/>
      <c r="T159" s="908"/>
      <c r="U159" s="909"/>
      <c r="V159" s="410"/>
    </row>
    <row r="160" spans="1:22">
      <c r="C160" s="462" t="s">
        <v>774</v>
      </c>
      <c r="D160" s="410"/>
      <c r="E160" s="410"/>
      <c r="F160" s="410"/>
      <c r="G160" s="410"/>
      <c r="H160" s="410"/>
      <c r="I160" s="410"/>
      <c r="J160" s="410"/>
      <c r="K160" s="463"/>
      <c r="L160" t="s">
        <v>833</v>
      </c>
      <c r="Q160" s="910"/>
      <c r="R160" s="911"/>
      <c r="S160" s="911"/>
      <c r="T160" s="911"/>
      <c r="U160" s="912"/>
      <c r="V160" s="410"/>
    </row>
    <row r="161" spans="1:22">
      <c r="C161" s="462" t="s">
        <v>775</v>
      </c>
      <c r="D161" s="410"/>
      <c r="E161" s="410"/>
      <c r="F161" s="410"/>
      <c r="G161" s="410"/>
      <c r="H161" s="410"/>
      <c r="I161" s="410"/>
      <c r="J161" s="410"/>
      <c r="K161" s="463"/>
      <c r="V161" s="410"/>
    </row>
    <row r="162" spans="1:22">
      <c r="C162" s="462" t="s">
        <v>860</v>
      </c>
      <c r="D162" s="410"/>
      <c r="E162" s="410"/>
      <c r="F162" s="410"/>
      <c r="G162" s="410"/>
      <c r="H162" s="410"/>
      <c r="I162" s="410"/>
      <c r="J162" s="410"/>
      <c r="K162" s="463"/>
    </row>
    <row r="163" spans="1:22">
      <c r="C163" s="462" t="s">
        <v>803</v>
      </c>
      <c r="D163" s="410"/>
      <c r="E163" s="410"/>
      <c r="F163" s="410"/>
      <c r="G163" s="410"/>
      <c r="H163" s="410"/>
      <c r="I163" s="410"/>
      <c r="J163" s="410"/>
      <c r="K163" s="463"/>
    </row>
    <row r="164" spans="1:22">
      <c r="C164" s="462" t="s">
        <v>804</v>
      </c>
      <c r="D164" s="410"/>
      <c r="E164" s="410"/>
      <c r="F164" s="410"/>
      <c r="G164" s="410"/>
      <c r="H164" s="410"/>
      <c r="I164" s="410"/>
      <c r="J164" s="410"/>
      <c r="K164" s="463"/>
    </row>
    <row r="165" spans="1:22">
      <c r="C165" s="467" t="s">
        <v>879</v>
      </c>
      <c r="D165" s="465"/>
      <c r="E165" s="465"/>
      <c r="F165" s="465"/>
      <c r="G165" s="465"/>
      <c r="H165" s="465"/>
      <c r="I165" s="465"/>
      <c r="J165" s="465"/>
      <c r="K165" s="466"/>
    </row>
    <row r="166" spans="1:22">
      <c r="C166" s="828"/>
      <c r="D166" s="410"/>
      <c r="E166" s="410"/>
      <c r="F166" s="410"/>
      <c r="G166" s="410"/>
      <c r="H166" s="410"/>
      <c r="I166" s="410"/>
      <c r="J166" s="410"/>
      <c r="K166" s="410"/>
    </row>
    <row r="167" spans="1:22" ht="30">
      <c r="A167" s="450">
        <v>8</v>
      </c>
      <c r="B167" s="69" t="s">
        <v>656</v>
      </c>
    </row>
    <row r="168" spans="1:22" ht="13.5" customHeight="1">
      <c r="A168" s="450"/>
      <c r="B168" s="69"/>
      <c r="C168" s="588" t="s">
        <v>844</v>
      </c>
      <c r="D168" t="s">
        <v>854</v>
      </c>
    </row>
    <row r="178" spans="3:18">
      <c r="H178" s="870"/>
    </row>
    <row r="179" spans="3:18">
      <c r="N179" t="s">
        <v>857</v>
      </c>
    </row>
    <row r="180" spans="3:18">
      <c r="C180" s="560" t="s">
        <v>820</v>
      </c>
      <c r="D180" s="561"/>
      <c r="E180" s="561"/>
      <c r="F180" s="561"/>
      <c r="G180" s="561"/>
      <c r="H180" s="561"/>
      <c r="I180" s="561"/>
      <c r="J180" s="561"/>
      <c r="K180" s="562"/>
    </row>
    <row r="181" spans="3:18">
      <c r="M181" s="459" t="s">
        <v>834</v>
      </c>
      <c r="N181" s="460"/>
      <c r="O181" s="460"/>
      <c r="P181" s="460"/>
      <c r="Q181" s="460"/>
      <c r="R181" s="461"/>
    </row>
    <row r="182" spans="3:18">
      <c r="C182" s="515" t="s">
        <v>898</v>
      </c>
      <c r="D182" s="516"/>
      <c r="E182" s="516"/>
      <c r="F182" s="516"/>
      <c r="G182" s="516"/>
      <c r="H182" s="516"/>
      <c r="I182" s="516"/>
      <c r="J182" s="516"/>
      <c r="K182" s="461"/>
      <c r="M182" s="462" t="s">
        <v>885</v>
      </c>
      <c r="N182" s="410"/>
      <c r="O182" s="410"/>
      <c r="P182" s="410"/>
      <c r="Q182" s="410"/>
      <c r="R182" s="463"/>
    </row>
    <row r="183" spans="3:18">
      <c r="C183" s="462" t="s">
        <v>899</v>
      </c>
      <c r="D183" s="410"/>
      <c r="E183" s="410"/>
      <c r="F183" s="410"/>
      <c r="G183" s="410"/>
      <c r="H183" s="410"/>
      <c r="I183" s="410"/>
      <c r="J183" s="410"/>
      <c r="K183" s="463"/>
      <c r="M183" s="462" t="s">
        <v>700</v>
      </c>
      <c r="N183" s="410"/>
      <c r="O183" s="410"/>
      <c r="P183" s="410"/>
      <c r="Q183" s="410"/>
      <c r="R183" s="463"/>
    </row>
    <row r="184" spans="3:18">
      <c r="C184" s="462" t="s">
        <v>710</v>
      </c>
      <c r="D184" s="410"/>
      <c r="E184" s="410"/>
      <c r="F184" s="410"/>
      <c r="G184" s="410"/>
      <c r="H184" s="410"/>
      <c r="I184" s="410"/>
      <c r="J184" s="410"/>
      <c r="K184" s="463"/>
      <c r="M184" s="462" t="s">
        <v>887</v>
      </c>
      <c r="N184" s="410"/>
      <c r="O184" s="410"/>
      <c r="P184" s="410"/>
      <c r="Q184" s="410"/>
      <c r="R184" s="463"/>
    </row>
    <row r="185" spans="3:18">
      <c r="C185" s="462" t="s">
        <v>711</v>
      </c>
      <c r="D185" s="410"/>
      <c r="E185" s="410"/>
      <c r="F185" s="410"/>
      <c r="G185" s="410"/>
      <c r="H185" s="410"/>
      <c r="I185" s="410"/>
      <c r="J185" s="410"/>
      <c r="K185" s="463"/>
      <c r="M185" s="464" t="s">
        <v>886</v>
      </c>
      <c r="N185" s="465"/>
      <c r="O185" s="465"/>
      <c r="P185" s="465"/>
      <c r="Q185" s="465"/>
      <c r="R185" s="466"/>
    </row>
    <row r="186" spans="3:18">
      <c r="C186" s="462" t="s">
        <v>900</v>
      </c>
      <c r="D186" s="410"/>
      <c r="E186" s="410"/>
      <c r="F186" s="410"/>
      <c r="G186" s="410"/>
      <c r="H186" s="410"/>
      <c r="I186" s="410"/>
      <c r="J186" s="410"/>
      <c r="K186" s="463"/>
    </row>
    <row r="187" spans="3:18">
      <c r="C187" s="462" t="s">
        <v>901</v>
      </c>
      <c r="D187" s="410"/>
      <c r="E187" s="410"/>
      <c r="F187" s="410"/>
      <c r="G187" s="410"/>
      <c r="H187" s="410"/>
      <c r="I187" s="410"/>
      <c r="J187" s="410"/>
      <c r="K187" s="463"/>
    </row>
    <row r="188" spans="3:18">
      <c r="C188" s="462" t="s">
        <v>856</v>
      </c>
      <c r="D188" s="410"/>
      <c r="E188" s="410"/>
      <c r="F188" s="410"/>
      <c r="G188" s="410"/>
      <c r="H188" s="410"/>
      <c r="I188" s="410"/>
      <c r="J188" s="410"/>
      <c r="K188" s="463"/>
    </row>
    <row r="189" spans="3:18">
      <c r="C189" s="469" t="s">
        <v>831</v>
      </c>
      <c r="D189" s="410"/>
      <c r="E189" s="410"/>
      <c r="F189" s="410"/>
      <c r="G189" s="410"/>
      <c r="H189" s="410"/>
      <c r="I189" s="410"/>
      <c r="J189" s="410"/>
      <c r="K189" s="463"/>
    </row>
    <row r="190" spans="3:18">
      <c r="C190" s="469" t="s">
        <v>878</v>
      </c>
      <c r="D190" s="410"/>
      <c r="E190" s="410"/>
      <c r="F190" s="410"/>
      <c r="G190" s="410"/>
      <c r="H190" s="410"/>
      <c r="I190" s="410"/>
      <c r="J190" s="410"/>
      <c r="K190" s="463"/>
    </row>
    <row r="191" spans="3:18">
      <c r="C191" s="462" t="s">
        <v>702</v>
      </c>
      <c r="D191" s="410"/>
      <c r="E191" s="410"/>
      <c r="F191" s="410"/>
      <c r="G191" s="410"/>
      <c r="H191" s="410"/>
      <c r="I191" s="410"/>
      <c r="J191" s="410"/>
      <c r="K191" s="463"/>
    </row>
    <row r="192" spans="3:18">
      <c r="C192" s="467" t="s">
        <v>703</v>
      </c>
      <c r="D192" s="465"/>
      <c r="E192" s="465"/>
      <c r="F192" s="465"/>
      <c r="G192" s="465"/>
      <c r="H192" s="465"/>
      <c r="I192" s="465"/>
      <c r="J192" s="465"/>
      <c r="K192" s="466"/>
    </row>
  </sheetData>
  <sheetProtection algorithmName="SHA-512" hashValue="3VjK+0VHKNhNRajBQtmIdRby0r2XZzW8bdNgOXDKd2G3H4LUc5n1Lje6UvkTh66bFOYvyOUsKEVo697+ZLmnGQ==" saltValue="gvNxOR+4dTAbxNAPI1x1ZA==" spinCount="100000" sheet="1" formatCells="0"/>
  <mergeCells count="3">
    <mergeCell ref="Q157:U160"/>
    <mergeCell ref="B90:J90"/>
    <mergeCell ref="B91:J91"/>
  </mergeCells>
  <phoneticPr fontId="3"/>
  <pageMargins left="0.27559055118110237" right="0.19685039370078741" top="0.74803149606299213" bottom="0.39" header="0.31496062992125984" footer="0.31496062992125984"/>
  <pageSetup paperSize="9" scale="80" orientation="landscape" r:id="rId1"/>
  <headerFooter>
    <oddHeader>&amp;L様式第1号（別紙）</oddHeader>
  </headerFooter>
  <rowBreaks count="3" manualBreakCount="3">
    <brk id="48" max="16383" man="1"/>
    <brk id="97" max="16383" man="1"/>
    <brk id="14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38FD3-5963-4044-B381-41EDD78F0050}">
  <sheetPr>
    <tabColor rgb="FF00B0F0"/>
    <pageSetUpPr fitToPage="1"/>
  </sheetPr>
  <dimension ref="A1:CC87"/>
  <sheetViews>
    <sheetView view="pageBreakPreview" topLeftCell="A12" zoomScaleNormal="100" zoomScaleSheetLayoutView="100" workbookViewId="0">
      <selection activeCell="I38" sqref="I38"/>
    </sheetView>
  </sheetViews>
  <sheetFormatPr defaultColWidth="9" defaultRowHeight="18.75"/>
  <cols>
    <col min="1" max="1" width="3.25" style="137" customWidth="1"/>
    <col min="2" max="2" width="14.125" style="137" customWidth="1"/>
    <col min="3" max="3" width="5.625" style="137" customWidth="1"/>
    <col min="4" max="4" width="4.5" style="137" customWidth="1"/>
    <col min="5" max="11" width="5.625" style="137" customWidth="1"/>
    <col min="12" max="12" width="7.5" style="137" customWidth="1"/>
    <col min="13" max="13" width="5.625" style="137" customWidth="1"/>
    <col min="14" max="14" width="14.25" style="137" customWidth="1"/>
    <col min="15" max="15" width="4.75" style="137" customWidth="1"/>
    <col min="16" max="21" width="5.625" style="137" customWidth="1"/>
    <col min="22" max="22" width="7.375" style="137" customWidth="1"/>
    <col min="23" max="23" width="5.625" style="137" customWidth="1"/>
    <col min="24" max="24" width="8" style="137" customWidth="1"/>
    <col min="25" max="25" width="7.875" style="137" customWidth="1"/>
    <col min="26" max="26" width="3.875" style="137" hidden="1" customWidth="1"/>
    <col min="27" max="28" width="3.25" style="137" hidden="1" customWidth="1"/>
    <col min="29" max="30" width="9" style="137" hidden="1" customWidth="1"/>
    <col min="31" max="31" width="5.25" style="137" hidden="1" customWidth="1"/>
    <col min="32" max="33" width="6.875" style="137" hidden="1" customWidth="1"/>
    <col min="34" max="34" width="10.125" style="137" hidden="1" customWidth="1"/>
    <col min="35" max="35" width="4.625" style="137" hidden="1" customWidth="1"/>
    <col min="36" max="37" width="6.875" style="137" hidden="1" customWidth="1"/>
    <col min="38" max="38" width="5" style="137" hidden="1" customWidth="1"/>
    <col min="39" max="40" width="9" style="137" hidden="1" customWidth="1"/>
    <col min="41" max="41" width="9.5" style="137" hidden="1" customWidth="1"/>
    <col min="42" max="81" width="9" style="137" hidden="1" customWidth="1"/>
    <col min="82" max="107" width="9" style="137" customWidth="1"/>
    <col min="108" max="16384" width="9" style="137"/>
  </cols>
  <sheetData>
    <row r="1" spans="1:45" ht="28.5" customHeight="1">
      <c r="A1" s="69" t="s">
        <v>495</v>
      </c>
      <c r="R1" s="916">
        <f>CO２削減量算定シート!O7</f>
        <v>0</v>
      </c>
      <c r="S1" s="917"/>
      <c r="T1" s="917"/>
      <c r="U1" s="917"/>
      <c r="V1" s="917"/>
      <c r="W1" s="917"/>
      <c r="X1" s="917"/>
      <c r="Y1" s="918"/>
    </row>
    <row r="2" spans="1:45">
      <c r="A2" s="136" t="s">
        <v>312</v>
      </c>
      <c r="B2" s="1"/>
      <c r="C2" s="1"/>
      <c r="D2" s="1"/>
      <c r="E2" s="1"/>
      <c r="F2" s="1"/>
      <c r="G2" s="1"/>
      <c r="H2" s="6"/>
      <c r="I2" s="1"/>
      <c r="N2" s="109" t="s">
        <v>314</v>
      </c>
      <c r="O2" s="72"/>
      <c r="P2" s="499" t="s">
        <v>728</v>
      </c>
      <c r="Q2" s="109"/>
      <c r="S2" s="108"/>
      <c r="U2" s="70"/>
      <c r="V2" s="70"/>
      <c r="W2" s="70"/>
      <c r="X2" s="70"/>
      <c r="Y2" s="70"/>
    </row>
    <row r="3" spans="1:45" ht="20.100000000000001" customHeight="1">
      <c r="A3" s="1"/>
      <c r="B3" s="923" t="s">
        <v>0</v>
      </c>
      <c r="C3" s="924"/>
      <c r="D3" s="925"/>
      <c r="E3" s="66" t="s">
        <v>1</v>
      </c>
      <c r="F3" s="950" t="s">
        <v>2</v>
      </c>
      <c r="G3" s="951"/>
      <c r="H3" s="950" t="s">
        <v>3</v>
      </c>
      <c r="I3" s="951"/>
      <c r="J3" s="950" t="s">
        <v>4</v>
      </c>
      <c r="K3" s="951"/>
      <c r="L3" s="217" t="s">
        <v>5</v>
      </c>
      <c r="N3" s="943" t="s">
        <v>11</v>
      </c>
      <c r="O3" s="944"/>
      <c r="P3" s="931" t="str">
        <f>IF(X19="","",IF(OR(F19&lt;P19,I19&lt;S19),"定格出力が増加しています。下蘭に事由を記載してください。",""))</f>
        <v/>
      </c>
      <c r="Q3" s="932"/>
      <c r="R3" s="932"/>
      <c r="S3" s="932"/>
      <c r="T3" s="932"/>
      <c r="U3" s="932"/>
      <c r="V3" s="932"/>
      <c r="W3" s="932"/>
      <c r="X3" s="932"/>
      <c r="Y3" s="933"/>
    </row>
    <row r="4" spans="1:45" ht="20.100000000000001" customHeight="1">
      <c r="A4" s="1"/>
      <c r="B4" s="923" t="s">
        <v>7</v>
      </c>
      <c r="C4" s="924"/>
      <c r="D4" s="925"/>
      <c r="E4" s="125" t="s">
        <v>8</v>
      </c>
      <c r="F4" s="952">
        <f>L19</f>
        <v>0</v>
      </c>
      <c r="G4" s="953"/>
      <c r="H4" s="952">
        <f>V19</f>
        <v>0</v>
      </c>
      <c r="I4" s="953"/>
      <c r="J4" s="952">
        <f>F4-H4</f>
        <v>0</v>
      </c>
      <c r="K4" s="953"/>
      <c r="L4" s="438">
        <f>IFERROR(J4/F4,0)</f>
        <v>0</v>
      </c>
      <c r="N4" s="19" t="s">
        <v>6</v>
      </c>
      <c r="O4" s="111"/>
      <c r="P4" s="111"/>
      <c r="Q4" s="111"/>
      <c r="R4" s="111"/>
      <c r="S4" s="111"/>
      <c r="T4" s="111"/>
      <c r="U4" s="111"/>
      <c r="V4" s="111"/>
      <c r="W4" s="111"/>
      <c r="X4" s="111"/>
      <c r="Y4" s="112"/>
    </row>
    <row r="5" spans="1:45" ht="20.100000000000001" customHeight="1">
      <c r="A5" s="1"/>
      <c r="B5" s="923" t="s">
        <v>9</v>
      </c>
      <c r="C5" s="924"/>
      <c r="D5" s="925"/>
      <c r="E5" s="125" t="s">
        <v>484</v>
      </c>
      <c r="F5" s="954">
        <f>M19</f>
        <v>0</v>
      </c>
      <c r="G5" s="955"/>
      <c r="H5" s="954">
        <f>W19</f>
        <v>0</v>
      </c>
      <c r="I5" s="955"/>
      <c r="J5" s="954">
        <f>F5-H5</f>
        <v>0</v>
      </c>
      <c r="K5" s="955"/>
      <c r="L5" s="438">
        <f>IFERROR(J5/F5,0)</f>
        <v>0</v>
      </c>
      <c r="N5" s="934"/>
      <c r="O5" s="935"/>
      <c r="P5" s="935"/>
      <c r="Q5" s="935"/>
      <c r="R5" s="935"/>
      <c r="S5" s="935"/>
      <c r="T5" s="935"/>
      <c r="U5" s="935"/>
      <c r="V5" s="935"/>
      <c r="W5" s="935"/>
      <c r="X5" s="935"/>
      <c r="Y5" s="936"/>
    </row>
    <row r="6" spans="1:45" ht="20.100000000000001" customHeight="1">
      <c r="A6" s="1"/>
      <c r="B6" s="926" t="s">
        <v>12</v>
      </c>
      <c r="C6" s="927"/>
      <c r="D6" s="928"/>
      <c r="E6" s="288" t="s">
        <v>13</v>
      </c>
      <c r="F6" s="929">
        <f>F4*'CO₂係数 '!$C$33*0.0000258</f>
        <v>0</v>
      </c>
      <c r="G6" s="930"/>
      <c r="H6" s="929">
        <f>H4*'CO₂係数 '!$C$33*0.0000258</f>
        <v>0</v>
      </c>
      <c r="I6" s="930"/>
      <c r="J6" s="956">
        <f>F6-H6</f>
        <v>0</v>
      </c>
      <c r="K6" s="957"/>
      <c r="L6" s="439">
        <f>IFERROR(J6/F6,0)</f>
        <v>0</v>
      </c>
      <c r="N6" s="937"/>
      <c r="O6" s="938"/>
      <c r="P6" s="938"/>
      <c r="Q6" s="938"/>
      <c r="R6" s="938"/>
      <c r="S6" s="938"/>
      <c r="T6" s="938"/>
      <c r="U6" s="938"/>
      <c r="V6" s="938"/>
      <c r="W6" s="938"/>
      <c r="X6" s="938"/>
      <c r="Y6" s="939"/>
    </row>
    <row r="7" spans="1:45" ht="20.100000000000001" customHeight="1">
      <c r="A7" s="1"/>
      <c r="B7" s="291"/>
      <c r="C7" s="291"/>
      <c r="D7" s="291"/>
      <c r="E7" s="289"/>
      <c r="F7" s="292"/>
      <c r="G7" s="292"/>
      <c r="H7" s="292"/>
      <c r="I7" s="292"/>
      <c r="J7" s="292"/>
      <c r="K7" s="292"/>
      <c r="L7" s="290"/>
      <c r="N7" s="937"/>
      <c r="O7" s="938"/>
      <c r="P7" s="938"/>
      <c r="Q7" s="938"/>
      <c r="R7" s="938"/>
      <c r="S7" s="938"/>
      <c r="T7" s="938"/>
      <c r="U7" s="938"/>
      <c r="V7" s="938"/>
      <c r="W7" s="938"/>
      <c r="X7" s="938"/>
      <c r="Y7" s="939"/>
    </row>
    <row r="8" spans="1:45" ht="13.5" customHeight="1">
      <c r="N8" s="937"/>
      <c r="O8" s="938"/>
      <c r="P8" s="938"/>
      <c r="Q8" s="938"/>
      <c r="R8" s="938"/>
      <c r="S8" s="938"/>
      <c r="T8" s="938"/>
      <c r="U8" s="938"/>
      <c r="V8" s="938"/>
      <c r="W8" s="938"/>
      <c r="X8" s="938"/>
      <c r="Y8" s="939"/>
    </row>
    <row r="9" spans="1:45" ht="18" customHeight="1">
      <c r="A9" s="109" t="s">
        <v>313</v>
      </c>
      <c r="N9" s="937"/>
      <c r="O9" s="938"/>
      <c r="P9" s="938"/>
      <c r="Q9" s="938"/>
      <c r="R9" s="938"/>
      <c r="S9" s="938"/>
      <c r="T9" s="938"/>
      <c r="U9" s="938"/>
      <c r="V9" s="938"/>
      <c r="W9" s="938"/>
      <c r="X9" s="938"/>
      <c r="Y9" s="939"/>
    </row>
    <row r="10" spans="1:45" ht="20.25" customHeight="1">
      <c r="N10" s="940"/>
      <c r="O10" s="941"/>
      <c r="P10" s="941"/>
      <c r="Q10" s="941"/>
      <c r="R10" s="941"/>
      <c r="S10" s="941"/>
      <c r="T10" s="941"/>
      <c r="U10" s="941"/>
      <c r="V10" s="941"/>
      <c r="W10" s="941"/>
      <c r="X10" s="941"/>
      <c r="Y10" s="942"/>
    </row>
    <row r="11" spans="1:45" ht="20.25" customHeight="1">
      <c r="A11" s="214"/>
      <c r="B11" s="214"/>
      <c r="C11" s="214"/>
      <c r="D11" s="214"/>
      <c r="E11" s="214"/>
      <c r="F11" s="214"/>
      <c r="G11" s="214"/>
      <c r="H11" s="214"/>
      <c r="I11" s="214"/>
      <c r="J11" s="214"/>
      <c r="K11" s="215"/>
      <c r="L11" s="215"/>
      <c r="M11" s="215"/>
      <c r="O11" s="215"/>
      <c r="P11" s="215"/>
      <c r="Q11" s="215"/>
      <c r="R11" s="215"/>
      <c r="S11" s="215"/>
      <c r="T11" s="216"/>
      <c r="U11" s="216"/>
      <c r="V11" s="216"/>
      <c r="W11" s="216"/>
      <c r="X11" s="216"/>
      <c r="Y11" s="216"/>
    </row>
    <row r="12" spans="1:45" ht="20.25" customHeight="1" thickBot="1">
      <c r="A12" s="214"/>
      <c r="B12" s="214"/>
      <c r="C12" s="214"/>
      <c r="D12" s="214"/>
      <c r="E12" s="214"/>
      <c r="F12" s="214"/>
      <c r="G12" s="214"/>
      <c r="H12" s="214"/>
      <c r="I12" s="214"/>
      <c r="J12" s="214"/>
      <c r="K12" s="215"/>
      <c r="L12" s="215"/>
      <c r="M12" s="215"/>
      <c r="O12" s="293" t="s">
        <v>581</v>
      </c>
      <c r="R12" s="215"/>
      <c r="S12" s="215"/>
      <c r="T12" s="216"/>
      <c r="U12" s="216"/>
      <c r="V12" s="216"/>
      <c r="W12" s="216"/>
      <c r="X12" s="216"/>
      <c r="Y12" s="216"/>
    </row>
    <row r="13" spans="1:45" ht="22.5" customHeight="1" thickBot="1">
      <c r="A13" s="139" t="s">
        <v>326</v>
      </c>
      <c r="B13" s="213"/>
      <c r="C13" s="213"/>
      <c r="D13" s="213"/>
      <c r="E13" s="213"/>
      <c r="F13" s="213"/>
      <c r="G13" s="213"/>
      <c r="H13" s="213"/>
      <c r="I13" s="213"/>
      <c r="J13" s="213"/>
      <c r="K13" s="213"/>
      <c r="L13" s="213"/>
      <c r="M13" s="213"/>
      <c r="N13" s="563" t="s">
        <v>580</v>
      </c>
      <c r="O13" s="945">
        <v>10</v>
      </c>
      <c r="P13" s="946"/>
      <c r="Q13" s="293" t="s">
        <v>579</v>
      </c>
      <c r="R13" s="213"/>
      <c r="S13" s="213"/>
      <c r="T13" s="213"/>
      <c r="U13" s="213"/>
      <c r="V13" s="213"/>
      <c r="W13" s="213"/>
      <c r="X13" s="213"/>
      <c r="Y13" s="213"/>
      <c r="Z13" s="138"/>
      <c r="AR13" s="137" t="s">
        <v>324</v>
      </c>
      <c r="AS13" s="137">
        <v>0.71</v>
      </c>
    </row>
    <row r="14" spans="1:45" ht="15" customHeight="1">
      <c r="A14" s="947" t="s">
        <v>0</v>
      </c>
      <c r="B14" s="220" t="s">
        <v>2</v>
      </c>
      <c r="C14" s="221"/>
      <c r="D14" s="221"/>
      <c r="E14" s="221"/>
      <c r="F14" s="221"/>
      <c r="G14" s="222"/>
      <c r="H14" s="222"/>
      <c r="I14" s="222"/>
      <c r="J14" s="222"/>
      <c r="K14" s="222"/>
      <c r="L14" s="222"/>
      <c r="M14" s="223"/>
      <c r="N14" s="224" t="s">
        <v>47</v>
      </c>
      <c r="O14" s="564"/>
      <c r="P14" s="228"/>
      <c r="Q14" s="226"/>
      <c r="R14" s="226"/>
      <c r="S14" s="226"/>
      <c r="T14" s="226"/>
      <c r="U14" s="226"/>
      <c r="V14" s="226"/>
      <c r="W14" s="226"/>
      <c r="X14" s="919" t="s">
        <v>14</v>
      </c>
      <c r="Y14" s="920"/>
      <c r="Z14" s="141"/>
      <c r="AR14" s="137" t="s">
        <v>325</v>
      </c>
      <c r="AS14" s="137">
        <v>0.71499999999999997</v>
      </c>
    </row>
    <row r="15" spans="1:45" ht="13.5" customHeight="1">
      <c r="A15" s="948"/>
      <c r="B15" s="227"/>
      <c r="C15" s="228"/>
      <c r="D15" s="228"/>
      <c r="E15" s="229"/>
      <c r="F15" s="230" t="s">
        <v>48</v>
      </c>
      <c r="G15" s="231"/>
      <c r="H15" s="226"/>
      <c r="I15" s="230" t="s">
        <v>49</v>
      </c>
      <c r="J15" s="231"/>
      <c r="K15" s="226"/>
      <c r="L15" s="230" t="s">
        <v>50</v>
      </c>
      <c r="M15" s="226"/>
      <c r="N15" s="227"/>
      <c r="O15" s="229"/>
      <c r="P15" s="230" t="s">
        <v>48</v>
      </c>
      <c r="Q15" s="231"/>
      <c r="R15" s="226"/>
      <c r="S15" s="230" t="s">
        <v>49</v>
      </c>
      <c r="T15" s="231"/>
      <c r="U15" s="226"/>
      <c r="V15" s="230" t="s">
        <v>50</v>
      </c>
      <c r="W15" s="226"/>
      <c r="X15" s="921"/>
      <c r="Y15" s="922"/>
      <c r="Z15" s="140"/>
      <c r="AB15" s="140"/>
      <c r="AR15" s="137" t="s">
        <v>327</v>
      </c>
      <c r="AS15" s="137">
        <v>0.72</v>
      </c>
    </row>
    <row r="16" spans="1:45" ht="37.5" customHeight="1">
      <c r="A16" s="949"/>
      <c r="B16" s="232" t="s">
        <v>15</v>
      </c>
      <c r="C16" s="249" t="s">
        <v>415</v>
      </c>
      <c r="D16" s="233" t="s">
        <v>423</v>
      </c>
      <c r="E16" s="234" t="s">
        <v>417</v>
      </c>
      <c r="F16" s="233" t="s">
        <v>51</v>
      </c>
      <c r="G16" s="233" t="s">
        <v>491</v>
      </c>
      <c r="H16" s="233" t="s">
        <v>419</v>
      </c>
      <c r="I16" s="233" t="s">
        <v>52</v>
      </c>
      <c r="J16" s="233" t="s">
        <v>492</v>
      </c>
      <c r="K16" s="233" t="s">
        <v>420</v>
      </c>
      <c r="L16" s="233" t="s">
        <v>485</v>
      </c>
      <c r="M16" s="233" t="s">
        <v>486</v>
      </c>
      <c r="N16" s="232" t="s">
        <v>15</v>
      </c>
      <c r="O16" s="233" t="s">
        <v>423</v>
      </c>
      <c r="P16" s="233" t="s">
        <v>51</v>
      </c>
      <c r="Q16" s="233" t="s">
        <v>493</v>
      </c>
      <c r="R16" s="233" t="s">
        <v>419</v>
      </c>
      <c r="S16" s="233" t="s">
        <v>52</v>
      </c>
      <c r="T16" s="233" t="s">
        <v>494</v>
      </c>
      <c r="U16" s="233" t="s">
        <v>420</v>
      </c>
      <c r="V16" s="233" t="s">
        <v>487</v>
      </c>
      <c r="W16" s="233" t="s">
        <v>488</v>
      </c>
      <c r="X16" s="234" t="s">
        <v>489</v>
      </c>
      <c r="Y16" s="234" t="s">
        <v>490</v>
      </c>
      <c r="Z16" s="142"/>
      <c r="AA16" s="141"/>
      <c r="AB16" s="141" t="s">
        <v>422</v>
      </c>
      <c r="AC16" s="141"/>
      <c r="AD16" s="141"/>
      <c r="AE16" s="141" t="s">
        <v>425</v>
      </c>
      <c r="AF16" s="141"/>
      <c r="AG16" s="141"/>
      <c r="AH16" s="141"/>
      <c r="AI16" s="141" t="s">
        <v>426</v>
      </c>
      <c r="AJ16" s="141"/>
      <c r="AK16" s="141"/>
      <c r="AL16" s="141"/>
      <c r="AM16" s="141" t="s">
        <v>427</v>
      </c>
      <c r="AN16" s="141"/>
      <c r="AR16" s="137" t="s">
        <v>328</v>
      </c>
      <c r="AS16" s="137">
        <v>0.72499999999999998</v>
      </c>
    </row>
    <row r="17" spans="1:65" ht="16.5" customHeight="1">
      <c r="A17" s="133" t="s">
        <v>1</v>
      </c>
      <c r="B17" s="128"/>
      <c r="C17" s="129"/>
      <c r="D17" s="125" t="s">
        <v>45</v>
      </c>
      <c r="E17" s="126" t="s">
        <v>416</v>
      </c>
      <c r="F17" s="125" t="s">
        <v>19</v>
      </c>
      <c r="G17" s="125" t="s">
        <v>21</v>
      </c>
      <c r="H17" s="125" t="s">
        <v>418</v>
      </c>
      <c r="I17" s="125" t="s">
        <v>19</v>
      </c>
      <c r="J17" s="125" t="s">
        <v>21</v>
      </c>
      <c r="K17" s="125" t="s">
        <v>418</v>
      </c>
      <c r="L17" s="125" t="s">
        <v>8</v>
      </c>
      <c r="M17" s="125" t="s">
        <v>10</v>
      </c>
      <c r="N17" s="129"/>
      <c r="O17" s="125" t="s">
        <v>45</v>
      </c>
      <c r="P17" s="125" t="s">
        <v>19</v>
      </c>
      <c r="Q17" s="125" t="s">
        <v>21</v>
      </c>
      <c r="R17" s="125" t="s">
        <v>418</v>
      </c>
      <c r="S17" s="125" t="s">
        <v>19</v>
      </c>
      <c r="T17" s="125" t="s">
        <v>21</v>
      </c>
      <c r="U17" s="125" t="s">
        <v>418</v>
      </c>
      <c r="V17" s="125" t="s">
        <v>8</v>
      </c>
      <c r="W17" s="125" t="s">
        <v>10</v>
      </c>
      <c r="X17" s="125" t="s">
        <v>8</v>
      </c>
      <c r="Y17" s="127" t="s">
        <v>10</v>
      </c>
      <c r="Z17" s="142"/>
      <c r="AA17" s="141"/>
      <c r="AB17" s="141">
        <v>1</v>
      </c>
      <c r="AC17" s="141" t="s">
        <v>330</v>
      </c>
      <c r="AD17" s="141" t="s">
        <v>332</v>
      </c>
      <c r="AE17" s="141"/>
      <c r="AF17" s="141" t="s">
        <v>330</v>
      </c>
      <c r="AG17" s="141" t="s">
        <v>332</v>
      </c>
      <c r="AH17" s="141" t="s">
        <v>483</v>
      </c>
      <c r="AI17" s="141"/>
      <c r="AJ17" s="141" t="s">
        <v>330</v>
      </c>
      <c r="AK17" s="141" t="s">
        <v>332</v>
      </c>
      <c r="AL17" s="141"/>
      <c r="AM17" s="141" t="s">
        <v>330</v>
      </c>
      <c r="AN17" s="141" t="s">
        <v>332</v>
      </c>
      <c r="AR17" s="141" t="s">
        <v>329</v>
      </c>
      <c r="AS17" s="141">
        <v>0.73</v>
      </c>
      <c r="BH17" s="141"/>
      <c r="BI17" s="141"/>
      <c r="BJ17" s="141"/>
      <c r="BK17" s="141"/>
      <c r="BL17" s="141"/>
      <c r="BM17" s="141"/>
    </row>
    <row r="18" spans="1:65" s="141" customFormat="1" ht="24" customHeight="1">
      <c r="A18" s="134" t="s">
        <v>424</v>
      </c>
      <c r="B18" s="614" t="s">
        <v>232</v>
      </c>
      <c r="C18" s="592" t="s">
        <v>393</v>
      </c>
      <c r="D18" s="614">
        <v>2</v>
      </c>
      <c r="E18" s="619" t="s">
        <v>283</v>
      </c>
      <c r="F18" s="654">
        <v>28</v>
      </c>
      <c r="G18" s="655">
        <v>8.48</v>
      </c>
      <c r="H18" s="572">
        <v>170</v>
      </c>
      <c r="I18" s="656">
        <v>31.5</v>
      </c>
      <c r="J18" s="655">
        <v>8.59</v>
      </c>
      <c r="K18" s="572">
        <v>150</v>
      </c>
      <c r="L18" s="330">
        <f>(D18*G18*H18*12*AC18/AD18+D18*J18*K18*12*AF18/AG18)/AH18</f>
        <v>23971.296332681748</v>
      </c>
      <c r="M18" s="332">
        <f>L18*'CO₂係数 '!$I$33</f>
        <v>11.865791684677465</v>
      </c>
      <c r="N18" s="614" t="s">
        <v>53</v>
      </c>
      <c r="O18" s="593">
        <v>2</v>
      </c>
      <c r="P18" s="654">
        <v>28</v>
      </c>
      <c r="Q18" s="655">
        <v>7.64</v>
      </c>
      <c r="R18" s="330">
        <f>IF(H18=0,0,H18)</f>
        <v>170</v>
      </c>
      <c r="S18" s="656">
        <v>31.5</v>
      </c>
      <c r="T18" s="655">
        <v>7.7</v>
      </c>
      <c r="U18" s="330">
        <f>IF(K18=0,0,K18)</f>
        <v>150</v>
      </c>
      <c r="V18" s="615">
        <f>O18*Q18*R18*12*AJ18/AK18+O18*T18*U18*12*AM18/AN18</f>
        <v>10465.752418075728</v>
      </c>
      <c r="W18" s="332">
        <f>V18*'CO₂係数 '!$I$33</f>
        <v>5.180547446947485</v>
      </c>
      <c r="X18" s="330">
        <f>IFERROR(L18-V18,"")</f>
        <v>13505.54391460602</v>
      </c>
      <c r="Y18" s="332">
        <f>IFERROR(M18-W18,"")</f>
        <v>6.6852442377299797</v>
      </c>
      <c r="Z18" s="143"/>
      <c r="AA18" s="144">
        <f t="shared" ref="AA18:AA39" si="0">IF(E18="インバータ",1,"")</f>
        <v>1</v>
      </c>
      <c r="AB18" s="144">
        <f>IFERROR(INDEX(冷房日数,MATCH(H18,冷房日数,1),1),0)</f>
        <v>168</v>
      </c>
      <c r="AC18" s="145">
        <f>IFERROR(INDEX(負荷率取得,MATCH(H18,冷房日数,1)+5,1),)</f>
        <v>0.3914583333333333</v>
      </c>
      <c r="AD18" s="146">
        <f t="shared" ref="AD18:AD39" si="1">IF($AA18=1,INDEX(COP補正,MATCH(C18,$AV$41:$AV$61,0),5)*AC18+INDEX(COP補正,MATCH(C18,$AV$41:$AV$61,0),10),$BI$41*AC18+$BK$41)</f>
        <v>1.217905078125</v>
      </c>
      <c r="AE18" s="147">
        <f t="shared" ref="AE18:AE19" si="2">INDEX(暖房日数,MATCH(K18,暖房日数,1),1)</f>
        <v>120</v>
      </c>
      <c r="AF18" s="146">
        <f>IFERROR(INDEX(負荷率取得,MATCH(K18,暖房日数,1),1),0)</f>
        <v>0.28634999999999999</v>
      </c>
      <c r="AG18" s="146">
        <f t="shared" ref="AG18:AG39" si="3">IF($AA18=1,INDEX(COP補正,MATCH(C18,$AV$41:$AV$61,0),6)*AF18+INDEX(COP補正,MATCH(C18,$AV$41:$AV$61,0),11),$BI$41*AF18+$BK$41)</f>
        <v>1.1680712499999999</v>
      </c>
      <c r="AH18" s="146">
        <f t="shared" ref="AH18:AH39" si="4">IFERROR(VLOOKUP(C18,$BN$40:$BP$64,3,FALSE)/$BP$64,1)</f>
        <v>0.78016412202751217</v>
      </c>
      <c r="AI18" s="146"/>
      <c r="AJ18" s="148">
        <f>IFERROR(INDEX(負荷率取得,MATCH(R18,冷房日数,1)+5,1),0)</f>
        <v>0.3914583333333333</v>
      </c>
      <c r="AK18" s="146">
        <f t="shared" ref="AK18:AK39" si="5">INDEX(COP補正,25,5)*AJ18+INDEX(COP補正,25,10)</f>
        <v>2.0418517968750001</v>
      </c>
      <c r="AM18" s="146">
        <f t="shared" ref="AM18:AM19" si="6">INDEX(負荷率取得,MATCH(U18,暖房日数,1),1)</f>
        <v>0.28634999999999999</v>
      </c>
      <c r="AN18" s="146">
        <f t="shared" ref="AN18:AN39" si="7">INDEX(COP補正,25,6)*AM18+INDEX(COP補正,25,11)</f>
        <v>1.7679651062499997</v>
      </c>
      <c r="AR18" s="141" t="s">
        <v>331</v>
      </c>
      <c r="AS18" s="141">
        <v>0.73499999999999999</v>
      </c>
      <c r="BK18" s="151" t="s">
        <v>482</v>
      </c>
    </row>
    <row r="19" spans="1:65" s="141" customFormat="1" ht="17.100000000000001" customHeight="1" thickBot="1">
      <c r="A19" s="713" t="s">
        <v>30</v>
      </c>
      <c r="B19" s="715"/>
      <c r="C19" s="715"/>
      <c r="D19" s="716">
        <f>_xlfn.AGGREGATE(9,7,D20:D39)</f>
        <v>0</v>
      </c>
      <c r="E19" s="715"/>
      <c r="F19" s="717">
        <f>SUMPRODUCT($D20:$D39*F20:F39)</f>
        <v>0</v>
      </c>
      <c r="G19" s="756"/>
      <c r="H19" s="696"/>
      <c r="I19" s="717">
        <f>SUMPRODUCT($D20:$D39*I20:I39)</f>
        <v>0</v>
      </c>
      <c r="J19" s="756"/>
      <c r="K19" s="696"/>
      <c r="L19" s="694">
        <f>_xlfn.AGGREGATE(9,7,L20:L39)</f>
        <v>0</v>
      </c>
      <c r="M19" s="695">
        <f>_xlfn.AGGREGATE(9,7,M20:M39)</f>
        <v>0</v>
      </c>
      <c r="N19" s="715"/>
      <c r="O19" s="716">
        <f>_xlfn.AGGREGATE(9,7,O20:O39)</f>
        <v>0</v>
      </c>
      <c r="P19" s="717">
        <f>SUMPRODUCT($O20:$O39*P20:P39)</f>
        <v>0</v>
      </c>
      <c r="Q19" s="756"/>
      <c r="R19" s="696"/>
      <c r="S19" s="717">
        <f>SUMPRODUCT($O20:$O39*S20:S39)</f>
        <v>0</v>
      </c>
      <c r="T19" s="756"/>
      <c r="U19" s="696"/>
      <c r="V19" s="694">
        <f>_xlfn.AGGREGATE(9,7,V20:V39)</f>
        <v>0</v>
      </c>
      <c r="W19" s="697">
        <f>_xlfn.AGGREGATE(9,7,W20:W39)</f>
        <v>0</v>
      </c>
      <c r="X19" s="694">
        <f>_xlfn.AGGREGATE(9,7,X20:X39)</f>
        <v>0</v>
      </c>
      <c r="Y19" s="698">
        <f>_xlfn.AGGREGATE(9,7,Y20:Y39)</f>
        <v>0</v>
      </c>
      <c r="Z19" s="143"/>
      <c r="AA19" s="144" t="str">
        <f t="shared" si="0"/>
        <v/>
      </c>
      <c r="AB19" s="144">
        <f t="shared" ref="AB19" si="8">INDEX(冷房日数,MATCH(H19,冷房日数,1),1)</f>
        <v>0</v>
      </c>
      <c r="AC19" s="145">
        <f t="shared" ref="AC19" si="9">INDEX(負荷率取得,MATCH(H19,冷房日数,1)+5,1)</f>
        <v>0.28634999999999999</v>
      </c>
      <c r="AD19" s="146">
        <f t="shared" si="1"/>
        <v>0.82158750000000003</v>
      </c>
      <c r="AE19" s="147">
        <f t="shared" si="2"/>
        <v>0</v>
      </c>
      <c r="AF19" s="146">
        <f t="shared" ref="AF19" si="10">INDEX(負荷率取得,MATCH(K19,暖房日数,1),1)</f>
        <v>0.372</v>
      </c>
      <c r="AG19" s="146">
        <f t="shared" si="3"/>
        <v>0.84299999999999997</v>
      </c>
      <c r="AH19" s="146">
        <f t="shared" si="4"/>
        <v>1</v>
      </c>
      <c r="AI19" s="146"/>
      <c r="AJ19" s="146">
        <f t="shared" ref="AJ19" si="11">INDEX(負荷率取得,MATCH(R19,冷房日数,1)+5,1)</f>
        <v>0.28634999999999999</v>
      </c>
      <c r="AK19" s="146">
        <f t="shared" si="5"/>
        <v>2.2209169812499998</v>
      </c>
      <c r="AM19" s="146">
        <f t="shared" si="6"/>
        <v>0.372</v>
      </c>
      <c r="AN19" s="146">
        <f t="shared" si="7"/>
        <v>1.6766514999999997</v>
      </c>
      <c r="AR19" s="141" t="s">
        <v>333</v>
      </c>
      <c r="AS19" s="141">
        <v>0.74</v>
      </c>
      <c r="AV19" s="141" t="s">
        <v>334</v>
      </c>
      <c r="BK19" s="153" t="s">
        <v>341</v>
      </c>
      <c r="BL19" s="141" t="s">
        <v>340</v>
      </c>
    </row>
    <row r="20" spans="1:65" s="141" customFormat="1" ht="17.100000000000001" customHeight="1">
      <c r="A20" s="683">
        <v>1</v>
      </c>
      <c r="B20" s="684"/>
      <c r="C20" s="685"/>
      <c r="D20" s="684"/>
      <c r="E20" s="686"/>
      <c r="F20" s="687"/>
      <c r="G20" s="688"/>
      <c r="H20" s="689"/>
      <c r="I20" s="690"/>
      <c r="J20" s="688"/>
      <c r="K20" s="689"/>
      <c r="L20" s="691" t="str">
        <f>IF(D20="","",(D20*G20*H20*O$13*AC20/AD20+D20*J20*K20*O$13*AF20/AG20)/AH20)</f>
        <v/>
      </c>
      <c r="M20" s="692" t="str">
        <f>IFERROR(L20*'CO₂係数 '!$I$33,"")</f>
        <v/>
      </c>
      <c r="N20" s="684"/>
      <c r="O20" s="684"/>
      <c r="P20" s="687"/>
      <c r="Q20" s="688"/>
      <c r="R20" s="701" t="str">
        <f>IF(H20="","",H20)</f>
        <v/>
      </c>
      <c r="S20" s="693"/>
      <c r="T20" s="688"/>
      <c r="U20" s="691" t="str">
        <f>IF(K20="","",K20)</f>
        <v/>
      </c>
      <c r="V20" s="691" t="str">
        <f>IF(O20="","",O20*Q20*R20*O$13*AJ20/AK20+O20*T20*U20*O$13*AM20/AN20)</f>
        <v/>
      </c>
      <c r="W20" s="877" t="str">
        <f>IFERROR(V20*'CO₂係数 '!$I$33,"")</f>
        <v/>
      </c>
      <c r="X20" s="691" t="str">
        <f t="shared" ref="X20" si="12">IFERROR(IF(L20="",V20*-1,L20-V20),"")</f>
        <v/>
      </c>
      <c r="Y20" s="878" t="str">
        <f>IFERROR(IF(M20="",X20*-1,M20-W20),"")</f>
        <v/>
      </c>
      <c r="Z20" s="143"/>
      <c r="AA20" s="144" t="str">
        <f t="shared" si="0"/>
        <v/>
      </c>
      <c r="AB20" s="144">
        <f t="shared" ref="AB20:AB39" si="13">IFERROR(INDEX(冷房日数,MATCH(H20,冷房日数,1),1),0)</f>
        <v>0</v>
      </c>
      <c r="AC20" s="145">
        <f>IFERROR(INDEX(負荷率取得,MATCH(H20,冷房日数,1)+5,1),)</f>
        <v>0.28634999999999999</v>
      </c>
      <c r="AD20" s="146">
        <f t="shared" si="1"/>
        <v>0.82158750000000003</v>
      </c>
      <c r="AE20" s="147">
        <f t="shared" ref="AE20:AE39" si="14">IFERROR(INDEX(暖房日数,MATCH(K20,暖房日数,1),1),0)</f>
        <v>0</v>
      </c>
      <c r="AF20" s="146">
        <f t="shared" ref="AF20:AF39" si="15">IFERROR(INDEX(負荷率取得,MATCH(K20,暖房日数,1),1),0)</f>
        <v>0.372</v>
      </c>
      <c r="AG20" s="146">
        <f t="shared" si="3"/>
        <v>0.84299999999999997</v>
      </c>
      <c r="AH20" s="146">
        <f t="shared" si="4"/>
        <v>1</v>
      </c>
      <c r="AI20" s="146"/>
      <c r="AJ20" s="148">
        <f t="shared" ref="AJ20:AJ39" si="16">IFERROR(INDEX(負荷率取得,MATCH(R20,冷房日数,1)+5,1),0)</f>
        <v>0</v>
      </c>
      <c r="AK20" s="146">
        <f t="shared" si="5"/>
        <v>2.7087499999999998</v>
      </c>
      <c r="AM20" s="146">
        <f t="shared" ref="AM20:AM39" si="17">IFERROR(INDEX(負荷率取得,MATCH(U20,暖房日数,1),1),0)</f>
        <v>0</v>
      </c>
      <c r="AN20" s="146">
        <f t="shared" si="7"/>
        <v>2.0732499999999998</v>
      </c>
      <c r="AR20" s="141" t="s">
        <v>335</v>
      </c>
      <c r="AS20" s="141">
        <v>0.745</v>
      </c>
      <c r="AV20" s="149" t="s">
        <v>421</v>
      </c>
      <c r="AW20" s="150"/>
      <c r="AX20" s="150"/>
      <c r="BD20" s="151" t="s">
        <v>482</v>
      </c>
      <c r="BH20" s="154"/>
      <c r="BI20" s="154"/>
      <c r="BJ20" s="141">
        <v>0</v>
      </c>
      <c r="BK20" s="156">
        <v>0.372</v>
      </c>
      <c r="BL20" s="157">
        <f>AVERAGE(BK20:BK$21)</f>
        <v>0.372</v>
      </c>
    </row>
    <row r="21" spans="1:65" s="141" customFormat="1" ht="17.100000000000001" customHeight="1">
      <c r="A21" s="16">
        <v>2</v>
      </c>
      <c r="B21" s="616"/>
      <c r="C21" s="489"/>
      <c r="D21" s="616"/>
      <c r="E21" s="618"/>
      <c r="F21" s="644"/>
      <c r="G21" s="645"/>
      <c r="H21" s="641"/>
      <c r="I21" s="646"/>
      <c r="J21" s="645"/>
      <c r="K21" s="641"/>
      <c r="L21" s="613" t="str">
        <f t="shared" ref="L21:L39" si="18">IF(D21="","",(D21*G21*H21*O$13*AC21/AD21+D21*J21*K21*O$13*AF21/AG21)/AH21)</f>
        <v/>
      </c>
      <c r="M21" s="617" t="str">
        <f>IFERROR(L21*'CO₂係数 '!$I$33,"")</f>
        <v/>
      </c>
      <c r="N21" s="616"/>
      <c r="O21" s="616"/>
      <c r="P21" s="644"/>
      <c r="Q21" s="645"/>
      <c r="R21" s="657" t="str">
        <f t="shared" ref="R21:R39" si="19">IF(H21="","",H21)</f>
        <v/>
      </c>
      <c r="S21" s="647"/>
      <c r="T21" s="645"/>
      <c r="U21" s="613" t="str">
        <f t="shared" ref="U21:U39" si="20">IF(K21="","",K21)</f>
        <v/>
      </c>
      <c r="V21" s="613" t="str">
        <f t="shared" ref="V21:V39" si="21">IF(O21="","",O21*Q21*R21*O$13*AJ21/AK21+O21*T21*U21*O$13*AM21/AN21)</f>
        <v/>
      </c>
      <c r="W21" s="879" t="str">
        <f>IFERROR(V21*'CO₂係数 '!$I$33,"")</f>
        <v/>
      </c>
      <c r="X21" s="613" t="str">
        <f>IFERROR(IF(L21="",V21*-1,L21-V21),"")</f>
        <v/>
      </c>
      <c r="Y21" s="880" t="str">
        <f t="shared" ref="Y21:Y37" si="22">IFERROR(IF(M21="",X21*-1,M21-W21),"")</f>
        <v/>
      </c>
      <c r="Z21" s="143"/>
      <c r="AA21" s="144" t="str">
        <f t="shared" si="0"/>
        <v/>
      </c>
      <c r="AB21" s="144">
        <f t="shared" si="13"/>
        <v>0</v>
      </c>
      <c r="AC21" s="145">
        <f t="shared" ref="AC21:AC39" si="23">IFERROR(INDEX(負荷率取得,MATCH(H21,冷房日数,1)+5,1),)</f>
        <v>0.28634999999999999</v>
      </c>
      <c r="AD21" s="146">
        <f t="shared" si="1"/>
        <v>0.82158750000000003</v>
      </c>
      <c r="AE21" s="147">
        <f t="shared" si="14"/>
        <v>0</v>
      </c>
      <c r="AF21" s="146">
        <f t="shared" si="15"/>
        <v>0.372</v>
      </c>
      <c r="AG21" s="146">
        <f t="shared" si="3"/>
        <v>0.84299999999999997</v>
      </c>
      <c r="AH21" s="146">
        <f t="shared" si="4"/>
        <v>1</v>
      </c>
      <c r="AI21" s="146"/>
      <c r="AJ21" s="148">
        <f t="shared" si="16"/>
        <v>0</v>
      </c>
      <c r="AK21" s="146">
        <f t="shared" si="5"/>
        <v>2.7087499999999998</v>
      </c>
      <c r="AM21" s="146">
        <f t="shared" si="17"/>
        <v>0</v>
      </c>
      <c r="AN21" s="146">
        <f t="shared" si="7"/>
        <v>2.0732499999999998</v>
      </c>
      <c r="AP21" s="152">
        <v>0.5</v>
      </c>
      <c r="AR21" s="141" t="s">
        <v>336</v>
      </c>
      <c r="AS21" s="141">
        <v>0.75</v>
      </c>
      <c r="AV21" s="153" t="s">
        <v>337</v>
      </c>
      <c r="AW21" s="153" t="s">
        <v>338</v>
      </c>
      <c r="AX21" s="153" t="s">
        <v>339</v>
      </c>
      <c r="AY21" s="150" t="s">
        <v>340</v>
      </c>
      <c r="BD21" s="153" t="s">
        <v>341</v>
      </c>
      <c r="BE21" s="150" t="s">
        <v>340</v>
      </c>
      <c r="BH21" s="154" t="s">
        <v>349</v>
      </c>
      <c r="BI21" s="154" t="s">
        <v>49</v>
      </c>
      <c r="BJ21" s="141">
        <v>24</v>
      </c>
      <c r="BK21" s="156">
        <v>0.372</v>
      </c>
      <c r="BL21" s="157">
        <f>AVERAGE(BK$21:BK21)</f>
        <v>0.372</v>
      </c>
      <c r="BM21" s="141">
        <v>23</v>
      </c>
    </row>
    <row r="22" spans="1:65" s="141" customFormat="1" ht="17.100000000000001" customHeight="1">
      <c r="A22" s="16">
        <v>3</v>
      </c>
      <c r="B22" s="616"/>
      <c r="C22" s="489"/>
      <c r="D22" s="616"/>
      <c r="E22" s="618"/>
      <c r="F22" s="644"/>
      <c r="G22" s="645"/>
      <c r="H22" s="641"/>
      <c r="I22" s="646"/>
      <c r="J22" s="645"/>
      <c r="K22" s="641"/>
      <c r="L22" s="613" t="str">
        <f t="shared" si="18"/>
        <v/>
      </c>
      <c r="M22" s="617" t="str">
        <f>IFERROR(L22*'CO₂係数 '!$I$33,"")</f>
        <v/>
      </c>
      <c r="N22" s="616"/>
      <c r="O22" s="616"/>
      <c r="P22" s="644"/>
      <c r="Q22" s="645"/>
      <c r="R22" s="657" t="str">
        <f t="shared" si="19"/>
        <v/>
      </c>
      <c r="S22" s="647"/>
      <c r="T22" s="645"/>
      <c r="U22" s="613" t="str">
        <f t="shared" si="20"/>
        <v/>
      </c>
      <c r="V22" s="613" t="str">
        <f t="shared" si="21"/>
        <v/>
      </c>
      <c r="W22" s="879" t="str">
        <f>IFERROR(V22*'CO₂係数 '!$I$33,"")</f>
        <v/>
      </c>
      <c r="X22" s="613" t="str">
        <f t="shared" ref="X22:X37" si="24">IFERROR(IF(L22="",V22*-1,L22-V22),"")</f>
        <v/>
      </c>
      <c r="Y22" s="880" t="str">
        <f t="shared" si="22"/>
        <v/>
      </c>
      <c r="Z22" s="143"/>
      <c r="AA22" s="144" t="str">
        <f t="shared" si="0"/>
        <v/>
      </c>
      <c r="AB22" s="144">
        <f t="shared" si="13"/>
        <v>0</v>
      </c>
      <c r="AC22" s="145">
        <f t="shared" si="23"/>
        <v>0.28634999999999999</v>
      </c>
      <c r="AD22" s="146">
        <f t="shared" si="1"/>
        <v>0.82158750000000003</v>
      </c>
      <c r="AE22" s="147">
        <f t="shared" si="14"/>
        <v>0</v>
      </c>
      <c r="AF22" s="146">
        <f t="shared" si="15"/>
        <v>0.372</v>
      </c>
      <c r="AG22" s="146">
        <f t="shared" si="3"/>
        <v>0.84299999999999997</v>
      </c>
      <c r="AH22" s="146">
        <f t="shared" si="4"/>
        <v>1</v>
      </c>
      <c r="AI22" s="146"/>
      <c r="AJ22" s="148">
        <f t="shared" si="16"/>
        <v>0</v>
      </c>
      <c r="AK22" s="146">
        <f t="shared" si="5"/>
        <v>2.7087499999999998</v>
      </c>
      <c r="AM22" s="146">
        <f t="shared" si="17"/>
        <v>0</v>
      </c>
      <c r="AN22" s="146">
        <f t="shared" si="7"/>
        <v>2.0732499999999998</v>
      </c>
      <c r="AP22" s="152">
        <v>0.4</v>
      </c>
      <c r="AR22" s="141" t="s">
        <v>342</v>
      </c>
      <c r="AS22" s="141">
        <v>0.755</v>
      </c>
      <c r="AU22" s="154" t="s">
        <v>343</v>
      </c>
      <c r="AV22" s="155">
        <v>0.59050000000000002</v>
      </c>
      <c r="AW22" s="156">
        <v>0</v>
      </c>
      <c r="AX22" s="156">
        <v>0.59050000000000002</v>
      </c>
      <c r="AY22" s="157">
        <f>AVERAGE(AX$22:AX22)</f>
        <v>0.59050000000000002</v>
      </c>
      <c r="BA22" s="154" t="s">
        <v>343</v>
      </c>
      <c r="BB22" s="154" t="s">
        <v>48</v>
      </c>
      <c r="BC22" s="141">
        <v>24</v>
      </c>
      <c r="BD22" s="155">
        <f>AX22</f>
        <v>0.59050000000000002</v>
      </c>
      <c r="BE22" s="157">
        <f>AVERAGE(BD$22:BD22)</f>
        <v>0.59050000000000002</v>
      </c>
      <c r="BF22" s="141">
        <v>22</v>
      </c>
      <c r="BH22" s="154" t="s">
        <v>351</v>
      </c>
      <c r="BI22" s="154" t="s">
        <v>49</v>
      </c>
      <c r="BJ22" s="141">
        <f>BJ21+24</f>
        <v>48</v>
      </c>
      <c r="BK22" s="156">
        <v>0.35100000000000003</v>
      </c>
      <c r="BL22" s="158">
        <f>AVERAGE(BK$21:BK22)</f>
        <v>0.36150000000000004</v>
      </c>
      <c r="BM22" s="141">
        <v>22</v>
      </c>
    </row>
    <row r="23" spans="1:65" s="141" customFormat="1" ht="17.100000000000001" customHeight="1">
      <c r="A23" s="16">
        <v>4</v>
      </c>
      <c r="B23" s="616"/>
      <c r="C23" s="489"/>
      <c r="D23" s="616"/>
      <c r="E23" s="618"/>
      <c r="F23" s="644"/>
      <c r="G23" s="645"/>
      <c r="H23" s="641"/>
      <c r="I23" s="646"/>
      <c r="J23" s="645"/>
      <c r="K23" s="641"/>
      <c r="L23" s="613" t="str">
        <f t="shared" si="18"/>
        <v/>
      </c>
      <c r="M23" s="617" t="str">
        <f>IFERROR(L23*'CO₂係数 '!$I$33,"")</f>
        <v/>
      </c>
      <c r="N23" s="616"/>
      <c r="O23" s="616"/>
      <c r="P23" s="644"/>
      <c r="Q23" s="645"/>
      <c r="R23" s="657" t="str">
        <f t="shared" si="19"/>
        <v/>
      </c>
      <c r="S23" s="647"/>
      <c r="T23" s="645"/>
      <c r="U23" s="613" t="str">
        <f t="shared" si="20"/>
        <v/>
      </c>
      <c r="V23" s="613" t="str">
        <f t="shared" si="21"/>
        <v/>
      </c>
      <c r="W23" s="879" t="str">
        <f>IFERROR(V23*'CO₂係数 '!$I$33,"")</f>
        <v/>
      </c>
      <c r="X23" s="613" t="str">
        <f t="shared" si="24"/>
        <v/>
      </c>
      <c r="Y23" s="880" t="str">
        <f t="shared" si="22"/>
        <v/>
      </c>
      <c r="Z23" s="143"/>
      <c r="AA23" s="144" t="str">
        <f t="shared" si="0"/>
        <v/>
      </c>
      <c r="AB23" s="144">
        <f t="shared" si="13"/>
        <v>0</v>
      </c>
      <c r="AC23" s="145">
        <f t="shared" si="23"/>
        <v>0.28634999999999999</v>
      </c>
      <c r="AD23" s="146">
        <f t="shared" si="1"/>
        <v>0.82158750000000003</v>
      </c>
      <c r="AE23" s="147">
        <f t="shared" si="14"/>
        <v>0</v>
      </c>
      <c r="AF23" s="146">
        <f t="shared" si="15"/>
        <v>0.372</v>
      </c>
      <c r="AG23" s="146">
        <f t="shared" si="3"/>
        <v>0.84299999999999997</v>
      </c>
      <c r="AH23" s="146">
        <f t="shared" si="4"/>
        <v>1</v>
      </c>
      <c r="AI23" s="146"/>
      <c r="AJ23" s="148">
        <f t="shared" si="16"/>
        <v>0</v>
      </c>
      <c r="AK23" s="146">
        <f t="shared" si="5"/>
        <v>2.7087499999999998</v>
      </c>
      <c r="AM23" s="146">
        <f t="shared" si="17"/>
        <v>0</v>
      </c>
      <c r="AN23" s="146">
        <f t="shared" si="7"/>
        <v>2.0732499999999998</v>
      </c>
      <c r="AP23" s="152">
        <v>0.3</v>
      </c>
      <c r="AR23" s="141" t="s">
        <v>344</v>
      </c>
      <c r="AS23" s="141">
        <v>0.76</v>
      </c>
      <c r="AU23" s="154" t="s">
        <v>345</v>
      </c>
      <c r="AV23" s="155">
        <v>0.5625</v>
      </c>
      <c r="AW23" s="156">
        <v>0</v>
      </c>
      <c r="AX23" s="156">
        <v>0.5625</v>
      </c>
      <c r="AY23" s="157">
        <f>AVERAGE(AX$22:AX23)</f>
        <v>0.57650000000000001</v>
      </c>
      <c r="BA23" s="154" t="s">
        <v>345</v>
      </c>
      <c r="BB23" s="154" t="s">
        <v>48</v>
      </c>
      <c r="BC23" s="141">
        <f>BC22+24</f>
        <v>48</v>
      </c>
      <c r="BD23" s="155">
        <f t="shared" ref="BD23:BD33" si="25">AX23</f>
        <v>0.5625</v>
      </c>
      <c r="BE23" s="157">
        <f>AVERAGE(BD$22:BD23)</f>
        <v>0.57650000000000001</v>
      </c>
      <c r="BF23" s="141">
        <v>26</v>
      </c>
      <c r="BH23" s="154" t="s">
        <v>355</v>
      </c>
      <c r="BI23" s="154" t="s">
        <v>49</v>
      </c>
      <c r="BJ23" s="141">
        <f>BJ22+24</f>
        <v>72</v>
      </c>
      <c r="BK23" s="156">
        <v>0.28425</v>
      </c>
      <c r="BL23" s="157">
        <f>AVERAGE(BK$21:BK23)</f>
        <v>0.33574999999999999</v>
      </c>
      <c r="BM23" s="141">
        <v>25</v>
      </c>
    </row>
    <row r="24" spans="1:65" s="141" customFormat="1" ht="17.100000000000001" customHeight="1">
      <c r="A24" s="16">
        <v>5</v>
      </c>
      <c r="B24" s="616"/>
      <c r="C24" s="489"/>
      <c r="D24" s="616"/>
      <c r="E24" s="618"/>
      <c r="F24" s="644"/>
      <c r="G24" s="645"/>
      <c r="H24" s="641"/>
      <c r="I24" s="646"/>
      <c r="J24" s="645"/>
      <c r="K24" s="641"/>
      <c r="L24" s="613" t="str">
        <f t="shared" si="18"/>
        <v/>
      </c>
      <c r="M24" s="617" t="str">
        <f>IFERROR(L24*'CO₂係数 '!$I$33,"")</f>
        <v/>
      </c>
      <c r="N24" s="616"/>
      <c r="O24" s="616"/>
      <c r="P24" s="644"/>
      <c r="Q24" s="645"/>
      <c r="R24" s="657" t="str">
        <f t="shared" si="19"/>
        <v/>
      </c>
      <c r="S24" s="647"/>
      <c r="T24" s="645"/>
      <c r="U24" s="613" t="str">
        <f t="shared" si="20"/>
        <v/>
      </c>
      <c r="V24" s="613" t="str">
        <f t="shared" si="21"/>
        <v/>
      </c>
      <c r="W24" s="879" t="str">
        <f>IFERROR(V24*'CO₂係数 '!$I$33,"")</f>
        <v/>
      </c>
      <c r="X24" s="613" t="str">
        <f t="shared" si="24"/>
        <v/>
      </c>
      <c r="Y24" s="880" t="str">
        <f t="shared" si="22"/>
        <v/>
      </c>
      <c r="Z24" s="143"/>
      <c r="AA24" s="144" t="str">
        <f t="shared" si="0"/>
        <v/>
      </c>
      <c r="AB24" s="144">
        <f t="shared" si="13"/>
        <v>0</v>
      </c>
      <c r="AC24" s="145">
        <f t="shared" si="23"/>
        <v>0.28634999999999999</v>
      </c>
      <c r="AD24" s="146">
        <f t="shared" si="1"/>
        <v>0.82158750000000003</v>
      </c>
      <c r="AE24" s="147">
        <f t="shared" si="14"/>
        <v>0</v>
      </c>
      <c r="AF24" s="146">
        <f t="shared" si="15"/>
        <v>0.372</v>
      </c>
      <c r="AG24" s="146">
        <f t="shared" si="3"/>
        <v>0.84299999999999997</v>
      </c>
      <c r="AH24" s="146">
        <f t="shared" si="4"/>
        <v>1</v>
      </c>
      <c r="AI24" s="146"/>
      <c r="AJ24" s="148">
        <f t="shared" si="16"/>
        <v>0</v>
      </c>
      <c r="AK24" s="146">
        <f t="shared" si="5"/>
        <v>2.7087499999999998</v>
      </c>
      <c r="AM24" s="146">
        <f t="shared" si="17"/>
        <v>0</v>
      </c>
      <c r="AN24" s="146">
        <f t="shared" si="7"/>
        <v>2.0732499999999998</v>
      </c>
      <c r="AP24" s="152">
        <v>0.2</v>
      </c>
      <c r="AR24" s="141" t="s">
        <v>346</v>
      </c>
      <c r="AS24" s="141">
        <v>0.76500000000000001</v>
      </c>
      <c r="AU24" s="154" t="s">
        <v>347</v>
      </c>
      <c r="AV24" s="155">
        <v>0.43099999999999999</v>
      </c>
      <c r="AW24" s="156">
        <v>0</v>
      </c>
      <c r="AX24" s="156">
        <v>0.43099999999999999</v>
      </c>
      <c r="AY24" s="157">
        <f>AVERAGE(AX$22:AX24)</f>
        <v>0.52800000000000002</v>
      </c>
      <c r="BA24" s="154" t="s">
        <v>347</v>
      </c>
      <c r="BB24" s="154" t="s">
        <v>48</v>
      </c>
      <c r="BC24" s="141">
        <f>BC23+24</f>
        <v>72</v>
      </c>
      <c r="BD24" s="155">
        <f t="shared" si="25"/>
        <v>0.43099999999999999</v>
      </c>
      <c r="BE24" s="157">
        <f>AVERAGE(BD$22:BD24)</f>
        <v>0.52800000000000002</v>
      </c>
      <c r="BF24" s="141">
        <v>24</v>
      </c>
      <c r="BH24" s="154" t="s">
        <v>357</v>
      </c>
      <c r="BI24" s="154" t="s">
        <v>49</v>
      </c>
      <c r="BJ24" s="141">
        <f t="shared" ref="BJ24:BJ25" si="26">BJ23+24</f>
        <v>96</v>
      </c>
      <c r="BK24" s="156">
        <v>0.26524999999999999</v>
      </c>
      <c r="BL24" s="157">
        <f>AVERAGE(BK$21:BK24)</f>
        <v>0.31812499999999999</v>
      </c>
      <c r="BM24" s="141">
        <v>25</v>
      </c>
    </row>
    <row r="25" spans="1:65" s="141" customFormat="1" ht="17.100000000000001" customHeight="1">
      <c r="A25" s="16">
        <v>6</v>
      </c>
      <c r="B25" s="616"/>
      <c r="C25" s="489"/>
      <c r="D25" s="616"/>
      <c r="E25" s="618"/>
      <c r="F25" s="644"/>
      <c r="G25" s="645"/>
      <c r="H25" s="641"/>
      <c r="I25" s="646"/>
      <c r="J25" s="645"/>
      <c r="K25" s="641"/>
      <c r="L25" s="613" t="str">
        <f t="shared" si="18"/>
        <v/>
      </c>
      <c r="M25" s="617" t="str">
        <f>IFERROR(L25*'CO₂係数 '!$I$33,"")</f>
        <v/>
      </c>
      <c r="N25" s="616"/>
      <c r="O25" s="616"/>
      <c r="P25" s="644"/>
      <c r="Q25" s="645"/>
      <c r="R25" s="657" t="str">
        <f t="shared" si="19"/>
        <v/>
      </c>
      <c r="S25" s="647"/>
      <c r="T25" s="645"/>
      <c r="U25" s="613" t="str">
        <f t="shared" si="20"/>
        <v/>
      </c>
      <c r="V25" s="613" t="str">
        <f t="shared" si="21"/>
        <v/>
      </c>
      <c r="W25" s="879" t="str">
        <f>IFERROR(V25*'CO₂係数 '!$I$33,"")</f>
        <v/>
      </c>
      <c r="X25" s="613" t="str">
        <f t="shared" si="24"/>
        <v/>
      </c>
      <c r="Y25" s="880" t="str">
        <f t="shared" si="22"/>
        <v/>
      </c>
      <c r="Z25" s="143"/>
      <c r="AA25" s="144" t="str">
        <f t="shared" si="0"/>
        <v/>
      </c>
      <c r="AB25" s="144">
        <f t="shared" si="13"/>
        <v>0</v>
      </c>
      <c r="AC25" s="145">
        <f t="shared" si="23"/>
        <v>0.28634999999999999</v>
      </c>
      <c r="AD25" s="146">
        <f t="shared" si="1"/>
        <v>0.82158750000000003</v>
      </c>
      <c r="AE25" s="147">
        <f t="shared" si="14"/>
        <v>0</v>
      </c>
      <c r="AF25" s="146">
        <f t="shared" si="15"/>
        <v>0.372</v>
      </c>
      <c r="AG25" s="146">
        <f t="shared" si="3"/>
        <v>0.84299999999999997</v>
      </c>
      <c r="AH25" s="146">
        <f t="shared" si="4"/>
        <v>1</v>
      </c>
      <c r="AI25" s="146"/>
      <c r="AJ25" s="148">
        <f t="shared" si="16"/>
        <v>0</v>
      </c>
      <c r="AK25" s="146">
        <f t="shared" si="5"/>
        <v>2.7087499999999998</v>
      </c>
      <c r="AM25" s="146">
        <f t="shared" si="17"/>
        <v>0</v>
      </c>
      <c r="AN25" s="146">
        <f t="shared" si="7"/>
        <v>2.0732499999999998</v>
      </c>
      <c r="AR25" s="141" t="s">
        <v>348</v>
      </c>
      <c r="AS25" s="141">
        <v>0.77</v>
      </c>
      <c r="AU25" s="154" t="s">
        <v>349</v>
      </c>
      <c r="AV25" s="156">
        <v>0</v>
      </c>
      <c r="AW25" s="155">
        <v>0.372</v>
      </c>
      <c r="AX25" s="156">
        <v>0.372</v>
      </c>
      <c r="AY25" s="157">
        <f>AVERAGE(AX$22:AX25)</f>
        <v>0.48899999999999999</v>
      </c>
      <c r="BA25" s="154" t="s">
        <v>349</v>
      </c>
      <c r="BB25" s="154" t="s">
        <v>49</v>
      </c>
      <c r="BC25" s="141">
        <f t="shared" ref="BC25:BC33" si="27">BC24+24</f>
        <v>96</v>
      </c>
      <c r="BD25" s="155">
        <f t="shared" si="25"/>
        <v>0.372</v>
      </c>
      <c r="BE25" s="157">
        <f>AVERAGE(BD$22:BD25)</f>
        <v>0.48899999999999999</v>
      </c>
      <c r="BF25" s="141">
        <v>23</v>
      </c>
      <c r="BH25" s="159" t="s">
        <v>363</v>
      </c>
      <c r="BI25" s="159" t="s">
        <v>49</v>
      </c>
      <c r="BJ25" s="160">
        <f t="shared" si="26"/>
        <v>120</v>
      </c>
      <c r="BK25" s="156">
        <v>0.15925</v>
      </c>
      <c r="BL25" s="161">
        <f>AVERAGE(BK$21:BK25)</f>
        <v>0.28634999999999999</v>
      </c>
      <c r="BM25" s="160">
        <v>25</v>
      </c>
    </row>
    <row r="26" spans="1:65" s="141" customFormat="1" ht="17.100000000000001" customHeight="1">
      <c r="A26" s="16">
        <v>7</v>
      </c>
      <c r="B26" s="616"/>
      <c r="C26" s="489"/>
      <c r="D26" s="616"/>
      <c r="E26" s="618"/>
      <c r="F26" s="644"/>
      <c r="G26" s="645"/>
      <c r="H26" s="641"/>
      <c r="I26" s="646"/>
      <c r="J26" s="645"/>
      <c r="K26" s="641"/>
      <c r="L26" s="613" t="str">
        <f t="shared" si="18"/>
        <v/>
      </c>
      <c r="M26" s="617" t="str">
        <f>IFERROR(L26*'CO₂係数 '!$I$33,"")</f>
        <v/>
      </c>
      <c r="N26" s="616"/>
      <c r="O26" s="616"/>
      <c r="P26" s="644"/>
      <c r="Q26" s="645"/>
      <c r="R26" s="657" t="str">
        <f t="shared" si="19"/>
        <v/>
      </c>
      <c r="S26" s="647"/>
      <c r="T26" s="645"/>
      <c r="U26" s="613" t="str">
        <f t="shared" si="20"/>
        <v/>
      </c>
      <c r="V26" s="613" t="str">
        <f t="shared" si="21"/>
        <v/>
      </c>
      <c r="W26" s="879" t="str">
        <f>IFERROR(V26*'CO₂係数 '!$I$33,"")</f>
        <v/>
      </c>
      <c r="X26" s="613" t="str">
        <f t="shared" si="24"/>
        <v/>
      </c>
      <c r="Y26" s="880" t="str">
        <f t="shared" si="22"/>
        <v/>
      </c>
      <c r="Z26" s="143"/>
      <c r="AA26" s="144" t="str">
        <f t="shared" si="0"/>
        <v/>
      </c>
      <c r="AB26" s="144">
        <f t="shared" si="13"/>
        <v>0</v>
      </c>
      <c r="AC26" s="145">
        <f t="shared" si="23"/>
        <v>0.28634999999999999</v>
      </c>
      <c r="AD26" s="146">
        <f t="shared" si="1"/>
        <v>0.82158750000000003</v>
      </c>
      <c r="AE26" s="147">
        <f t="shared" si="14"/>
        <v>0</v>
      </c>
      <c r="AF26" s="146">
        <f t="shared" si="15"/>
        <v>0.372</v>
      </c>
      <c r="AG26" s="146">
        <f t="shared" si="3"/>
        <v>0.84299999999999997</v>
      </c>
      <c r="AH26" s="146">
        <f t="shared" si="4"/>
        <v>1</v>
      </c>
      <c r="AI26" s="146"/>
      <c r="AJ26" s="148">
        <f t="shared" si="16"/>
        <v>0</v>
      </c>
      <c r="AK26" s="146">
        <f t="shared" si="5"/>
        <v>2.7087499999999998</v>
      </c>
      <c r="AM26" s="146">
        <f t="shared" si="17"/>
        <v>0</v>
      </c>
      <c r="AN26" s="146">
        <f t="shared" si="7"/>
        <v>2.0732499999999998</v>
      </c>
      <c r="AR26" s="141" t="s">
        <v>350</v>
      </c>
      <c r="AS26" s="141">
        <v>0.77500000000000002</v>
      </c>
      <c r="AU26" s="154" t="s">
        <v>351</v>
      </c>
      <c r="AV26" s="156">
        <v>0</v>
      </c>
      <c r="AW26" s="155">
        <v>0.35100000000000003</v>
      </c>
      <c r="AX26" s="156">
        <v>0.35100000000000003</v>
      </c>
      <c r="AY26" s="157">
        <f>AVERAGE(AX$22:AX26)</f>
        <v>0.46139999999999998</v>
      </c>
      <c r="BA26" s="154" t="s">
        <v>351</v>
      </c>
      <c r="BB26" s="154" t="s">
        <v>49</v>
      </c>
      <c r="BC26" s="141">
        <f t="shared" si="27"/>
        <v>120</v>
      </c>
      <c r="BD26" s="155">
        <f t="shared" si="25"/>
        <v>0.35100000000000003</v>
      </c>
      <c r="BE26" s="157">
        <f>AVERAGE(BD$22:BD26)</f>
        <v>0.46139999999999998</v>
      </c>
      <c r="BF26" s="141">
        <v>22</v>
      </c>
      <c r="BH26" s="154"/>
      <c r="BI26" s="154"/>
      <c r="BJ26" s="141">
        <v>0</v>
      </c>
      <c r="BK26" s="162">
        <v>0.59050000000000002</v>
      </c>
      <c r="BL26" s="157">
        <f>AVERAGE(BK26:BK$27)</f>
        <v>0.59050000000000002</v>
      </c>
    </row>
    <row r="27" spans="1:65" s="141" customFormat="1" ht="17.100000000000001" customHeight="1">
      <c r="A27" s="16">
        <v>8</v>
      </c>
      <c r="B27" s="616"/>
      <c r="C27" s="489"/>
      <c r="D27" s="616"/>
      <c r="E27" s="618"/>
      <c r="F27" s="644"/>
      <c r="G27" s="645"/>
      <c r="H27" s="641"/>
      <c r="I27" s="646"/>
      <c r="J27" s="645"/>
      <c r="K27" s="641"/>
      <c r="L27" s="613" t="str">
        <f t="shared" si="18"/>
        <v/>
      </c>
      <c r="M27" s="617" t="str">
        <f>IFERROR(L27*'CO₂係数 '!$I$33,"")</f>
        <v/>
      </c>
      <c r="N27" s="616"/>
      <c r="O27" s="616"/>
      <c r="P27" s="644"/>
      <c r="Q27" s="645"/>
      <c r="R27" s="657" t="str">
        <f t="shared" si="19"/>
        <v/>
      </c>
      <c r="S27" s="647"/>
      <c r="T27" s="645"/>
      <c r="U27" s="613" t="str">
        <f t="shared" si="20"/>
        <v/>
      </c>
      <c r="V27" s="613" t="str">
        <f t="shared" si="21"/>
        <v/>
      </c>
      <c r="W27" s="879" t="str">
        <f>IFERROR(V27*'CO₂係数 '!$I$33,"")</f>
        <v/>
      </c>
      <c r="X27" s="613" t="str">
        <f t="shared" si="24"/>
        <v/>
      </c>
      <c r="Y27" s="880" t="str">
        <f t="shared" si="22"/>
        <v/>
      </c>
      <c r="Z27" s="143"/>
      <c r="AA27" s="144" t="str">
        <f t="shared" si="0"/>
        <v/>
      </c>
      <c r="AB27" s="144">
        <f t="shared" si="13"/>
        <v>0</v>
      </c>
      <c r="AC27" s="145">
        <f t="shared" si="23"/>
        <v>0.28634999999999999</v>
      </c>
      <c r="AD27" s="146">
        <f t="shared" si="1"/>
        <v>0.82158750000000003</v>
      </c>
      <c r="AE27" s="147">
        <f t="shared" si="14"/>
        <v>0</v>
      </c>
      <c r="AF27" s="146">
        <f t="shared" si="15"/>
        <v>0.372</v>
      </c>
      <c r="AG27" s="146">
        <f t="shared" si="3"/>
        <v>0.84299999999999997</v>
      </c>
      <c r="AH27" s="146">
        <f t="shared" si="4"/>
        <v>1</v>
      </c>
      <c r="AI27" s="146"/>
      <c r="AJ27" s="148">
        <f t="shared" si="16"/>
        <v>0</v>
      </c>
      <c r="AK27" s="146">
        <f t="shared" si="5"/>
        <v>2.7087499999999998</v>
      </c>
      <c r="AM27" s="146">
        <f t="shared" si="17"/>
        <v>0</v>
      </c>
      <c r="AN27" s="146">
        <f t="shared" si="7"/>
        <v>2.0732499999999998</v>
      </c>
      <c r="AR27" s="141" t="s">
        <v>352</v>
      </c>
      <c r="AS27" s="141">
        <v>0.78</v>
      </c>
      <c r="AU27" s="154" t="s">
        <v>353</v>
      </c>
      <c r="AV27" s="155">
        <v>0.31225000000000003</v>
      </c>
      <c r="AW27" s="156">
        <v>0</v>
      </c>
      <c r="AX27" s="156">
        <v>0.31225000000000003</v>
      </c>
      <c r="AY27" s="157">
        <f>AVERAGE(AX$22:AX27)</f>
        <v>0.43654166666666666</v>
      </c>
      <c r="BA27" s="154" t="s">
        <v>353</v>
      </c>
      <c r="BB27" s="154" t="s">
        <v>48</v>
      </c>
      <c r="BC27" s="141">
        <f t="shared" si="27"/>
        <v>144</v>
      </c>
      <c r="BD27" s="155">
        <f t="shared" si="25"/>
        <v>0.31225000000000003</v>
      </c>
      <c r="BE27" s="157">
        <f>AVERAGE(BD$22:BD27)</f>
        <v>0.43654166666666666</v>
      </c>
      <c r="BF27" s="141">
        <v>26</v>
      </c>
      <c r="BH27" s="154" t="s">
        <v>343</v>
      </c>
      <c r="BI27" s="154" t="s">
        <v>48</v>
      </c>
      <c r="BJ27" s="141">
        <v>24</v>
      </c>
      <c r="BK27" s="162">
        <v>0.59050000000000002</v>
      </c>
      <c r="BL27" s="157">
        <f>AVERAGE(BK$27:BK27)</f>
        <v>0.59050000000000002</v>
      </c>
      <c r="BM27" s="141">
        <v>22</v>
      </c>
    </row>
    <row r="28" spans="1:65" s="141" customFormat="1" ht="17.100000000000001" customHeight="1">
      <c r="A28" s="16">
        <v>9</v>
      </c>
      <c r="B28" s="616"/>
      <c r="C28" s="489"/>
      <c r="D28" s="616"/>
      <c r="E28" s="618"/>
      <c r="F28" s="644"/>
      <c r="G28" s="645"/>
      <c r="H28" s="641"/>
      <c r="I28" s="646"/>
      <c r="J28" s="645"/>
      <c r="K28" s="641"/>
      <c r="L28" s="613" t="str">
        <f t="shared" si="18"/>
        <v/>
      </c>
      <c r="M28" s="617" t="str">
        <f>IFERROR(L28*'CO₂係数 '!$I$33,"")</f>
        <v/>
      </c>
      <c r="N28" s="616"/>
      <c r="O28" s="616"/>
      <c r="P28" s="644"/>
      <c r="Q28" s="645"/>
      <c r="R28" s="657" t="str">
        <f t="shared" si="19"/>
        <v/>
      </c>
      <c r="S28" s="647"/>
      <c r="T28" s="645"/>
      <c r="U28" s="613" t="str">
        <f t="shared" si="20"/>
        <v/>
      </c>
      <c r="V28" s="613" t="str">
        <f t="shared" si="21"/>
        <v/>
      </c>
      <c r="W28" s="879" t="str">
        <f>IFERROR(V28*'CO₂係数 '!$I$33,"")</f>
        <v/>
      </c>
      <c r="X28" s="613" t="str">
        <f t="shared" si="24"/>
        <v/>
      </c>
      <c r="Y28" s="880" t="str">
        <f t="shared" si="22"/>
        <v/>
      </c>
      <c r="Z28" s="143"/>
      <c r="AA28" s="144" t="str">
        <f t="shared" si="0"/>
        <v/>
      </c>
      <c r="AB28" s="144">
        <f t="shared" si="13"/>
        <v>0</v>
      </c>
      <c r="AC28" s="145">
        <f t="shared" si="23"/>
        <v>0.28634999999999999</v>
      </c>
      <c r="AD28" s="146">
        <f t="shared" si="1"/>
        <v>0.82158750000000003</v>
      </c>
      <c r="AE28" s="147">
        <f t="shared" si="14"/>
        <v>0</v>
      </c>
      <c r="AF28" s="146">
        <f t="shared" si="15"/>
        <v>0.372</v>
      </c>
      <c r="AG28" s="146">
        <f t="shared" si="3"/>
        <v>0.84299999999999997</v>
      </c>
      <c r="AH28" s="146">
        <f t="shared" si="4"/>
        <v>1</v>
      </c>
      <c r="AI28" s="146"/>
      <c r="AJ28" s="148">
        <f t="shared" si="16"/>
        <v>0</v>
      </c>
      <c r="AK28" s="146">
        <f t="shared" si="5"/>
        <v>2.7087499999999998</v>
      </c>
      <c r="AM28" s="146">
        <f t="shared" si="17"/>
        <v>0</v>
      </c>
      <c r="AN28" s="146">
        <f t="shared" si="7"/>
        <v>2.0732499999999998</v>
      </c>
      <c r="AR28" s="141" t="s">
        <v>354</v>
      </c>
      <c r="AS28" s="141">
        <v>0.78500000000000003</v>
      </c>
      <c r="AU28" s="154" t="s">
        <v>355</v>
      </c>
      <c r="AV28" s="156">
        <v>0</v>
      </c>
      <c r="AW28" s="155">
        <v>0.28425</v>
      </c>
      <c r="AX28" s="156">
        <v>0.28425</v>
      </c>
      <c r="AY28" s="157">
        <f>AVERAGE(AX$22:AX28)</f>
        <v>0.41478571428571431</v>
      </c>
      <c r="BA28" s="154" t="s">
        <v>355</v>
      </c>
      <c r="BB28" s="154" t="s">
        <v>49</v>
      </c>
      <c r="BC28" s="141">
        <f t="shared" si="27"/>
        <v>168</v>
      </c>
      <c r="BD28" s="155">
        <f t="shared" si="25"/>
        <v>0.28425</v>
      </c>
      <c r="BE28" s="157">
        <f>AVERAGE(BD$22:BD28)</f>
        <v>0.41478571428571431</v>
      </c>
      <c r="BF28" s="141">
        <v>25</v>
      </c>
      <c r="BH28" s="154" t="s">
        <v>345</v>
      </c>
      <c r="BI28" s="154" t="s">
        <v>48</v>
      </c>
      <c r="BJ28" s="141">
        <f>BJ27+24</f>
        <v>48</v>
      </c>
      <c r="BK28" s="156">
        <v>0.5625</v>
      </c>
      <c r="BL28" s="157">
        <f>AVERAGE(BK$27:BK28)</f>
        <v>0.57650000000000001</v>
      </c>
      <c r="BM28" s="141">
        <v>26</v>
      </c>
    </row>
    <row r="29" spans="1:65" s="141" customFormat="1" ht="17.100000000000001" customHeight="1">
      <c r="A29" s="16">
        <v>10</v>
      </c>
      <c r="B29" s="616"/>
      <c r="C29" s="489"/>
      <c r="D29" s="616"/>
      <c r="E29" s="618"/>
      <c r="F29" s="644"/>
      <c r="G29" s="645"/>
      <c r="H29" s="641"/>
      <c r="I29" s="646"/>
      <c r="J29" s="645"/>
      <c r="K29" s="641"/>
      <c r="L29" s="613" t="str">
        <f t="shared" si="18"/>
        <v/>
      </c>
      <c r="M29" s="617" t="str">
        <f>IFERROR(L29*'CO₂係数 '!$I$33,"")</f>
        <v/>
      </c>
      <c r="N29" s="616"/>
      <c r="O29" s="616"/>
      <c r="P29" s="644"/>
      <c r="Q29" s="645"/>
      <c r="R29" s="657" t="str">
        <f t="shared" si="19"/>
        <v/>
      </c>
      <c r="S29" s="647"/>
      <c r="T29" s="645"/>
      <c r="U29" s="613" t="str">
        <f t="shared" si="20"/>
        <v/>
      </c>
      <c r="V29" s="613" t="str">
        <f t="shared" si="21"/>
        <v/>
      </c>
      <c r="W29" s="879" t="str">
        <f>IFERROR(V29*'CO₂係数 '!$I$33,"")</f>
        <v/>
      </c>
      <c r="X29" s="613" t="str">
        <f t="shared" si="24"/>
        <v/>
      </c>
      <c r="Y29" s="880" t="str">
        <f t="shared" si="22"/>
        <v/>
      </c>
      <c r="Z29" s="143"/>
      <c r="AA29" s="144" t="str">
        <f t="shared" si="0"/>
        <v/>
      </c>
      <c r="AB29" s="144">
        <f t="shared" si="13"/>
        <v>0</v>
      </c>
      <c r="AC29" s="145">
        <f t="shared" si="23"/>
        <v>0.28634999999999999</v>
      </c>
      <c r="AD29" s="146">
        <f t="shared" si="1"/>
        <v>0.82158750000000003</v>
      </c>
      <c r="AE29" s="147">
        <f t="shared" si="14"/>
        <v>0</v>
      </c>
      <c r="AF29" s="146">
        <f t="shared" si="15"/>
        <v>0.372</v>
      </c>
      <c r="AG29" s="146">
        <f t="shared" si="3"/>
        <v>0.84299999999999997</v>
      </c>
      <c r="AH29" s="146">
        <f t="shared" si="4"/>
        <v>1</v>
      </c>
      <c r="AI29" s="146"/>
      <c r="AJ29" s="148">
        <f t="shared" si="16"/>
        <v>0</v>
      </c>
      <c r="AK29" s="146">
        <f t="shared" si="5"/>
        <v>2.7087499999999998</v>
      </c>
      <c r="AM29" s="146">
        <f t="shared" si="17"/>
        <v>0</v>
      </c>
      <c r="AN29" s="146">
        <f t="shared" si="7"/>
        <v>2.0732499999999998</v>
      </c>
      <c r="AR29" s="141" t="s">
        <v>356</v>
      </c>
      <c r="AS29" s="141">
        <v>0.79</v>
      </c>
      <c r="AU29" s="154" t="s">
        <v>357</v>
      </c>
      <c r="AV29" s="156">
        <v>8.8249999999999995E-2</v>
      </c>
      <c r="AW29" s="155">
        <v>0.26524999999999999</v>
      </c>
      <c r="AX29" s="156">
        <v>0.26524999999999999</v>
      </c>
      <c r="AY29" s="157">
        <f>AVERAGE(AX$22:AX29)</f>
        <v>0.39609375000000002</v>
      </c>
      <c r="BA29" s="154" t="s">
        <v>357</v>
      </c>
      <c r="BB29" s="154" t="s">
        <v>49</v>
      </c>
      <c r="BC29" s="141">
        <f t="shared" si="27"/>
        <v>192</v>
      </c>
      <c r="BD29" s="155">
        <f t="shared" si="25"/>
        <v>0.26524999999999999</v>
      </c>
      <c r="BE29" s="157">
        <f>AVERAGE(BD$22:BD29)</f>
        <v>0.39609375000000002</v>
      </c>
      <c r="BF29" s="141">
        <v>25</v>
      </c>
      <c r="BH29" s="154" t="s">
        <v>347</v>
      </c>
      <c r="BI29" s="154" t="s">
        <v>48</v>
      </c>
      <c r="BJ29" s="141">
        <f t="shared" ref="BJ29:BJ33" si="28">BJ28+24</f>
        <v>72</v>
      </c>
      <c r="BK29" s="156">
        <v>0.43099999999999999</v>
      </c>
      <c r="BL29" s="157">
        <f>AVERAGE(BK$27:BK29)</f>
        <v>0.52800000000000002</v>
      </c>
      <c r="BM29" s="141">
        <v>24</v>
      </c>
    </row>
    <row r="30" spans="1:65" s="141" customFormat="1" ht="17.100000000000001" customHeight="1">
      <c r="A30" s="16">
        <v>11</v>
      </c>
      <c r="B30" s="616"/>
      <c r="C30" s="489"/>
      <c r="D30" s="616"/>
      <c r="E30" s="618"/>
      <c r="F30" s="644"/>
      <c r="G30" s="645"/>
      <c r="H30" s="641"/>
      <c r="I30" s="646"/>
      <c r="J30" s="645"/>
      <c r="K30" s="641"/>
      <c r="L30" s="613" t="str">
        <f t="shared" si="18"/>
        <v/>
      </c>
      <c r="M30" s="617" t="str">
        <f>IFERROR(L30*'CO₂係数 '!$I$33,"")</f>
        <v/>
      </c>
      <c r="N30" s="616"/>
      <c r="O30" s="616"/>
      <c r="P30" s="644"/>
      <c r="Q30" s="645"/>
      <c r="R30" s="657" t="str">
        <f t="shared" si="19"/>
        <v/>
      </c>
      <c r="S30" s="647"/>
      <c r="T30" s="645"/>
      <c r="U30" s="613" t="str">
        <f t="shared" si="20"/>
        <v/>
      </c>
      <c r="V30" s="613" t="str">
        <f t="shared" si="21"/>
        <v/>
      </c>
      <c r="W30" s="879" t="str">
        <f>IFERROR(V30*'CO₂係数 '!$I$33,"")</f>
        <v/>
      </c>
      <c r="X30" s="613" t="str">
        <f t="shared" si="24"/>
        <v/>
      </c>
      <c r="Y30" s="880" t="str">
        <f t="shared" si="22"/>
        <v/>
      </c>
      <c r="Z30" s="143"/>
      <c r="AA30" s="144" t="str">
        <f t="shared" si="0"/>
        <v/>
      </c>
      <c r="AB30" s="144">
        <f t="shared" si="13"/>
        <v>0</v>
      </c>
      <c r="AC30" s="145">
        <f t="shared" si="23"/>
        <v>0.28634999999999999</v>
      </c>
      <c r="AD30" s="146">
        <f t="shared" si="1"/>
        <v>0.82158750000000003</v>
      </c>
      <c r="AE30" s="147">
        <f t="shared" si="14"/>
        <v>0</v>
      </c>
      <c r="AF30" s="146">
        <f t="shared" si="15"/>
        <v>0.372</v>
      </c>
      <c r="AG30" s="146">
        <f t="shared" si="3"/>
        <v>0.84299999999999997</v>
      </c>
      <c r="AH30" s="146">
        <f t="shared" si="4"/>
        <v>1</v>
      </c>
      <c r="AI30" s="146"/>
      <c r="AJ30" s="148">
        <f t="shared" si="16"/>
        <v>0</v>
      </c>
      <c r="AK30" s="146">
        <f t="shared" si="5"/>
        <v>2.7087499999999998</v>
      </c>
      <c r="AM30" s="146">
        <f t="shared" si="17"/>
        <v>0</v>
      </c>
      <c r="AN30" s="146">
        <f t="shared" si="7"/>
        <v>2.0732499999999998</v>
      </c>
      <c r="AR30" s="141" t="s">
        <v>358</v>
      </c>
      <c r="AS30" s="141">
        <v>0.79500000000000004</v>
      </c>
      <c r="AU30" s="154" t="s">
        <v>359</v>
      </c>
      <c r="AV30" s="155">
        <v>0.24475</v>
      </c>
      <c r="AW30" s="156">
        <v>9.9250000000000005E-2</v>
      </c>
      <c r="AX30" s="156">
        <v>0.24475</v>
      </c>
      <c r="AY30" s="157">
        <f>AVERAGE(AX$22:AX30)</f>
        <v>0.37927777777777777</v>
      </c>
      <c r="BA30" s="154" t="s">
        <v>359</v>
      </c>
      <c r="BB30" s="154" t="s">
        <v>48</v>
      </c>
      <c r="BC30" s="141">
        <f t="shared" si="27"/>
        <v>216</v>
      </c>
      <c r="BD30" s="155">
        <f t="shared" si="25"/>
        <v>0.24475</v>
      </c>
      <c r="BE30" s="157">
        <f>AVERAGE(BD$22:BD30)</f>
        <v>0.37927777777777777</v>
      </c>
      <c r="BF30" s="141">
        <v>22</v>
      </c>
      <c r="BH30" s="154" t="s">
        <v>353</v>
      </c>
      <c r="BI30" s="154" t="s">
        <v>48</v>
      </c>
      <c r="BJ30" s="141">
        <f t="shared" si="28"/>
        <v>96</v>
      </c>
      <c r="BK30" s="156">
        <v>0.31225000000000003</v>
      </c>
      <c r="BL30" s="157">
        <f>AVERAGE(BK$27:BK30)</f>
        <v>0.47406250000000005</v>
      </c>
      <c r="BM30" s="141">
        <v>26</v>
      </c>
    </row>
    <row r="31" spans="1:65" s="141" customFormat="1" ht="17.100000000000001" customHeight="1">
      <c r="A31" s="16">
        <v>12</v>
      </c>
      <c r="B31" s="616"/>
      <c r="C31" s="489"/>
      <c r="D31" s="616"/>
      <c r="E31" s="618"/>
      <c r="F31" s="644"/>
      <c r="G31" s="645"/>
      <c r="H31" s="641"/>
      <c r="I31" s="646"/>
      <c r="J31" s="645"/>
      <c r="K31" s="641"/>
      <c r="L31" s="613" t="str">
        <f t="shared" si="18"/>
        <v/>
      </c>
      <c r="M31" s="617" t="str">
        <f>IFERROR(L31*'CO₂係数 '!$I$33,"")</f>
        <v/>
      </c>
      <c r="N31" s="616"/>
      <c r="O31" s="616"/>
      <c r="P31" s="644"/>
      <c r="Q31" s="645"/>
      <c r="R31" s="657" t="str">
        <f t="shared" si="19"/>
        <v/>
      </c>
      <c r="S31" s="647"/>
      <c r="T31" s="645"/>
      <c r="U31" s="613" t="str">
        <f t="shared" si="20"/>
        <v/>
      </c>
      <c r="V31" s="613" t="str">
        <f t="shared" si="21"/>
        <v/>
      </c>
      <c r="W31" s="879" t="str">
        <f>IFERROR(V31*'CO₂係数 '!$I$33,"")</f>
        <v/>
      </c>
      <c r="X31" s="613" t="str">
        <f t="shared" si="24"/>
        <v/>
      </c>
      <c r="Y31" s="880" t="str">
        <f t="shared" si="22"/>
        <v/>
      </c>
      <c r="Z31" s="143"/>
      <c r="AA31" s="144" t="str">
        <f t="shared" si="0"/>
        <v/>
      </c>
      <c r="AB31" s="144">
        <f t="shared" si="13"/>
        <v>0</v>
      </c>
      <c r="AC31" s="145">
        <f t="shared" si="23"/>
        <v>0.28634999999999999</v>
      </c>
      <c r="AD31" s="146">
        <f t="shared" si="1"/>
        <v>0.82158750000000003</v>
      </c>
      <c r="AE31" s="147">
        <f t="shared" si="14"/>
        <v>0</v>
      </c>
      <c r="AF31" s="146">
        <f t="shared" si="15"/>
        <v>0.372</v>
      </c>
      <c r="AG31" s="146">
        <f t="shared" si="3"/>
        <v>0.84299999999999997</v>
      </c>
      <c r="AH31" s="146">
        <f t="shared" si="4"/>
        <v>1</v>
      </c>
      <c r="AI31" s="146"/>
      <c r="AJ31" s="148">
        <f t="shared" si="16"/>
        <v>0</v>
      </c>
      <c r="AK31" s="146">
        <f t="shared" si="5"/>
        <v>2.7087499999999998</v>
      </c>
      <c r="AM31" s="146">
        <f t="shared" si="17"/>
        <v>0</v>
      </c>
      <c r="AN31" s="146">
        <f t="shared" si="7"/>
        <v>2.0732499999999998</v>
      </c>
      <c r="AR31" s="141" t="s">
        <v>360</v>
      </c>
      <c r="AS31" s="141">
        <v>0.8</v>
      </c>
      <c r="AU31" s="154" t="s">
        <v>361</v>
      </c>
      <c r="AV31" s="155">
        <v>0.20774999999999999</v>
      </c>
      <c r="AW31" s="156">
        <v>6.3750000000000001E-2</v>
      </c>
      <c r="AX31" s="156">
        <v>0.20774999999999999</v>
      </c>
      <c r="AY31" s="157">
        <f>AVERAGE(AX$22:AX31)</f>
        <v>0.36212499999999997</v>
      </c>
      <c r="BA31" s="154" t="s">
        <v>361</v>
      </c>
      <c r="BB31" s="154" t="s">
        <v>48</v>
      </c>
      <c r="BC31" s="141">
        <f t="shared" si="27"/>
        <v>240</v>
      </c>
      <c r="BD31" s="155">
        <f t="shared" si="25"/>
        <v>0.20774999999999999</v>
      </c>
      <c r="BE31" s="157">
        <f>AVERAGE(BD$22:BD31)</f>
        <v>0.36212499999999997</v>
      </c>
      <c r="BF31" s="141">
        <v>26</v>
      </c>
      <c r="BH31" s="154" t="s">
        <v>359</v>
      </c>
      <c r="BI31" s="154" t="s">
        <v>48</v>
      </c>
      <c r="BJ31" s="141">
        <f t="shared" si="28"/>
        <v>120</v>
      </c>
      <c r="BK31" s="156">
        <v>0.24475</v>
      </c>
      <c r="BL31" s="157">
        <f>AVERAGE(BK$27:BK31)</f>
        <v>0.42820000000000003</v>
      </c>
      <c r="BM31" s="141">
        <v>22</v>
      </c>
    </row>
    <row r="32" spans="1:65" s="141" customFormat="1" ht="17.100000000000001" customHeight="1">
      <c r="A32" s="16">
        <v>13</v>
      </c>
      <c r="B32" s="616"/>
      <c r="C32" s="489"/>
      <c r="D32" s="616"/>
      <c r="E32" s="618"/>
      <c r="F32" s="644"/>
      <c r="G32" s="645"/>
      <c r="H32" s="641"/>
      <c r="I32" s="646"/>
      <c r="J32" s="645"/>
      <c r="K32" s="641"/>
      <c r="L32" s="613" t="str">
        <f t="shared" si="18"/>
        <v/>
      </c>
      <c r="M32" s="617" t="str">
        <f>IFERROR(L32*'CO₂係数 '!$I$33,"")</f>
        <v/>
      </c>
      <c r="N32" s="616"/>
      <c r="O32" s="616"/>
      <c r="P32" s="644"/>
      <c r="Q32" s="645"/>
      <c r="R32" s="657" t="str">
        <f t="shared" si="19"/>
        <v/>
      </c>
      <c r="S32" s="647"/>
      <c r="T32" s="645"/>
      <c r="U32" s="613" t="str">
        <f t="shared" si="20"/>
        <v/>
      </c>
      <c r="V32" s="613" t="str">
        <f t="shared" si="21"/>
        <v/>
      </c>
      <c r="W32" s="879" t="str">
        <f>IFERROR(V32*'CO₂係数 '!$I$33,"")</f>
        <v/>
      </c>
      <c r="X32" s="613" t="str">
        <f t="shared" si="24"/>
        <v/>
      </c>
      <c r="Y32" s="880" t="str">
        <f t="shared" si="22"/>
        <v/>
      </c>
      <c r="Z32" s="143"/>
      <c r="AA32" s="144" t="str">
        <f t="shared" si="0"/>
        <v/>
      </c>
      <c r="AB32" s="144">
        <f t="shared" si="13"/>
        <v>0</v>
      </c>
      <c r="AC32" s="145">
        <f t="shared" si="23"/>
        <v>0.28634999999999999</v>
      </c>
      <c r="AD32" s="146">
        <f t="shared" si="1"/>
        <v>0.82158750000000003</v>
      </c>
      <c r="AE32" s="147">
        <f t="shared" si="14"/>
        <v>0</v>
      </c>
      <c r="AF32" s="146">
        <f t="shared" si="15"/>
        <v>0.372</v>
      </c>
      <c r="AG32" s="146">
        <f t="shared" si="3"/>
        <v>0.84299999999999997</v>
      </c>
      <c r="AH32" s="146">
        <f t="shared" si="4"/>
        <v>1</v>
      </c>
      <c r="AI32" s="146"/>
      <c r="AJ32" s="148">
        <f t="shared" si="16"/>
        <v>0</v>
      </c>
      <c r="AK32" s="146">
        <f t="shared" si="5"/>
        <v>2.7087499999999998</v>
      </c>
      <c r="AM32" s="146">
        <f t="shared" si="17"/>
        <v>0</v>
      </c>
      <c r="AN32" s="146">
        <f t="shared" si="7"/>
        <v>2.0732499999999998</v>
      </c>
      <c r="AR32" s="141" t="s">
        <v>362</v>
      </c>
      <c r="AS32" s="141">
        <v>0.80500000000000005</v>
      </c>
      <c r="AU32" s="154" t="s">
        <v>363</v>
      </c>
      <c r="AV32" s="156">
        <v>0.12975000000000003</v>
      </c>
      <c r="AW32" s="155">
        <v>0.15925</v>
      </c>
      <c r="AX32" s="156">
        <v>0.15925</v>
      </c>
      <c r="AY32" s="157">
        <f>AVERAGE(AX$22:AX32)</f>
        <v>0.3436818181818182</v>
      </c>
      <c r="BA32" s="154" t="s">
        <v>363</v>
      </c>
      <c r="BB32" s="154" t="s">
        <v>49</v>
      </c>
      <c r="BC32" s="141">
        <f t="shared" si="27"/>
        <v>264</v>
      </c>
      <c r="BD32" s="155">
        <f t="shared" si="25"/>
        <v>0.15925</v>
      </c>
      <c r="BE32" s="157">
        <f>AVERAGE(BD$22:BD32)</f>
        <v>0.3436818181818182</v>
      </c>
      <c r="BF32" s="141">
        <v>25</v>
      </c>
      <c r="BH32" s="154" t="s">
        <v>361</v>
      </c>
      <c r="BI32" s="154" t="s">
        <v>48</v>
      </c>
      <c r="BJ32" s="141">
        <f t="shared" si="28"/>
        <v>144</v>
      </c>
      <c r="BK32" s="156">
        <v>0.20774999999999999</v>
      </c>
      <c r="BL32" s="157">
        <f>AVERAGE(BK$27:BK32)</f>
        <v>0.3914583333333333</v>
      </c>
      <c r="BM32" s="141">
        <v>26</v>
      </c>
    </row>
    <row r="33" spans="1:80" s="141" customFormat="1" ht="17.100000000000001" customHeight="1">
      <c r="A33" s="16">
        <v>14</v>
      </c>
      <c r="B33" s="616"/>
      <c r="C33" s="489"/>
      <c r="D33" s="616"/>
      <c r="E33" s="618"/>
      <c r="F33" s="644"/>
      <c r="G33" s="645"/>
      <c r="H33" s="641"/>
      <c r="I33" s="646"/>
      <c r="J33" s="645"/>
      <c r="K33" s="641"/>
      <c r="L33" s="613" t="str">
        <f t="shared" si="18"/>
        <v/>
      </c>
      <c r="M33" s="617" t="str">
        <f>IFERROR(L33*'CO₂係数 '!$I$33,"")</f>
        <v/>
      </c>
      <c r="N33" s="616"/>
      <c r="O33" s="616"/>
      <c r="P33" s="644"/>
      <c r="Q33" s="645"/>
      <c r="R33" s="657" t="str">
        <f t="shared" si="19"/>
        <v/>
      </c>
      <c r="S33" s="647"/>
      <c r="T33" s="645"/>
      <c r="U33" s="613" t="str">
        <f t="shared" si="20"/>
        <v/>
      </c>
      <c r="V33" s="613" t="str">
        <f t="shared" si="21"/>
        <v/>
      </c>
      <c r="W33" s="879" t="str">
        <f>IFERROR(V33*'CO₂係数 '!$I$33,"")</f>
        <v/>
      </c>
      <c r="X33" s="613" t="str">
        <f t="shared" si="24"/>
        <v/>
      </c>
      <c r="Y33" s="880" t="str">
        <f t="shared" si="22"/>
        <v/>
      </c>
      <c r="Z33" s="143"/>
      <c r="AA33" s="144" t="str">
        <f t="shared" si="0"/>
        <v/>
      </c>
      <c r="AB33" s="144">
        <f t="shared" si="13"/>
        <v>0</v>
      </c>
      <c r="AC33" s="145">
        <f t="shared" si="23"/>
        <v>0.28634999999999999</v>
      </c>
      <c r="AD33" s="146">
        <f t="shared" si="1"/>
        <v>0.82158750000000003</v>
      </c>
      <c r="AE33" s="147">
        <f t="shared" si="14"/>
        <v>0</v>
      </c>
      <c r="AF33" s="146">
        <f t="shared" si="15"/>
        <v>0.372</v>
      </c>
      <c r="AG33" s="146">
        <f t="shared" si="3"/>
        <v>0.84299999999999997</v>
      </c>
      <c r="AH33" s="146">
        <f t="shared" si="4"/>
        <v>1</v>
      </c>
      <c r="AI33" s="146"/>
      <c r="AJ33" s="148">
        <f t="shared" si="16"/>
        <v>0</v>
      </c>
      <c r="AK33" s="146">
        <f t="shared" si="5"/>
        <v>2.7087499999999998</v>
      </c>
      <c r="AM33" s="146">
        <f t="shared" si="17"/>
        <v>0</v>
      </c>
      <c r="AN33" s="146">
        <f t="shared" si="7"/>
        <v>2.0732499999999998</v>
      </c>
      <c r="AR33" s="141" t="s">
        <v>364</v>
      </c>
      <c r="AS33" s="141">
        <v>0.81</v>
      </c>
      <c r="AU33" s="154" t="s">
        <v>365</v>
      </c>
      <c r="AV33" s="155">
        <v>0.15200000000000002</v>
      </c>
      <c r="AW33" s="156">
        <v>0.13724999999999998</v>
      </c>
      <c r="AX33" s="156">
        <v>0.15200000000000002</v>
      </c>
      <c r="AY33" s="157">
        <f>AVERAGE(AX$22:AX33)</f>
        <v>0.32770833333333332</v>
      </c>
      <c r="BA33" s="154" t="s">
        <v>365</v>
      </c>
      <c r="BB33" s="154" t="s">
        <v>48</v>
      </c>
      <c r="BC33" s="141">
        <f t="shared" si="27"/>
        <v>288</v>
      </c>
      <c r="BD33" s="155">
        <f t="shared" si="25"/>
        <v>0.15200000000000002</v>
      </c>
      <c r="BE33" s="157">
        <f>AVERAGE(BD$22:BD33)</f>
        <v>0.32770833333333332</v>
      </c>
      <c r="BF33" s="141">
        <v>25</v>
      </c>
      <c r="BH33" s="154" t="s">
        <v>365</v>
      </c>
      <c r="BI33" s="154" t="s">
        <v>48</v>
      </c>
      <c r="BJ33" s="141">
        <f t="shared" si="28"/>
        <v>168</v>
      </c>
      <c r="BK33" s="156">
        <v>0.15200000000000002</v>
      </c>
      <c r="BL33" s="157">
        <f>AVERAGE(BK$27:BK33)</f>
        <v>0.35725000000000001</v>
      </c>
      <c r="BM33" s="141">
        <v>25</v>
      </c>
    </row>
    <row r="34" spans="1:80" s="141" customFormat="1" ht="17.100000000000001" customHeight="1">
      <c r="A34" s="16">
        <v>15</v>
      </c>
      <c r="B34" s="616"/>
      <c r="C34" s="489"/>
      <c r="D34" s="616"/>
      <c r="E34" s="618"/>
      <c r="F34" s="644"/>
      <c r="G34" s="645"/>
      <c r="H34" s="641"/>
      <c r="I34" s="646"/>
      <c r="J34" s="645"/>
      <c r="K34" s="641"/>
      <c r="L34" s="613" t="str">
        <f t="shared" si="18"/>
        <v/>
      </c>
      <c r="M34" s="617" t="str">
        <f>IFERROR(L34*'CO₂係数 '!$I$33,"")</f>
        <v/>
      </c>
      <c r="N34" s="616"/>
      <c r="O34" s="616"/>
      <c r="P34" s="644"/>
      <c r="Q34" s="645"/>
      <c r="R34" s="657" t="str">
        <f t="shared" si="19"/>
        <v/>
      </c>
      <c r="S34" s="647"/>
      <c r="T34" s="645"/>
      <c r="U34" s="613" t="str">
        <f t="shared" si="20"/>
        <v/>
      </c>
      <c r="V34" s="613" t="str">
        <f t="shared" si="21"/>
        <v/>
      </c>
      <c r="W34" s="879" t="str">
        <f>IFERROR(V34*'CO₂係数 '!$I$33,"")</f>
        <v/>
      </c>
      <c r="X34" s="613" t="str">
        <f t="shared" si="24"/>
        <v/>
      </c>
      <c r="Y34" s="880" t="str">
        <f t="shared" si="22"/>
        <v/>
      </c>
      <c r="Z34" s="143"/>
      <c r="AA34" s="144" t="str">
        <f t="shared" si="0"/>
        <v/>
      </c>
      <c r="AB34" s="144">
        <f t="shared" si="13"/>
        <v>0</v>
      </c>
      <c r="AC34" s="145">
        <f t="shared" si="23"/>
        <v>0.28634999999999999</v>
      </c>
      <c r="AD34" s="146">
        <f t="shared" si="1"/>
        <v>0.82158750000000003</v>
      </c>
      <c r="AE34" s="147">
        <f t="shared" si="14"/>
        <v>0</v>
      </c>
      <c r="AF34" s="146">
        <f t="shared" si="15"/>
        <v>0.372</v>
      </c>
      <c r="AG34" s="146">
        <f t="shared" si="3"/>
        <v>0.84299999999999997</v>
      </c>
      <c r="AH34" s="146">
        <f t="shared" si="4"/>
        <v>1</v>
      </c>
      <c r="AI34" s="146"/>
      <c r="AJ34" s="148">
        <f t="shared" si="16"/>
        <v>0</v>
      </c>
      <c r="AK34" s="146">
        <f t="shared" si="5"/>
        <v>2.7087499999999998</v>
      </c>
      <c r="AM34" s="146">
        <f t="shared" si="17"/>
        <v>0</v>
      </c>
      <c r="AN34" s="146">
        <f t="shared" si="7"/>
        <v>2.0732499999999998</v>
      </c>
      <c r="AR34" s="141" t="s">
        <v>366</v>
      </c>
      <c r="AS34" s="141">
        <v>0.81499999999999995</v>
      </c>
      <c r="AU34" s="154" t="s">
        <v>367</v>
      </c>
      <c r="AV34" s="156">
        <f>_xlfn.AGGREGATE(1,5,AV22:AV33)</f>
        <v>0.2265625</v>
      </c>
      <c r="AW34" s="156">
        <f>_xlfn.AGGREGATE(1,5,AW22:AW33)</f>
        <v>0.14433333333333331</v>
      </c>
      <c r="AX34" s="156">
        <f>_xlfn.AGGREGATE(1,5,AX22:AX33)</f>
        <v>0.32770833333333332</v>
      </c>
      <c r="BA34" s="154" t="s">
        <v>367</v>
      </c>
      <c r="BC34" s="163">
        <f>_xlfn.AGGREGATE(1,5,BC22:BC33)</f>
        <v>156</v>
      </c>
      <c r="BD34" s="156">
        <f>_xlfn.AGGREGATE(1,5,BD22:BD33)</f>
        <v>0.32770833333333332</v>
      </c>
      <c r="BF34" s="163">
        <f>SUM(BF22:BF33)</f>
        <v>291</v>
      </c>
      <c r="BH34" s="154" t="s">
        <v>367</v>
      </c>
      <c r="BJ34" s="163">
        <f>_xlfn.AGGREGATE(1,5,BJ21:BJ25)+_xlfn.AGGREGATE(1,5,BJ27:BJ33)</f>
        <v>168</v>
      </c>
      <c r="BK34" s="156">
        <f>_xlfn.AGGREGATE(1,5,BK21:BK25,BK27:BK33)</f>
        <v>0.32770833333333332</v>
      </c>
      <c r="BM34" s="163">
        <f>SUM(BM21:BM33)</f>
        <v>291</v>
      </c>
    </row>
    <row r="35" spans="1:80" s="141" customFormat="1" ht="17.100000000000001" customHeight="1">
      <c r="A35" s="16">
        <v>16</v>
      </c>
      <c r="B35" s="616"/>
      <c r="C35" s="489"/>
      <c r="D35" s="616"/>
      <c r="E35" s="618"/>
      <c r="F35" s="644"/>
      <c r="G35" s="645"/>
      <c r="H35" s="641"/>
      <c r="I35" s="646"/>
      <c r="J35" s="645"/>
      <c r="K35" s="641"/>
      <c r="L35" s="613" t="str">
        <f t="shared" si="18"/>
        <v/>
      </c>
      <c r="M35" s="617" t="str">
        <f>IFERROR(L35*'CO₂係数 '!$I$33,"")</f>
        <v/>
      </c>
      <c r="N35" s="616"/>
      <c r="O35" s="616"/>
      <c r="P35" s="644"/>
      <c r="Q35" s="645"/>
      <c r="R35" s="657" t="str">
        <f t="shared" si="19"/>
        <v/>
      </c>
      <c r="S35" s="647"/>
      <c r="T35" s="645"/>
      <c r="U35" s="613" t="str">
        <f t="shared" si="20"/>
        <v/>
      </c>
      <c r="V35" s="613" t="str">
        <f t="shared" si="21"/>
        <v/>
      </c>
      <c r="W35" s="879" t="str">
        <f>IFERROR(V35*'CO₂係数 '!$I$33,"")</f>
        <v/>
      </c>
      <c r="X35" s="613" t="str">
        <f t="shared" si="24"/>
        <v/>
      </c>
      <c r="Y35" s="880" t="str">
        <f t="shared" si="22"/>
        <v/>
      </c>
      <c r="Z35" s="143"/>
      <c r="AA35" s="144" t="str">
        <f t="shared" si="0"/>
        <v/>
      </c>
      <c r="AB35" s="144">
        <f t="shared" si="13"/>
        <v>0</v>
      </c>
      <c r="AC35" s="145">
        <f t="shared" si="23"/>
        <v>0.28634999999999999</v>
      </c>
      <c r="AD35" s="146">
        <f t="shared" si="1"/>
        <v>0.82158750000000003</v>
      </c>
      <c r="AE35" s="147">
        <f t="shared" si="14"/>
        <v>0</v>
      </c>
      <c r="AF35" s="146">
        <f t="shared" si="15"/>
        <v>0.372</v>
      </c>
      <c r="AG35" s="146">
        <f t="shared" si="3"/>
        <v>0.84299999999999997</v>
      </c>
      <c r="AH35" s="146">
        <f t="shared" si="4"/>
        <v>1</v>
      </c>
      <c r="AI35" s="146"/>
      <c r="AJ35" s="148">
        <f t="shared" si="16"/>
        <v>0</v>
      </c>
      <c r="AK35" s="146">
        <f t="shared" si="5"/>
        <v>2.7087499999999998</v>
      </c>
      <c r="AM35" s="146">
        <f t="shared" si="17"/>
        <v>0</v>
      </c>
      <c r="AN35" s="146">
        <f t="shared" si="7"/>
        <v>2.0732499999999998</v>
      </c>
      <c r="AR35" s="141" t="s">
        <v>368</v>
      </c>
      <c r="AS35" s="141">
        <v>0.82</v>
      </c>
      <c r="BS35" s="106"/>
      <c r="BT35" s="106" t="s">
        <v>437</v>
      </c>
      <c r="BU35" s="106"/>
      <c r="BV35" s="106" t="s">
        <v>438</v>
      </c>
      <c r="BW35" s="106"/>
      <c r="BX35" s="106"/>
      <c r="BY35" s="106"/>
      <c r="BZ35" s="106"/>
      <c r="CA35" s="106"/>
      <c r="CB35" s="106"/>
    </row>
    <row r="36" spans="1:80" s="141" customFormat="1" ht="17.100000000000001" customHeight="1">
      <c r="A36" s="16">
        <v>17</v>
      </c>
      <c r="B36" s="616"/>
      <c r="C36" s="489"/>
      <c r="D36" s="616"/>
      <c r="E36" s="618"/>
      <c r="F36" s="644"/>
      <c r="G36" s="645"/>
      <c r="H36" s="641"/>
      <c r="I36" s="646"/>
      <c r="J36" s="645"/>
      <c r="K36" s="641"/>
      <c r="L36" s="613" t="str">
        <f t="shared" si="18"/>
        <v/>
      </c>
      <c r="M36" s="617" t="str">
        <f>IFERROR(L36*'CO₂係数 '!$I$33,"")</f>
        <v/>
      </c>
      <c r="N36" s="616"/>
      <c r="O36" s="616"/>
      <c r="P36" s="644"/>
      <c r="Q36" s="645"/>
      <c r="R36" s="657" t="str">
        <f t="shared" si="19"/>
        <v/>
      </c>
      <c r="S36" s="647"/>
      <c r="T36" s="645"/>
      <c r="U36" s="613" t="str">
        <f t="shared" si="20"/>
        <v/>
      </c>
      <c r="V36" s="613" t="str">
        <f t="shared" si="21"/>
        <v/>
      </c>
      <c r="W36" s="879" t="str">
        <f>IFERROR(V36*'CO₂係数 '!$I$33,"")</f>
        <v/>
      </c>
      <c r="X36" s="613" t="str">
        <f t="shared" si="24"/>
        <v/>
      </c>
      <c r="Y36" s="880" t="str">
        <f t="shared" si="22"/>
        <v/>
      </c>
      <c r="Z36" s="143"/>
      <c r="AA36" s="144" t="str">
        <f t="shared" si="0"/>
        <v/>
      </c>
      <c r="AB36" s="144">
        <f t="shared" si="13"/>
        <v>0</v>
      </c>
      <c r="AC36" s="145">
        <f t="shared" si="23"/>
        <v>0.28634999999999999</v>
      </c>
      <c r="AD36" s="146">
        <f t="shared" si="1"/>
        <v>0.82158750000000003</v>
      </c>
      <c r="AE36" s="147">
        <f t="shared" si="14"/>
        <v>0</v>
      </c>
      <c r="AF36" s="146">
        <f t="shared" si="15"/>
        <v>0.372</v>
      </c>
      <c r="AG36" s="146">
        <f t="shared" si="3"/>
        <v>0.84299999999999997</v>
      </c>
      <c r="AH36" s="146">
        <f t="shared" si="4"/>
        <v>1</v>
      </c>
      <c r="AI36" s="146"/>
      <c r="AJ36" s="148">
        <f t="shared" si="16"/>
        <v>0</v>
      </c>
      <c r="AK36" s="146">
        <f t="shared" si="5"/>
        <v>2.7087499999999998</v>
      </c>
      <c r="AM36" s="146">
        <f t="shared" si="17"/>
        <v>0</v>
      </c>
      <c r="AN36" s="146">
        <f t="shared" si="7"/>
        <v>2.0732499999999998</v>
      </c>
      <c r="AR36" s="141" t="s">
        <v>369</v>
      </c>
      <c r="AS36" s="141">
        <v>0.82499999999999996</v>
      </c>
      <c r="BS36" s="106"/>
      <c r="BT36" s="164" t="s">
        <v>337</v>
      </c>
      <c r="BU36" s="165" t="e">
        <f>INDEX(BW40:BY66,V33,P33)</f>
        <v>#VALUE!</v>
      </c>
      <c r="BV36" s="106"/>
      <c r="BW36" s="106"/>
      <c r="BX36" s="106"/>
      <c r="BY36" s="106"/>
      <c r="BZ36" s="106"/>
      <c r="CA36" s="106"/>
      <c r="CB36" s="106"/>
    </row>
    <row r="37" spans="1:80" s="141" customFormat="1" ht="17.100000000000001" customHeight="1">
      <c r="A37" s="16">
        <v>18</v>
      </c>
      <c r="B37" s="616"/>
      <c r="C37" s="489"/>
      <c r="D37" s="616"/>
      <c r="E37" s="618"/>
      <c r="F37" s="644"/>
      <c r="G37" s="645"/>
      <c r="H37" s="641"/>
      <c r="I37" s="646"/>
      <c r="J37" s="645"/>
      <c r="K37" s="641"/>
      <c r="L37" s="613" t="str">
        <f t="shared" si="18"/>
        <v/>
      </c>
      <c r="M37" s="617" t="str">
        <f>IFERROR(L37*'CO₂係数 '!$I$33,"")</f>
        <v/>
      </c>
      <c r="N37" s="616"/>
      <c r="O37" s="616"/>
      <c r="P37" s="644"/>
      <c r="Q37" s="645"/>
      <c r="R37" s="657" t="str">
        <f t="shared" si="19"/>
        <v/>
      </c>
      <c r="S37" s="647"/>
      <c r="T37" s="645"/>
      <c r="U37" s="613" t="str">
        <f t="shared" si="20"/>
        <v/>
      </c>
      <c r="V37" s="613" t="str">
        <f t="shared" si="21"/>
        <v/>
      </c>
      <c r="W37" s="879" t="str">
        <f>IFERROR(V37*'CO₂係数 '!$I$33,"")</f>
        <v/>
      </c>
      <c r="X37" s="613" t="str">
        <f t="shared" si="24"/>
        <v/>
      </c>
      <c r="Y37" s="880" t="str">
        <f t="shared" si="22"/>
        <v/>
      </c>
      <c r="Z37" s="143"/>
      <c r="AA37" s="144" t="str">
        <f t="shared" si="0"/>
        <v/>
      </c>
      <c r="AB37" s="144">
        <f t="shared" si="13"/>
        <v>0</v>
      </c>
      <c r="AC37" s="145">
        <f t="shared" si="23"/>
        <v>0.28634999999999999</v>
      </c>
      <c r="AD37" s="146">
        <f t="shared" si="1"/>
        <v>0.82158750000000003</v>
      </c>
      <c r="AE37" s="147">
        <f t="shared" si="14"/>
        <v>0</v>
      </c>
      <c r="AF37" s="146">
        <f t="shared" si="15"/>
        <v>0.372</v>
      </c>
      <c r="AG37" s="146">
        <f t="shared" si="3"/>
        <v>0.84299999999999997</v>
      </c>
      <c r="AH37" s="146">
        <f t="shared" si="4"/>
        <v>1</v>
      </c>
      <c r="AI37" s="146"/>
      <c r="AJ37" s="148">
        <f t="shared" si="16"/>
        <v>0</v>
      </c>
      <c r="AK37" s="146">
        <f t="shared" si="5"/>
        <v>2.7087499999999998</v>
      </c>
      <c r="AM37" s="146">
        <f t="shared" si="17"/>
        <v>0</v>
      </c>
      <c r="AN37" s="146">
        <f t="shared" si="7"/>
        <v>2.0732499999999998</v>
      </c>
      <c r="AR37" s="141" t="s">
        <v>370</v>
      </c>
      <c r="AS37" s="141">
        <v>0.83</v>
      </c>
      <c r="BH37" s="141" t="s">
        <v>371</v>
      </c>
      <c r="BS37" s="106"/>
      <c r="BT37" s="166" t="s">
        <v>338</v>
      </c>
      <c r="BU37" s="165" t="e">
        <f>INDEX(BZ40:CB66,V33,P33)</f>
        <v>#VALUE!</v>
      </c>
      <c r="BV37" s="106"/>
      <c r="BW37" s="106"/>
      <c r="BX37" s="106"/>
      <c r="BY37" s="106"/>
      <c r="BZ37" s="106"/>
      <c r="CA37" s="106"/>
      <c r="CB37" s="106"/>
    </row>
    <row r="38" spans="1:80" s="141" customFormat="1" ht="17.100000000000001" customHeight="1">
      <c r="A38" s="16">
        <v>19</v>
      </c>
      <c r="B38" s="616"/>
      <c r="C38" s="489"/>
      <c r="D38" s="616"/>
      <c r="E38" s="618"/>
      <c r="F38" s="644"/>
      <c r="G38" s="645"/>
      <c r="H38" s="641"/>
      <c r="I38" s="646"/>
      <c r="J38" s="645"/>
      <c r="K38" s="641"/>
      <c r="L38" s="613" t="str">
        <f t="shared" si="18"/>
        <v/>
      </c>
      <c r="M38" s="617" t="str">
        <f>IFERROR(L38*'CO₂係数 '!$I$33,"")</f>
        <v/>
      </c>
      <c r="N38" s="616"/>
      <c r="O38" s="616"/>
      <c r="P38" s="644"/>
      <c r="Q38" s="645"/>
      <c r="R38" s="657" t="str">
        <f t="shared" si="19"/>
        <v/>
      </c>
      <c r="S38" s="647"/>
      <c r="T38" s="645"/>
      <c r="U38" s="613" t="str">
        <f t="shared" si="20"/>
        <v/>
      </c>
      <c r="V38" s="613" t="str">
        <f t="shared" si="21"/>
        <v/>
      </c>
      <c r="W38" s="879" t="str">
        <f>IFERROR(V38*'CO₂係数 '!$I$33,"")</f>
        <v/>
      </c>
      <c r="X38" s="613" t="str">
        <f t="shared" ref="X38:X39" si="29">IFERROR(L38-V38,"")</f>
        <v/>
      </c>
      <c r="Y38" s="880" t="str">
        <f t="shared" ref="Y38:Y39" si="30">IFERROR(M38-W38,"")</f>
        <v/>
      </c>
      <c r="Z38" s="143"/>
      <c r="AA38" s="144" t="str">
        <f t="shared" si="0"/>
        <v/>
      </c>
      <c r="AB38" s="144">
        <f t="shared" si="13"/>
        <v>0</v>
      </c>
      <c r="AC38" s="145">
        <f t="shared" si="23"/>
        <v>0.28634999999999999</v>
      </c>
      <c r="AD38" s="146">
        <f t="shared" si="1"/>
        <v>0.82158750000000003</v>
      </c>
      <c r="AE38" s="147">
        <f t="shared" si="14"/>
        <v>0</v>
      </c>
      <c r="AF38" s="146">
        <f t="shared" si="15"/>
        <v>0.372</v>
      </c>
      <c r="AG38" s="146">
        <f t="shared" si="3"/>
        <v>0.84299999999999997</v>
      </c>
      <c r="AH38" s="146">
        <f t="shared" si="4"/>
        <v>1</v>
      </c>
      <c r="AI38" s="146"/>
      <c r="AJ38" s="148">
        <f t="shared" si="16"/>
        <v>0</v>
      </c>
      <c r="AK38" s="146">
        <f t="shared" si="5"/>
        <v>2.7087499999999998</v>
      </c>
      <c r="AM38" s="146">
        <f t="shared" si="17"/>
        <v>0</v>
      </c>
      <c r="AN38" s="146">
        <f t="shared" si="7"/>
        <v>2.0732499999999998</v>
      </c>
      <c r="AR38" s="141" t="s">
        <v>372</v>
      </c>
      <c r="AS38" s="141">
        <v>0.83499999999999996</v>
      </c>
      <c r="AW38" s="141" t="s">
        <v>373</v>
      </c>
      <c r="AX38" s="141" t="s">
        <v>374</v>
      </c>
      <c r="BC38" s="141" t="s">
        <v>375</v>
      </c>
      <c r="BI38" s="141" t="s">
        <v>374</v>
      </c>
      <c r="BK38" s="141" t="s">
        <v>376</v>
      </c>
      <c r="BO38" s="141" t="s">
        <v>428</v>
      </c>
      <c r="BP38" s="141" t="s">
        <v>429</v>
      </c>
      <c r="BQ38" s="141" t="s">
        <v>430</v>
      </c>
      <c r="BR38" s="141" t="s">
        <v>431</v>
      </c>
      <c r="BS38" s="167"/>
      <c r="BT38" s="106"/>
      <c r="BU38" s="106"/>
      <c r="BV38" s="106"/>
      <c r="BW38" s="106" t="s">
        <v>337</v>
      </c>
      <c r="BX38" s="168"/>
      <c r="BY38" s="168"/>
      <c r="BZ38" s="106" t="s">
        <v>338</v>
      </c>
      <c r="CA38" s="106"/>
      <c r="CB38" s="106"/>
    </row>
    <row r="39" spans="1:80" s="141" customFormat="1" ht="17.100000000000001" customHeight="1">
      <c r="A39" s="16">
        <v>20</v>
      </c>
      <c r="B39" s="616"/>
      <c r="C39" s="489"/>
      <c r="D39" s="616"/>
      <c r="E39" s="618"/>
      <c r="F39" s="644"/>
      <c r="G39" s="645"/>
      <c r="H39" s="641"/>
      <c r="I39" s="646"/>
      <c r="J39" s="645"/>
      <c r="K39" s="641"/>
      <c r="L39" s="613" t="str">
        <f t="shared" si="18"/>
        <v/>
      </c>
      <c r="M39" s="617" t="str">
        <f>IFERROR(L39*'CO₂係数 '!$I$33,"")</f>
        <v/>
      </c>
      <c r="N39" s="616"/>
      <c r="O39" s="616"/>
      <c r="P39" s="644"/>
      <c r="Q39" s="645"/>
      <c r="R39" s="657" t="str">
        <f t="shared" si="19"/>
        <v/>
      </c>
      <c r="S39" s="647"/>
      <c r="T39" s="645"/>
      <c r="U39" s="613" t="str">
        <f t="shared" si="20"/>
        <v/>
      </c>
      <c r="V39" s="613" t="str">
        <f t="shared" si="21"/>
        <v/>
      </c>
      <c r="W39" s="879" t="str">
        <f>IFERROR(V39*'CO₂係数 '!$I$33,"")</f>
        <v/>
      </c>
      <c r="X39" s="613" t="str">
        <f t="shared" si="29"/>
        <v/>
      </c>
      <c r="Y39" s="880" t="str">
        <f t="shared" si="30"/>
        <v/>
      </c>
      <c r="Z39" s="143"/>
      <c r="AA39" s="144" t="str">
        <f t="shared" si="0"/>
        <v/>
      </c>
      <c r="AB39" s="144">
        <f t="shared" si="13"/>
        <v>0</v>
      </c>
      <c r="AC39" s="145">
        <f t="shared" si="23"/>
        <v>0.28634999999999999</v>
      </c>
      <c r="AD39" s="146">
        <f t="shared" si="1"/>
        <v>0.82158750000000003</v>
      </c>
      <c r="AE39" s="147">
        <f t="shared" si="14"/>
        <v>0</v>
      </c>
      <c r="AF39" s="146">
        <f t="shared" si="15"/>
        <v>0.372</v>
      </c>
      <c r="AG39" s="146">
        <f t="shared" si="3"/>
        <v>0.84299999999999997</v>
      </c>
      <c r="AH39" s="146">
        <f t="shared" si="4"/>
        <v>1</v>
      </c>
      <c r="AI39" s="146"/>
      <c r="AJ39" s="148">
        <f t="shared" si="16"/>
        <v>0</v>
      </c>
      <c r="AK39" s="146">
        <f t="shared" si="5"/>
        <v>2.7087499999999998</v>
      </c>
      <c r="AM39" s="146">
        <f t="shared" si="17"/>
        <v>0</v>
      </c>
      <c r="AN39" s="146">
        <f t="shared" si="7"/>
        <v>2.0732499999999998</v>
      </c>
      <c r="AR39" s="141" t="s">
        <v>377</v>
      </c>
      <c r="AS39" s="141">
        <v>0.84</v>
      </c>
      <c r="AX39" s="141" t="s">
        <v>337</v>
      </c>
      <c r="AY39" s="141" t="s">
        <v>338</v>
      </c>
      <c r="AZ39" s="169" t="s">
        <v>337</v>
      </c>
      <c r="BA39" s="170" t="s">
        <v>338</v>
      </c>
      <c r="BB39" s="141" t="s">
        <v>378</v>
      </c>
      <c r="BC39" s="141" t="s">
        <v>337</v>
      </c>
      <c r="BD39" s="141" t="s">
        <v>338</v>
      </c>
      <c r="BE39" s="169" t="s">
        <v>337</v>
      </c>
      <c r="BF39" s="170" t="s">
        <v>338</v>
      </c>
      <c r="BG39" s="141" t="s">
        <v>378</v>
      </c>
      <c r="BI39" s="141" t="s">
        <v>337</v>
      </c>
      <c r="BJ39" s="141" t="s">
        <v>338</v>
      </c>
      <c r="BK39" s="141" t="s">
        <v>337</v>
      </c>
      <c r="BL39" s="141" t="s">
        <v>338</v>
      </c>
      <c r="BN39" s="141" t="s">
        <v>383</v>
      </c>
      <c r="BO39" s="141" t="s">
        <v>436</v>
      </c>
      <c r="BP39" s="171">
        <v>2.0950000000000002</v>
      </c>
      <c r="BQ39" s="141">
        <f>2000</f>
        <v>2000</v>
      </c>
      <c r="BR39" s="141" t="e">
        <f>VLOOKUP(BQ39,$BN$40:$BP$64,3,FALSE)</f>
        <v>#N/A</v>
      </c>
      <c r="BS39" s="106"/>
      <c r="BT39" s="165" t="s">
        <v>439</v>
      </c>
      <c r="BU39" s="165" t="s">
        <v>440</v>
      </c>
      <c r="BV39" s="165" t="s">
        <v>441</v>
      </c>
      <c r="BW39" s="165" t="s">
        <v>439</v>
      </c>
      <c r="BX39" s="165" t="s">
        <v>440</v>
      </c>
      <c r="BY39" s="165" t="s">
        <v>441</v>
      </c>
      <c r="BZ39" s="165" t="s">
        <v>439</v>
      </c>
      <c r="CA39" s="165" t="s">
        <v>440</v>
      </c>
      <c r="CB39" s="165" t="s">
        <v>441</v>
      </c>
    </row>
    <row r="40" spans="1:80" s="141" customFormat="1" ht="15" customHeight="1">
      <c r="A40" s="140"/>
      <c r="B40" s="140"/>
      <c r="C40" s="140"/>
      <c r="D40" s="137"/>
      <c r="E40" s="137"/>
      <c r="F40" s="137"/>
      <c r="G40" s="137"/>
      <c r="H40" s="137"/>
      <c r="I40" s="179"/>
      <c r="J40" s="179"/>
      <c r="K40" s="179"/>
      <c r="L40" s="179"/>
      <c r="M40" s="137"/>
      <c r="N40" s="137"/>
      <c r="O40" s="137"/>
      <c r="P40" s="137"/>
      <c r="Q40" s="137"/>
      <c r="R40" s="137"/>
      <c r="S40" s="137"/>
      <c r="T40" s="137"/>
      <c r="U40" s="137"/>
      <c r="V40" s="137"/>
      <c r="W40" s="180"/>
      <c r="X40" s="181"/>
      <c r="Y40" s="181"/>
      <c r="Z40" s="143"/>
      <c r="AA40" s="144"/>
      <c r="AB40" s="144"/>
      <c r="AC40" s="145"/>
      <c r="AD40" s="146"/>
      <c r="AE40" s="146"/>
      <c r="AF40" s="146"/>
      <c r="AG40" s="146"/>
      <c r="AH40" s="146"/>
      <c r="AI40" s="146"/>
      <c r="AJ40" s="146"/>
      <c r="AK40" s="146"/>
      <c r="AR40" s="141" t="s">
        <v>379</v>
      </c>
      <c r="AS40" s="141">
        <v>0.84499999999999997</v>
      </c>
      <c r="AX40" s="141" t="s">
        <v>380</v>
      </c>
      <c r="AY40" s="141" t="s">
        <v>380</v>
      </c>
      <c r="AZ40" s="172" t="s">
        <v>381</v>
      </c>
      <c r="BA40" s="173" t="s">
        <v>381</v>
      </c>
      <c r="BB40" s="141" t="s">
        <v>381</v>
      </c>
      <c r="BC40" s="141" t="s">
        <v>380</v>
      </c>
      <c r="BD40" s="141" t="s">
        <v>380</v>
      </c>
      <c r="BE40" s="172" t="s">
        <v>381</v>
      </c>
      <c r="BF40" s="173" t="s">
        <v>381</v>
      </c>
      <c r="BG40" s="141" t="s">
        <v>381</v>
      </c>
      <c r="BI40" s="141" t="s">
        <v>380</v>
      </c>
      <c r="BJ40" s="141" t="s">
        <v>381</v>
      </c>
      <c r="BK40" s="141" t="s">
        <v>380</v>
      </c>
      <c r="BL40" s="141" t="s">
        <v>381</v>
      </c>
      <c r="BN40" s="141" t="s">
        <v>385</v>
      </c>
      <c r="BO40" s="141">
        <v>1996</v>
      </c>
      <c r="BP40" s="171">
        <f t="shared" ref="BP40:BP64" si="31">0.5107*LN(BO40-1995)+2.095</f>
        <v>2.0950000000000002</v>
      </c>
      <c r="BQ40" s="141" t="s">
        <v>432</v>
      </c>
      <c r="BR40" s="141" t="e">
        <f>BR39*BU36</f>
        <v>#N/A</v>
      </c>
      <c r="BS40" s="106">
        <v>1</v>
      </c>
      <c r="BT40" s="165" t="s">
        <v>442</v>
      </c>
      <c r="BU40" s="165" t="s">
        <v>443</v>
      </c>
      <c r="BV40" s="165" t="s">
        <v>443</v>
      </c>
      <c r="BW40" s="174">
        <v>1.1002983030955058</v>
      </c>
      <c r="BX40" s="174">
        <v>1.4063362479652073</v>
      </c>
      <c r="BY40" s="174">
        <v>1.0912164758318603</v>
      </c>
      <c r="BZ40" s="175">
        <v>1.0932738504677566</v>
      </c>
      <c r="CA40" s="175">
        <v>1.1865962092206437</v>
      </c>
      <c r="CB40" s="175">
        <v>1.0922306900440442</v>
      </c>
    </row>
    <row r="41" spans="1:80" s="141" customFormat="1" ht="15" customHeight="1">
      <c r="A41" s="140"/>
      <c r="B41" s="140"/>
      <c r="C41" s="182"/>
      <c r="D41" s="182"/>
      <c r="E41" s="182"/>
      <c r="F41" s="182"/>
      <c r="G41" s="182"/>
      <c r="H41" s="182"/>
      <c r="I41" s="182"/>
      <c r="J41" s="182"/>
      <c r="K41" s="182"/>
      <c r="L41" s="140"/>
      <c r="M41" s="140"/>
      <c r="N41" s="182"/>
      <c r="O41" s="182"/>
      <c r="P41" s="182"/>
      <c r="Q41" s="182"/>
      <c r="R41" s="182"/>
      <c r="S41" s="182"/>
      <c r="T41" s="182"/>
      <c r="U41" s="182"/>
      <c r="V41" s="182"/>
      <c r="W41" s="182"/>
      <c r="Z41" s="143"/>
      <c r="AA41" s="144"/>
      <c r="AB41" s="144"/>
      <c r="AC41" s="145"/>
      <c r="AD41" s="146"/>
      <c r="AE41" s="146"/>
      <c r="AF41" s="146"/>
      <c r="AG41" s="146"/>
      <c r="AH41" s="146"/>
      <c r="AI41" s="146"/>
      <c r="AJ41" s="146"/>
      <c r="AK41" s="146"/>
      <c r="AR41" s="141" t="s">
        <v>382</v>
      </c>
      <c r="AS41" s="141">
        <v>0.85</v>
      </c>
      <c r="AV41" s="141" t="s">
        <v>383</v>
      </c>
      <c r="AW41" s="141">
        <v>1995</v>
      </c>
      <c r="AX41" s="141">
        <v>1.05</v>
      </c>
      <c r="AY41" s="176">
        <v>1.0416666666666667</v>
      </c>
      <c r="AZ41" s="177">
        <v>0.03</v>
      </c>
      <c r="BA41" s="178">
        <v>0.15</v>
      </c>
      <c r="BB41" s="176">
        <f>(AZ41+BA41)/2</f>
        <v>0.09</v>
      </c>
      <c r="BC41" s="176">
        <v>0.7</v>
      </c>
      <c r="BD41" s="176">
        <v>0.64</v>
      </c>
      <c r="BE41" s="177">
        <v>0.95499999999999996</v>
      </c>
      <c r="BF41" s="178">
        <v>0.86</v>
      </c>
      <c r="BG41" s="176">
        <f>(BE41+BF41)/2</f>
        <v>0.90749999999999997</v>
      </c>
      <c r="BI41" s="141">
        <v>0.25</v>
      </c>
      <c r="BJ41" s="141">
        <v>0.25</v>
      </c>
      <c r="BK41" s="141">
        <v>0.75</v>
      </c>
      <c r="BL41" s="141">
        <v>0.75</v>
      </c>
      <c r="BN41" s="141" t="s">
        <v>387</v>
      </c>
      <c r="BO41" s="141">
        <v>1997</v>
      </c>
      <c r="BP41" s="171">
        <f t="shared" si="31"/>
        <v>2.4489902651119642</v>
      </c>
      <c r="BQ41" s="141" t="s">
        <v>433</v>
      </c>
      <c r="BR41" s="141" t="e">
        <f>BR39*BU37</f>
        <v>#N/A</v>
      </c>
      <c r="BS41" s="106">
        <v>2</v>
      </c>
      <c r="BT41" s="165" t="s">
        <v>444</v>
      </c>
      <c r="BU41" s="165" t="s">
        <v>445</v>
      </c>
      <c r="BV41" s="165" t="s">
        <v>446</v>
      </c>
      <c r="BW41" s="174">
        <v>1.0478545440174878</v>
      </c>
      <c r="BX41" s="174">
        <v>0.94431731759920801</v>
      </c>
      <c r="BY41" s="174">
        <v>0.87781268741300877</v>
      </c>
      <c r="BZ41" s="175">
        <v>1.0359592739743704</v>
      </c>
      <c r="CA41" s="175">
        <v>0.91858540786661846</v>
      </c>
      <c r="CB41" s="175">
        <v>1.0068089047932733</v>
      </c>
    </row>
    <row r="42" spans="1:80" s="141" customFormat="1" ht="15" customHeight="1">
      <c r="A42" s="140"/>
      <c r="B42" s="140"/>
      <c r="C42" s="183"/>
      <c r="D42" s="183"/>
      <c r="E42" s="183"/>
      <c r="F42" s="183"/>
      <c r="G42" s="183"/>
      <c r="H42" s="183"/>
      <c r="I42" s="182"/>
      <c r="J42" s="182"/>
      <c r="K42" s="182"/>
      <c r="L42" s="140"/>
      <c r="M42" s="140"/>
      <c r="N42" s="184"/>
      <c r="O42" s="184"/>
      <c r="P42" s="184"/>
      <c r="Q42" s="184"/>
      <c r="R42" s="184"/>
      <c r="S42" s="184"/>
      <c r="T42" s="182"/>
      <c r="U42" s="182"/>
      <c r="V42" s="182"/>
      <c r="W42" s="182"/>
      <c r="X42" s="182"/>
      <c r="Y42" s="182"/>
      <c r="Z42" s="143"/>
      <c r="AA42" s="144"/>
      <c r="AB42" s="144"/>
      <c r="AC42" s="145"/>
      <c r="AD42" s="146"/>
      <c r="AE42" s="146"/>
      <c r="AF42" s="146"/>
      <c r="AG42" s="146"/>
      <c r="AH42" s="146"/>
      <c r="AI42" s="146"/>
      <c r="AJ42" s="146"/>
      <c r="AK42" s="146"/>
      <c r="AR42" s="141" t="s">
        <v>384</v>
      </c>
      <c r="AS42" s="141">
        <v>0.85499999999999998</v>
      </c>
      <c r="AV42" s="141" t="s">
        <v>385</v>
      </c>
      <c r="AW42" s="141">
        <v>1996</v>
      </c>
      <c r="AX42" s="141">
        <v>1.05</v>
      </c>
      <c r="AY42" s="176">
        <v>1.0416666666666667</v>
      </c>
      <c r="AZ42" s="177">
        <v>-4.9875000000000003E-2</v>
      </c>
      <c r="BA42" s="178">
        <v>7.4999999999999997E-2</v>
      </c>
      <c r="BB42" s="176">
        <f t="shared" ref="BB42:BB65" si="32">(AZ42+BA42)/2</f>
        <v>1.2562499999999997E-2</v>
      </c>
      <c r="BC42" s="176">
        <v>0.76100000000000001</v>
      </c>
      <c r="BD42" s="176">
        <v>0.69550000000000001</v>
      </c>
      <c r="BE42" s="177">
        <v>1.0365</v>
      </c>
      <c r="BF42" s="178">
        <v>0.9345</v>
      </c>
      <c r="BG42" s="176">
        <f t="shared" ref="BG42:BG65" si="33">(BE42+BF42)/2</f>
        <v>0.98550000000000004</v>
      </c>
      <c r="BI42" s="141">
        <v>0.25</v>
      </c>
      <c r="BJ42" s="141">
        <v>0.25</v>
      </c>
      <c r="BK42" s="141">
        <v>0.75</v>
      </c>
      <c r="BL42" s="141">
        <v>0.75</v>
      </c>
      <c r="BN42" s="141" t="s">
        <v>389</v>
      </c>
      <c r="BO42" s="141">
        <v>1998</v>
      </c>
      <c r="BP42" s="171">
        <f t="shared" si="31"/>
        <v>2.6560612958228038</v>
      </c>
      <c r="BQ42" s="141" t="s">
        <v>434</v>
      </c>
      <c r="BR42" s="141" t="e">
        <f>BR40/BP40</f>
        <v>#N/A</v>
      </c>
      <c r="BS42" s="106">
        <v>3</v>
      </c>
      <c r="BT42" s="165" t="s">
        <v>447</v>
      </c>
      <c r="BU42" s="165" t="s">
        <v>446</v>
      </c>
      <c r="BV42" s="165" t="s">
        <v>448</v>
      </c>
      <c r="BW42" s="174">
        <v>1.0244615397624421</v>
      </c>
      <c r="BX42" s="174">
        <v>0.82939764403674943</v>
      </c>
      <c r="BY42" s="174">
        <v>0.96057788365480679</v>
      </c>
      <c r="BZ42" s="175">
        <v>1.0999840219463783</v>
      </c>
      <c r="CA42" s="175">
        <v>0.88547097094105631</v>
      </c>
      <c r="CB42" s="175">
        <v>0.96088428808340476</v>
      </c>
    </row>
    <row r="43" spans="1:80" s="141" customFormat="1" ht="15" customHeight="1">
      <c r="A43" s="140"/>
      <c r="B43" s="140"/>
      <c r="C43" s="183"/>
      <c r="D43" s="183"/>
      <c r="E43" s="183"/>
      <c r="F43" s="183"/>
      <c r="G43" s="183"/>
      <c r="H43" s="183"/>
      <c r="I43" s="182"/>
      <c r="J43" s="182"/>
      <c r="K43" s="182"/>
      <c r="L43" s="140"/>
      <c r="M43" s="140"/>
      <c r="N43" s="184"/>
      <c r="O43" s="184"/>
      <c r="P43" s="184"/>
      <c r="Q43" s="184"/>
      <c r="R43" s="184"/>
      <c r="S43" s="184"/>
      <c r="T43" s="182"/>
      <c r="U43" s="182"/>
      <c r="V43" s="182"/>
      <c r="W43" s="182"/>
      <c r="X43" s="182"/>
      <c r="Y43" s="182"/>
      <c r="Z43" s="143"/>
      <c r="AA43" s="144"/>
      <c r="AB43" s="144"/>
      <c r="AC43" s="145"/>
      <c r="AD43" s="146"/>
      <c r="AE43" s="146"/>
      <c r="AF43" s="146"/>
      <c r="AG43" s="146"/>
      <c r="AH43" s="146"/>
      <c r="AI43" s="146"/>
      <c r="AJ43" s="146"/>
      <c r="AK43" s="146"/>
      <c r="AR43" s="141" t="s">
        <v>386</v>
      </c>
      <c r="AS43" s="141">
        <v>0.86</v>
      </c>
      <c r="AV43" s="141" t="s">
        <v>387</v>
      </c>
      <c r="AW43" s="141">
        <v>1997</v>
      </c>
      <c r="AX43" s="141">
        <v>1.05</v>
      </c>
      <c r="AY43" s="176">
        <v>1.0416666666666667</v>
      </c>
      <c r="AZ43" s="177">
        <v>-0.12975</v>
      </c>
      <c r="BA43" s="178">
        <v>0</v>
      </c>
      <c r="BB43" s="176">
        <f t="shared" si="32"/>
        <v>-6.4875000000000002E-2</v>
      </c>
      <c r="BC43" s="176">
        <v>0.82199999999999995</v>
      </c>
      <c r="BD43" s="176">
        <v>0.751</v>
      </c>
      <c r="BE43" s="177">
        <v>1.1179999999999999</v>
      </c>
      <c r="BF43" s="178">
        <v>1.0089999999999999</v>
      </c>
      <c r="BG43" s="176">
        <f t="shared" si="33"/>
        <v>1.0634999999999999</v>
      </c>
      <c r="BN43" s="141" t="s">
        <v>391</v>
      </c>
      <c r="BO43" s="141">
        <v>1999</v>
      </c>
      <c r="BP43" s="171">
        <f t="shared" si="31"/>
        <v>2.8029805302239286</v>
      </c>
      <c r="BQ43" s="141" t="s">
        <v>435</v>
      </c>
      <c r="BR43" s="141" t="e">
        <f>BR41/BP40</f>
        <v>#N/A</v>
      </c>
      <c r="BS43" s="106">
        <v>4</v>
      </c>
      <c r="BT43" s="165" t="s">
        <v>449</v>
      </c>
      <c r="BU43" s="165" t="s">
        <v>450</v>
      </c>
      <c r="BV43" s="165" t="s">
        <v>451</v>
      </c>
      <c r="BW43" s="174">
        <v>1.026571784058572</v>
      </c>
      <c r="BX43" s="174">
        <v>0.77959944180679974</v>
      </c>
      <c r="BY43" s="174">
        <v>0.96333025581427612</v>
      </c>
      <c r="BZ43" s="175">
        <v>1.0296194190424959</v>
      </c>
      <c r="CA43" s="175">
        <v>0.85991341627357476</v>
      </c>
      <c r="CB43" s="175">
        <v>0.96426768346398017</v>
      </c>
    </row>
    <row r="44" spans="1:80" s="141" customFormat="1" ht="15" customHeight="1">
      <c r="A44" s="140"/>
      <c r="B44" s="140"/>
      <c r="C44" s="140"/>
      <c r="D44" s="185"/>
      <c r="E44" s="185"/>
      <c r="F44" s="185"/>
      <c r="G44" s="186"/>
      <c r="H44" s="187"/>
      <c r="I44" s="187"/>
      <c r="J44" s="187"/>
      <c r="K44" s="187"/>
      <c r="L44" s="140"/>
      <c r="M44" s="140"/>
      <c r="O44" s="140"/>
      <c r="P44" s="140"/>
      <c r="Q44" s="140"/>
      <c r="R44" s="140"/>
      <c r="S44" s="140"/>
      <c r="T44" s="185"/>
      <c r="U44" s="185"/>
      <c r="V44" s="185"/>
      <c r="W44" s="185"/>
      <c r="X44" s="188"/>
      <c r="Y44" s="188"/>
      <c r="Z44" s="143"/>
      <c r="AA44" s="144"/>
      <c r="AB44" s="144"/>
      <c r="AC44" s="145"/>
      <c r="AD44" s="146"/>
      <c r="AE44" s="146"/>
      <c r="AF44" s="146"/>
      <c r="AG44" s="146"/>
      <c r="AH44" s="146"/>
      <c r="AI44" s="146"/>
      <c r="AJ44" s="146"/>
      <c r="AK44" s="146"/>
      <c r="AR44" s="141" t="s">
        <v>388</v>
      </c>
      <c r="AS44" s="141">
        <v>0.86499999999999999</v>
      </c>
      <c r="AV44" s="141" t="s">
        <v>389</v>
      </c>
      <c r="AW44" s="141">
        <v>1998</v>
      </c>
      <c r="AX44" s="141">
        <v>1.05</v>
      </c>
      <c r="AY44" s="176">
        <v>1.0416666666666667</v>
      </c>
      <c r="AZ44" s="177">
        <v>-0.20962500000000001</v>
      </c>
      <c r="BA44" s="178">
        <v>-7.4999999999999983E-2</v>
      </c>
      <c r="BB44" s="176">
        <f t="shared" si="32"/>
        <v>-0.14231250000000001</v>
      </c>
      <c r="BC44" s="176">
        <v>0.88300000000000001</v>
      </c>
      <c r="BD44" s="176">
        <v>0.80649999999999999</v>
      </c>
      <c r="BE44" s="177">
        <v>1.1995</v>
      </c>
      <c r="BF44" s="178">
        <v>1.0834999999999999</v>
      </c>
      <c r="BG44" s="176">
        <f t="shared" si="33"/>
        <v>1.1415</v>
      </c>
      <c r="BN44" s="141" t="s">
        <v>393</v>
      </c>
      <c r="BO44" s="141">
        <v>2000</v>
      </c>
      <c r="BP44" s="171">
        <f t="shared" si="31"/>
        <v>2.9169399418800954</v>
      </c>
      <c r="BS44" s="106">
        <v>5</v>
      </c>
      <c r="BT44" s="165" t="s">
        <v>452</v>
      </c>
      <c r="BU44" s="165" t="s">
        <v>448</v>
      </c>
      <c r="BV44" s="165" t="s">
        <v>453</v>
      </c>
      <c r="BW44" s="174">
        <v>1.0070012274111901</v>
      </c>
      <c r="BX44" s="174">
        <v>1.0405430891680392</v>
      </c>
      <c r="BY44" s="174">
        <v>0.81503578007074506</v>
      </c>
      <c r="BZ44" s="175">
        <v>1.0242846033997888</v>
      </c>
      <c r="CA44" s="175">
        <v>1.1474479838879943</v>
      </c>
      <c r="CB44" s="175">
        <v>0.89853610497777014</v>
      </c>
    </row>
    <row r="45" spans="1:80" s="141" customFormat="1" ht="15" customHeight="1">
      <c r="A45" s="189"/>
      <c r="B45" s="190"/>
      <c r="C45" s="182"/>
      <c r="D45" s="182"/>
      <c r="E45" s="182"/>
      <c r="F45" s="182"/>
      <c r="G45" s="182"/>
      <c r="H45" s="182"/>
      <c r="I45" s="182"/>
      <c r="J45" s="182"/>
      <c r="K45" s="182"/>
      <c r="N45" s="182"/>
      <c r="O45" s="182"/>
      <c r="P45" s="182"/>
      <c r="Q45" s="182"/>
      <c r="R45" s="182"/>
      <c r="S45" s="182"/>
      <c r="T45" s="182"/>
      <c r="U45" s="182"/>
      <c r="V45" s="182"/>
      <c r="W45" s="182"/>
      <c r="Z45" s="143"/>
      <c r="AA45" s="144"/>
      <c r="AB45" s="144"/>
      <c r="AC45" s="145"/>
      <c r="AD45" s="146"/>
      <c r="AE45" s="146"/>
      <c r="AF45" s="146"/>
      <c r="AG45" s="146"/>
      <c r="AH45" s="146"/>
      <c r="AI45" s="146"/>
      <c r="AJ45" s="146"/>
      <c r="AK45" s="146"/>
      <c r="AR45" s="141" t="s">
        <v>390</v>
      </c>
      <c r="AS45" s="141">
        <v>0.87</v>
      </c>
      <c r="AV45" s="141" t="s">
        <v>391</v>
      </c>
      <c r="AW45" s="141">
        <v>1999</v>
      </c>
      <c r="AX45" s="141">
        <v>1.05</v>
      </c>
      <c r="AY45" s="176">
        <v>1.0416666666666667</v>
      </c>
      <c r="AZ45" s="177">
        <v>-0.28949999999999998</v>
      </c>
      <c r="BA45" s="178">
        <v>-0.15</v>
      </c>
      <c r="BB45" s="176">
        <f t="shared" si="32"/>
        <v>-0.21975</v>
      </c>
      <c r="BC45" s="176">
        <v>0.94399999999999995</v>
      </c>
      <c r="BD45" s="176">
        <v>0.86199999999999988</v>
      </c>
      <c r="BE45" s="177">
        <v>1.2809999999999999</v>
      </c>
      <c r="BF45" s="178">
        <v>1.1579999999999999</v>
      </c>
      <c r="BG45" s="176">
        <f t="shared" si="33"/>
        <v>1.2195</v>
      </c>
      <c r="BN45" s="141" t="s">
        <v>395</v>
      </c>
      <c r="BO45" s="141">
        <v>2001</v>
      </c>
      <c r="BP45" s="171">
        <f t="shared" si="31"/>
        <v>3.0100515609347678</v>
      </c>
      <c r="BS45" s="106">
        <v>6</v>
      </c>
      <c r="BT45" s="165" t="s">
        <v>443</v>
      </c>
      <c r="BU45" s="165" t="s">
        <v>451</v>
      </c>
      <c r="BV45" s="165" t="s">
        <v>454</v>
      </c>
      <c r="BW45" s="174">
        <v>0.99756730066718591</v>
      </c>
      <c r="BX45" s="174">
        <v>0.92065166355179529</v>
      </c>
      <c r="BY45" s="174">
        <v>0.87438819058304895</v>
      </c>
      <c r="BZ45" s="175">
        <v>0.98058992289761526</v>
      </c>
      <c r="CA45" s="175">
        <v>0.86895353167542522</v>
      </c>
      <c r="CB45" s="175">
        <v>0.91728752836220262</v>
      </c>
    </row>
    <row r="46" spans="1:80" s="141" customFormat="1" ht="15" customHeight="1">
      <c r="A46" s="189"/>
      <c r="B46" s="193"/>
      <c r="C46" s="194"/>
      <c r="D46" s="194"/>
      <c r="E46" s="194"/>
      <c r="F46" s="194"/>
      <c r="G46" s="194"/>
      <c r="H46" s="194"/>
      <c r="I46" s="195"/>
      <c r="J46" s="195"/>
      <c r="K46" s="195"/>
      <c r="L46" s="182"/>
      <c r="M46" s="182"/>
      <c r="N46" s="194"/>
      <c r="O46" s="194"/>
      <c r="P46" s="194"/>
      <c r="Q46" s="194"/>
      <c r="R46" s="194"/>
      <c r="S46" s="194"/>
      <c r="T46" s="195"/>
      <c r="U46" s="195"/>
      <c r="V46" s="195"/>
      <c r="W46" s="195"/>
      <c r="X46" s="182"/>
      <c r="Y46" s="182"/>
      <c r="Z46" s="143"/>
      <c r="AA46" s="144"/>
      <c r="AB46" s="144"/>
      <c r="AC46" s="145"/>
      <c r="AD46" s="146"/>
      <c r="AE46" s="146"/>
      <c r="AF46" s="146"/>
      <c r="AG46" s="146"/>
      <c r="AH46" s="146"/>
      <c r="AI46" s="146"/>
      <c r="AJ46" s="146"/>
      <c r="AK46" s="146"/>
      <c r="AR46" s="141" t="s">
        <v>392</v>
      </c>
      <c r="AS46" s="141">
        <v>0.875</v>
      </c>
      <c r="AV46" s="141" t="s">
        <v>393</v>
      </c>
      <c r="AW46" s="141">
        <v>2000</v>
      </c>
      <c r="AX46" s="141">
        <v>1.05</v>
      </c>
      <c r="AY46" s="176">
        <v>1.0416666666666667</v>
      </c>
      <c r="AZ46" s="177">
        <v>-0.36937500000000001</v>
      </c>
      <c r="BA46" s="178">
        <v>-0.22500000000000001</v>
      </c>
      <c r="BB46" s="176">
        <f t="shared" si="32"/>
        <v>-0.29718749999999999</v>
      </c>
      <c r="BC46" s="176">
        <v>1.0049999999999999</v>
      </c>
      <c r="BD46" s="176">
        <v>0.91749999999999998</v>
      </c>
      <c r="BE46" s="177">
        <v>1.3625</v>
      </c>
      <c r="BF46" s="178">
        <v>1.2324999999999999</v>
      </c>
      <c r="BG46" s="176">
        <f t="shared" si="33"/>
        <v>1.2974999999999999</v>
      </c>
      <c r="BN46" s="141" t="s">
        <v>396</v>
      </c>
      <c r="BO46" s="141">
        <v>2002</v>
      </c>
      <c r="BP46" s="171">
        <f t="shared" si="31"/>
        <v>3.0887763131225485</v>
      </c>
      <c r="BS46" s="106">
        <v>7</v>
      </c>
      <c r="BT46" s="165" t="s">
        <v>455</v>
      </c>
      <c r="BU46" s="165" t="s">
        <v>456</v>
      </c>
      <c r="BV46" s="165" t="s">
        <v>457</v>
      </c>
      <c r="BW46" s="174">
        <v>0.96898232216336655</v>
      </c>
      <c r="BX46" s="174">
        <v>0.99013412622880081</v>
      </c>
      <c r="BY46" s="174">
        <v>0.86717471175387884</v>
      </c>
      <c r="BZ46" s="175">
        <v>1.0115036041972765</v>
      </c>
      <c r="CA46" s="175">
        <v>0.95241433223564409</v>
      </c>
      <c r="CB46" s="175">
        <v>1.0086067778375472</v>
      </c>
    </row>
    <row r="47" spans="1:80" s="141" customFormat="1" ht="15" customHeight="1">
      <c r="A47" s="196"/>
      <c r="B47" s="196"/>
      <c r="C47" s="194"/>
      <c r="D47" s="194"/>
      <c r="E47" s="194"/>
      <c r="F47" s="194"/>
      <c r="G47" s="194"/>
      <c r="H47" s="194"/>
      <c r="I47" s="195"/>
      <c r="J47" s="195"/>
      <c r="K47" s="195"/>
      <c r="L47" s="182"/>
      <c r="M47" s="182"/>
      <c r="N47" s="194"/>
      <c r="O47" s="194"/>
      <c r="P47" s="194"/>
      <c r="Q47" s="194"/>
      <c r="R47" s="194"/>
      <c r="S47" s="194"/>
      <c r="T47" s="195"/>
      <c r="U47" s="195"/>
      <c r="V47" s="195"/>
      <c r="W47" s="195"/>
      <c r="X47" s="182"/>
      <c r="Y47" s="182"/>
      <c r="Z47" s="143"/>
      <c r="AA47" s="144"/>
      <c r="AB47" s="144"/>
      <c r="AC47" s="145"/>
      <c r="AD47" s="146"/>
      <c r="AE47" s="146"/>
      <c r="AF47" s="146"/>
      <c r="AG47" s="146"/>
      <c r="AH47" s="146"/>
      <c r="AI47" s="146"/>
      <c r="AJ47" s="146"/>
      <c r="AK47" s="146"/>
      <c r="AR47" s="141" t="s">
        <v>394</v>
      </c>
      <c r="AV47" s="141" t="s">
        <v>395</v>
      </c>
      <c r="AW47" s="141">
        <v>2001</v>
      </c>
      <c r="AX47" s="141">
        <v>1.05</v>
      </c>
      <c r="AY47" s="176">
        <v>1.0416666666666667</v>
      </c>
      <c r="AZ47" s="177">
        <v>-0.44925000000000004</v>
      </c>
      <c r="BA47" s="178">
        <v>-0.29999999999999993</v>
      </c>
      <c r="BB47" s="176">
        <f t="shared" si="32"/>
        <v>-0.37462499999999999</v>
      </c>
      <c r="BC47" s="176">
        <v>1.0660000000000001</v>
      </c>
      <c r="BD47" s="176">
        <v>0.97299999999999986</v>
      </c>
      <c r="BE47" s="177">
        <v>1.444</v>
      </c>
      <c r="BF47" s="178">
        <v>1.3069999999999999</v>
      </c>
      <c r="BG47" s="176">
        <f t="shared" si="33"/>
        <v>1.3754999999999999</v>
      </c>
      <c r="BN47" s="141" t="s">
        <v>397</v>
      </c>
      <c r="BO47" s="141">
        <v>2003</v>
      </c>
      <c r="BP47" s="171">
        <f t="shared" si="31"/>
        <v>3.1569707953358925</v>
      </c>
      <c r="BS47" s="106">
        <v>8</v>
      </c>
      <c r="BT47" s="165" t="s">
        <v>446</v>
      </c>
      <c r="BU47" s="165" t="s">
        <v>458</v>
      </c>
      <c r="BV47" s="165" t="s">
        <v>459</v>
      </c>
      <c r="BW47" s="174">
        <v>0.85299594597835315</v>
      </c>
      <c r="BX47" s="191">
        <v>1</v>
      </c>
      <c r="BY47" s="174">
        <v>0.90375240544522284</v>
      </c>
      <c r="BZ47" s="175">
        <v>0.93393727944070482</v>
      </c>
      <c r="CA47" s="192">
        <v>1</v>
      </c>
      <c r="CB47" s="175">
        <v>0.99019533335792309</v>
      </c>
    </row>
    <row r="48" spans="1:80" s="141" customFormat="1" ht="15" customHeight="1">
      <c r="B48" s="182"/>
      <c r="Z48" s="143"/>
      <c r="AA48" s="144"/>
      <c r="AB48" s="144"/>
      <c r="AC48" s="145"/>
      <c r="AD48" s="146"/>
      <c r="AE48" s="146"/>
      <c r="AF48" s="146"/>
      <c r="AG48" s="146"/>
      <c r="AH48" s="146"/>
      <c r="AI48" s="146"/>
      <c r="AJ48" s="146"/>
      <c r="AK48" s="146"/>
      <c r="AR48" s="141" t="s">
        <v>383</v>
      </c>
      <c r="AS48" s="141">
        <v>0.88</v>
      </c>
      <c r="AV48" s="141" t="s">
        <v>396</v>
      </c>
      <c r="AW48" s="141">
        <v>2002</v>
      </c>
      <c r="AX48" s="141">
        <v>1.05</v>
      </c>
      <c r="AY48" s="176">
        <v>1.0416666666666667</v>
      </c>
      <c r="AZ48" s="177">
        <v>-0.52912499999999996</v>
      </c>
      <c r="BA48" s="178">
        <v>-0.375</v>
      </c>
      <c r="BB48" s="176">
        <f t="shared" si="32"/>
        <v>-0.45206249999999998</v>
      </c>
      <c r="BC48" s="176">
        <v>1.127</v>
      </c>
      <c r="BD48" s="176">
        <v>1.0284999999999997</v>
      </c>
      <c r="BE48" s="177">
        <v>1.5255000000000001</v>
      </c>
      <c r="BF48" s="178">
        <v>1.3815</v>
      </c>
      <c r="BG48" s="176">
        <f t="shared" si="33"/>
        <v>1.4535</v>
      </c>
      <c r="BN48" s="141" t="s">
        <v>398</v>
      </c>
      <c r="BO48" s="141">
        <v>2004</v>
      </c>
      <c r="BP48" s="171">
        <f t="shared" si="31"/>
        <v>3.2171225916456079</v>
      </c>
      <c r="BS48" s="106">
        <v>9</v>
      </c>
      <c r="BT48" s="165" t="s">
        <v>450</v>
      </c>
      <c r="BU48" s="165" t="s">
        <v>460</v>
      </c>
      <c r="BV48" s="165" t="s">
        <v>461</v>
      </c>
      <c r="BW48" s="174">
        <v>0.84698769689871134</v>
      </c>
      <c r="BX48" s="174">
        <v>0.97273709737195613</v>
      </c>
      <c r="BY48" s="174">
        <v>0.83867105526456465</v>
      </c>
      <c r="BZ48" s="175">
        <v>0.88585287890374276</v>
      </c>
      <c r="CA48" s="175">
        <v>1.06262347094386</v>
      </c>
      <c r="CB48" s="175">
        <v>0.94431731759920812</v>
      </c>
    </row>
    <row r="49" spans="1:80" s="141" customFormat="1" ht="15" customHeight="1">
      <c r="A49" s="137"/>
      <c r="B49" s="137"/>
      <c r="N49" s="197"/>
      <c r="O49" s="197"/>
      <c r="P49" s="197"/>
      <c r="Q49" s="197"/>
      <c r="R49" s="197"/>
      <c r="S49" s="197"/>
      <c r="T49" s="197"/>
      <c r="Z49" s="143"/>
      <c r="AA49" s="144"/>
      <c r="AB49" s="144"/>
      <c r="AC49" s="145"/>
      <c r="AD49" s="146"/>
      <c r="AE49" s="146"/>
      <c r="AF49" s="146"/>
      <c r="AG49" s="146"/>
      <c r="AH49" s="146"/>
      <c r="AI49" s="146"/>
      <c r="AJ49" s="146"/>
      <c r="AK49" s="146"/>
      <c r="AR49" s="141" t="s">
        <v>385</v>
      </c>
      <c r="AS49" s="141">
        <v>0.88500000000000001</v>
      </c>
      <c r="AV49" s="141" t="s">
        <v>397</v>
      </c>
      <c r="AW49" s="141">
        <v>2003</v>
      </c>
      <c r="AX49" s="141">
        <v>1.05</v>
      </c>
      <c r="AY49" s="176">
        <v>1.0416666666666667</v>
      </c>
      <c r="AZ49" s="177">
        <v>-0.60899999999999999</v>
      </c>
      <c r="BA49" s="178">
        <v>-0.44999999999999996</v>
      </c>
      <c r="BB49" s="176">
        <f t="shared" si="32"/>
        <v>-0.52949999999999997</v>
      </c>
      <c r="BC49" s="176">
        <v>1.1880000000000002</v>
      </c>
      <c r="BD49" s="176">
        <v>1.0839999999999999</v>
      </c>
      <c r="BE49" s="177">
        <v>1.607</v>
      </c>
      <c r="BF49" s="178">
        <v>1.456</v>
      </c>
      <c r="BG49" s="176">
        <f t="shared" si="33"/>
        <v>1.5314999999999999</v>
      </c>
      <c r="BN49" s="141" t="s">
        <v>399</v>
      </c>
      <c r="BO49" s="141">
        <v>2005</v>
      </c>
      <c r="BP49" s="171">
        <f t="shared" si="31"/>
        <v>3.2709302069920598</v>
      </c>
      <c r="BS49" s="106">
        <v>10</v>
      </c>
      <c r="BT49" s="165" t="s">
        <v>462</v>
      </c>
      <c r="BU49" s="165" t="s">
        <v>453</v>
      </c>
      <c r="BV49" s="165" t="s">
        <v>463</v>
      </c>
      <c r="BW49" s="174">
        <v>0.87305015161763111</v>
      </c>
      <c r="BX49" s="174">
        <v>1.0552119733261172</v>
      </c>
      <c r="BY49" s="174">
        <v>0.83261457766171532</v>
      </c>
      <c r="BZ49" s="175">
        <v>1.0172023975875697</v>
      </c>
      <c r="CA49" s="175">
        <v>1.1464697673629407</v>
      </c>
      <c r="CB49" s="175">
        <v>1.3277381184509318</v>
      </c>
    </row>
    <row r="50" spans="1:80" s="141" customFormat="1" ht="15" customHeight="1">
      <c r="A50" s="137"/>
      <c r="B50" s="137"/>
      <c r="M50" s="154"/>
      <c r="N50" s="198"/>
      <c r="O50" s="198"/>
      <c r="P50" s="198"/>
      <c r="Q50" s="198"/>
      <c r="R50" s="198"/>
      <c r="S50" s="182"/>
      <c r="T50" s="182"/>
      <c r="Z50" s="143"/>
      <c r="AA50" s="144"/>
      <c r="AB50" s="144"/>
      <c r="AC50" s="145"/>
      <c r="AD50" s="146"/>
      <c r="AE50" s="146"/>
      <c r="AF50" s="146"/>
      <c r="AG50" s="146"/>
      <c r="AH50" s="146"/>
      <c r="AI50" s="146"/>
      <c r="AJ50" s="146"/>
      <c r="AK50" s="146"/>
      <c r="AR50" s="141" t="s">
        <v>387</v>
      </c>
      <c r="AS50" s="141">
        <v>0.89</v>
      </c>
      <c r="AV50" s="141" t="s">
        <v>398</v>
      </c>
      <c r="AW50" s="141">
        <v>2004</v>
      </c>
      <c r="AX50" s="141">
        <v>1.05</v>
      </c>
      <c r="AY50" s="176">
        <v>1.0416666666666667</v>
      </c>
      <c r="AZ50" s="177">
        <v>-0.68887500000000002</v>
      </c>
      <c r="BA50" s="178">
        <v>-0.52499999999999991</v>
      </c>
      <c r="BB50" s="176">
        <f t="shared" si="32"/>
        <v>-0.60693749999999991</v>
      </c>
      <c r="BC50" s="176">
        <v>1.2490000000000001</v>
      </c>
      <c r="BD50" s="176">
        <v>1.1395</v>
      </c>
      <c r="BE50" s="177">
        <v>1.6884999999999999</v>
      </c>
      <c r="BF50" s="178">
        <v>1.5305</v>
      </c>
      <c r="BG50" s="176">
        <f t="shared" si="33"/>
        <v>1.6094999999999999</v>
      </c>
      <c r="BN50" s="141" t="s">
        <v>400</v>
      </c>
      <c r="BO50" s="141">
        <v>2006</v>
      </c>
      <c r="BP50" s="171">
        <f t="shared" si="31"/>
        <v>3.3196051158181281</v>
      </c>
      <c r="BS50" s="106">
        <v>11</v>
      </c>
      <c r="BT50" s="165" t="s">
        <v>464</v>
      </c>
      <c r="BU50" s="165" t="s">
        <v>465</v>
      </c>
      <c r="BV50" s="165" t="s">
        <v>466</v>
      </c>
      <c r="BW50" s="174">
        <v>0.75892157850831221</v>
      </c>
      <c r="BX50" s="174">
        <v>0.97662239442028276</v>
      </c>
      <c r="BY50" s="174">
        <v>0.94396222209246494</v>
      </c>
      <c r="BZ50" s="175">
        <v>0.9534547703920383</v>
      </c>
      <c r="CA50" s="175">
        <v>1.1002090004169007</v>
      </c>
      <c r="CB50" s="175">
        <v>1.0085279865885948</v>
      </c>
    </row>
    <row r="51" spans="1:80" s="141" customFormat="1" ht="15" customHeight="1">
      <c r="A51" s="137"/>
      <c r="B51" s="137"/>
      <c r="N51" s="198"/>
      <c r="O51" s="198"/>
      <c r="P51" s="198"/>
      <c r="Q51" s="198"/>
      <c r="R51" s="198"/>
      <c r="S51" s="182"/>
      <c r="T51" s="182"/>
      <c r="Z51" s="143"/>
      <c r="AA51" s="144"/>
      <c r="AB51" s="144"/>
      <c r="AC51" s="145"/>
      <c r="AD51" s="146"/>
      <c r="AE51" s="146"/>
      <c r="AF51" s="146"/>
      <c r="AG51" s="146"/>
      <c r="AH51" s="146"/>
      <c r="AI51" s="146"/>
      <c r="AJ51" s="146"/>
      <c r="AK51" s="146"/>
      <c r="AR51" s="141" t="s">
        <v>389</v>
      </c>
      <c r="AS51" s="141">
        <v>0.89500000000000002</v>
      </c>
      <c r="AV51" s="141" t="s">
        <v>399</v>
      </c>
      <c r="AW51" s="141">
        <v>2005</v>
      </c>
      <c r="AX51" s="141">
        <v>1.05</v>
      </c>
      <c r="AY51" s="176">
        <v>1.0416666666666667</v>
      </c>
      <c r="AZ51" s="177">
        <v>-0.77</v>
      </c>
      <c r="BA51" s="178">
        <v>-0.60499999999999998</v>
      </c>
      <c r="BB51" s="176">
        <f t="shared" si="32"/>
        <v>-0.6875</v>
      </c>
      <c r="BC51" s="176">
        <v>1.31</v>
      </c>
      <c r="BD51" s="176">
        <v>1.1950000000000001</v>
      </c>
      <c r="BE51" s="177">
        <v>1.77</v>
      </c>
      <c r="BF51" s="178">
        <v>1.605</v>
      </c>
      <c r="BG51" s="176">
        <f t="shared" si="33"/>
        <v>1.6875</v>
      </c>
      <c r="BN51" s="141" t="s">
        <v>401</v>
      </c>
      <c r="BO51" s="141">
        <v>2007</v>
      </c>
      <c r="BP51" s="171">
        <f t="shared" si="31"/>
        <v>3.3640418260467322</v>
      </c>
      <c r="BS51" s="106">
        <v>12</v>
      </c>
      <c r="BT51" s="165" t="s">
        <v>456</v>
      </c>
      <c r="BU51" s="165" t="s">
        <v>454</v>
      </c>
      <c r="BV51" s="165"/>
      <c r="BW51" s="174">
        <v>0.66684745642151877</v>
      </c>
      <c r="BX51" s="174">
        <v>0.99813526943057451</v>
      </c>
      <c r="BY51" s="165"/>
      <c r="BZ51" s="175">
        <v>0.87465738234328949</v>
      </c>
      <c r="CA51" s="175">
        <v>1.0382716830680632</v>
      </c>
      <c r="CB51" s="175"/>
    </row>
    <row r="52" spans="1:80" s="141" customFormat="1" ht="15" customHeight="1">
      <c r="A52" s="137"/>
      <c r="B52" s="137"/>
      <c r="N52" s="199"/>
      <c r="P52" s="200"/>
      <c r="Z52" s="143"/>
      <c r="AA52" s="144"/>
      <c r="AB52" s="144"/>
      <c r="AC52" s="145"/>
      <c r="AD52" s="146"/>
      <c r="AE52" s="146"/>
      <c r="AF52" s="146"/>
      <c r="AG52" s="146"/>
      <c r="AH52" s="146"/>
      <c r="AI52" s="146"/>
      <c r="AJ52" s="146"/>
      <c r="AK52" s="146"/>
      <c r="AR52" s="141" t="s">
        <v>391</v>
      </c>
      <c r="AS52" s="141">
        <v>0.9</v>
      </c>
      <c r="AV52" s="141" t="s">
        <v>400</v>
      </c>
      <c r="AW52" s="141">
        <v>2006</v>
      </c>
      <c r="AX52" s="141">
        <v>1.05</v>
      </c>
      <c r="AY52" s="176">
        <v>1.0416666666666667</v>
      </c>
      <c r="AZ52" s="177">
        <v>-0.84087500000000004</v>
      </c>
      <c r="BA52" s="178">
        <v>-0.63575000000000004</v>
      </c>
      <c r="BB52" s="176">
        <f t="shared" si="32"/>
        <v>-0.73831250000000004</v>
      </c>
      <c r="BC52" s="176">
        <v>1.363</v>
      </c>
      <c r="BD52" s="176">
        <v>1.218</v>
      </c>
      <c r="BE52" s="177">
        <v>1.841</v>
      </c>
      <c r="BF52" s="178">
        <v>1.6359999999999999</v>
      </c>
      <c r="BG52" s="176">
        <f t="shared" si="33"/>
        <v>1.7384999999999999</v>
      </c>
      <c r="BN52" s="141" t="s">
        <v>402</v>
      </c>
      <c r="BO52" s="141">
        <v>2008</v>
      </c>
      <c r="BP52" s="171">
        <f t="shared" si="31"/>
        <v>3.4049196368556069</v>
      </c>
      <c r="BS52" s="106">
        <v>13</v>
      </c>
      <c r="BT52" s="165"/>
      <c r="BU52" s="165" t="s">
        <v>467</v>
      </c>
      <c r="BV52" s="165"/>
      <c r="BW52" s="165"/>
      <c r="BX52" s="174">
        <v>0.92542839255438514</v>
      </c>
      <c r="BY52" s="165"/>
      <c r="BZ52" s="175"/>
      <c r="CA52" s="175">
        <v>0.99829826316357539</v>
      </c>
      <c r="CB52" s="175"/>
    </row>
    <row r="53" spans="1:80" s="141" customFormat="1" ht="15" customHeight="1">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43"/>
      <c r="AA53" s="144"/>
      <c r="AB53" s="144"/>
      <c r="AC53" s="145"/>
      <c r="AD53" s="146"/>
      <c r="AE53" s="146"/>
      <c r="AF53" s="146"/>
      <c r="AG53" s="146"/>
      <c r="AH53" s="146"/>
      <c r="AI53" s="146"/>
      <c r="AJ53" s="146"/>
      <c r="AK53" s="146"/>
      <c r="AR53" s="141" t="s">
        <v>393</v>
      </c>
      <c r="AS53" s="141">
        <v>0.90500000000000003</v>
      </c>
      <c r="AV53" s="141" t="s">
        <v>401</v>
      </c>
      <c r="AW53" s="141">
        <v>2007</v>
      </c>
      <c r="AX53" s="141">
        <v>1.05</v>
      </c>
      <c r="AY53" s="176">
        <v>1.0416666666666667</v>
      </c>
      <c r="AZ53" s="177">
        <v>-0.91175000000000006</v>
      </c>
      <c r="BA53" s="178">
        <v>-0.66649999999999998</v>
      </c>
      <c r="BB53" s="176">
        <f t="shared" si="32"/>
        <v>-0.78912500000000008</v>
      </c>
      <c r="BC53" s="176">
        <v>1.4159999999999999</v>
      </c>
      <c r="BD53" s="176">
        <v>1.2410000000000001</v>
      </c>
      <c r="BE53" s="177">
        <v>1.9119999999999999</v>
      </c>
      <c r="BF53" s="178">
        <v>1.667</v>
      </c>
      <c r="BG53" s="176">
        <f t="shared" si="33"/>
        <v>1.7894999999999999</v>
      </c>
      <c r="BN53" s="141" t="s">
        <v>403</v>
      </c>
      <c r="BO53" s="141">
        <v>2009</v>
      </c>
      <c r="BP53" s="171">
        <f t="shared" si="31"/>
        <v>3.4427665782345125</v>
      </c>
      <c r="BS53" s="106">
        <v>14</v>
      </c>
      <c r="BT53" s="165"/>
      <c r="BU53" s="165" t="s">
        <v>468</v>
      </c>
      <c r="BV53" s="165"/>
      <c r="BW53" s="165"/>
      <c r="BX53" s="174">
        <v>0.96057788365480667</v>
      </c>
      <c r="BY53" s="165"/>
      <c r="BZ53" s="175"/>
      <c r="CA53" s="175">
        <v>0.92807391252490223</v>
      </c>
      <c r="CB53" s="175"/>
    </row>
    <row r="54" spans="1:80" s="141" customFormat="1" ht="15" customHeight="1">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43"/>
      <c r="AA54" s="144"/>
      <c r="AB54" s="144"/>
      <c r="AC54" s="145"/>
      <c r="AD54" s="146"/>
      <c r="AE54" s="146"/>
      <c r="AF54" s="146"/>
      <c r="AG54" s="146"/>
      <c r="AH54" s="146"/>
      <c r="AI54" s="146"/>
      <c r="AJ54" s="146"/>
      <c r="AK54" s="146"/>
      <c r="AR54" s="141" t="s">
        <v>395</v>
      </c>
      <c r="AS54" s="141">
        <v>0.91</v>
      </c>
      <c r="AV54" s="141" t="s">
        <v>402</v>
      </c>
      <c r="AW54" s="137">
        <v>2008</v>
      </c>
      <c r="AX54" s="137">
        <v>1.05</v>
      </c>
      <c r="AY54" s="201">
        <v>1.0416666666666667</v>
      </c>
      <c r="AZ54" s="177">
        <v>-0.98262499999999997</v>
      </c>
      <c r="BA54" s="178">
        <v>-0.69724999999999993</v>
      </c>
      <c r="BB54" s="176">
        <f t="shared" si="32"/>
        <v>-0.8399375</v>
      </c>
      <c r="BC54" s="201">
        <v>1.4689999999999999</v>
      </c>
      <c r="BD54" s="201">
        <v>1.264</v>
      </c>
      <c r="BE54" s="177">
        <v>1.9830000000000001</v>
      </c>
      <c r="BF54" s="178">
        <v>1.698</v>
      </c>
      <c r="BG54" s="176">
        <f t="shared" si="33"/>
        <v>1.8405</v>
      </c>
      <c r="BN54" s="141" t="s">
        <v>404</v>
      </c>
      <c r="BO54" s="141">
        <v>2010</v>
      </c>
      <c r="BP54" s="171">
        <f t="shared" si="31"/>
        <v>3.478001237702899</v>
      </c>
      <c r="BS54" s="106">
        <v>15</v>
      </c>
      <c r="BT54" s="165"/>
      <c r="BU54" s="165" t="s">
        <v>469</v>
      </c>
      <c r="BV54" s="165"/>
      <c r="BW54" s="165"/>
      <c r="BX54" s="174">
        <v>0.96863403758777755</v>
      </c>
      <c r="BY54" s="165"/>
      <c r="BZ54" s="175"/>
      <c r="CA54" s="175">
        <v>1.118978775210592</v>
      </c>
      <c r="CB54" s="175"/>
    </row>
    <row r="55" spans="1:80" s="141" customFormat="1" ht="15" customHeight="1">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43"/>
      <c r="AA55" s="144"/>
      <c r="AB55" s="144"/>
      <c r="AC55" s="145"/>
      <c r="AD55" s="146"/>
      <c r="AE55" s="146"/>
      <c r="AF55" s="146"/>
      <c r="AG55" s="146"/>
      <c r="AH55" s="146"/>
      <c r="AI55" s="146"/>
      <c r="AJ55" s="146"/>
      <c r="AK55" s="146"/>
      <c r="AR55" s="141" t="s">
        <v>396</v>
      </c>
      <c r="AS55" s="141">
        <v>0.91500000000000004</v>
      </c>
      <c r="AV55" s="141" t="s">
        <v>403</v>
      </c>
      <c r="AW55" s="137">
        <v>2009</v>
      </c>
      <c r="AX55" s="137">
        <v>1.05</v>
      </c>
      <c r="AY55" s="201">
        <v>1.0416666666666667</v>
      </c>
      <c r="AZ55" s="177">
        <v>-1.0535000000000001</v>
      </c>
      <c r="BA55" s="178">
        <v>-0.72799999999999998</v>
      </c>
      <c r="BB55" s="176">
        <f t="shared" si="32"/>
        <v>-0.89075000000000004</v>
      </c>
      <c r="BC55" s="201">
        <v>1.522</v>
      </c>
      <c r="BD55" s="201">
        <v>1.2870000000000001</v>
      </c>
      <c r="BE55" s="177">
        <v>2.0539999999999998</v>
      </c>
      <c r="BF55" s="178">
        <v>1.7290000000000001</v>
      </c>
      <c r="BG55" s="176">
        <f t="shared" si="33"/>
        <v>1.8915</v>
      </c>
      <c r="BN55" s="141" t="s">
        <v>405</v>
      </c>
      <c r="BO55" s="141">
        <v>2011</v>
      </c>
      <c r="BP55" s="171">
        <f t="shared" si="31"/>
        <v>3.5109610604478565</v>
      </c>
      <c r="BS55" s="106">
        <v>16</v>
      </c>
      <c r="BT55" s="165"/>
      <c r="BU55" s="165" t="s">
        <v>470</v>
      </c>
      <c r="BV55" s="165"/>
      <c r="BW55" s="165"/>
      <c r="BX55" s="174">
        <v>0.99259714644330033</v>
      </c>
      <c r="BY55" s="165"/>
      <c r="BZ55" s="175"/>
      <c r="CA55" s="175">
        <v>1.0492658286996588</v>
      </c>
      <c r="CB55" s="175"/>
    </row>
    <row r="56" spans="1:80" s="141" customFormat="1" ht="15" customHeight="1">
      <c r="A56" s="137"/>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43"/>
      <c r="AA56" s="144"/>
      <c r="AB56" s="144"/>
      <c r="AC56" s="145"/>
      <c r="AD56" s="146"/>
      <c r="AE56" s="146"/>
      <c r="AF56" s="146"/>
      <c r="AG56" s="146"/>
      <c r="AH56" s="146"/>
      <c r="AI56" s="146"/>
      <c r="AJ56" s="146"/>
      <c r="AK56" s="146"/>
      <c r="AR56" s="141" t="s">
        <v>397</v>
      </c>
      <c r="AS56" s="141">
        <v>0.92</v>
      </c>
      <c r="AV56" s="141" t="s">
        <v>404</v>
      </c>
      <c r="AW56" s="137">
        <v>2010</v>
      </c>
      <c r="AX56" s="137">
        <v>1.05</v>
      </c>
      <c r="AY56" s="201">
        <v>1.0416666666666667</v>
      </c>
      <c r="AZ56" s="177">
        <v>-1.1243750000000001</v>
      </c>
      <c r="BA56" s="178">
        <v>-0.75875000000000004</v>
      </c>
      <c r="BB56" s="176">
        <f t="shared" si="32"/>
        <v>-0.94156250000000008</v>
      </c>
      <c r="BC56" s="201">
        <v>1.575</v>
      </c>
      <c r="BD56" s="201">
        <v>1.31</v>
      </c>
      <c r="BE56" s="177">
        <v>2.125</v>
      </c>
      <c r="BF56" s="178">
        <v>1.76</v>
      </c>
      <c r="BG56" s="176">
        <f t="shared" si="33"/>
        <v>1.9424999999999999</v>
      </c>
      <c r="BN56" s="141" t="s">
        <v>406</v>
      </c>
      <c r="BO56" s="141">
        <v>2012</v>
      </c>
      <c r="BP56" s="171">
        <f t="shared" si="31"/>
        <v>3.5419220548095098</v>
      </c>
      <c r="BS56" s="106">
        <v>17</v>
      </c>
      <c r="BT56" s="165"/>
      <c r="BU56" s="165" t="s">
        <v>471</v>
      </c>
      <c r="BV56" s="165"/>
      <c r="BW56" s="165"/>
      <c r="BX56" s="174">
        <v>0.95217632782109107</v>
      </c>
      <c r="BY56" s="165"/>
      <c r="BZ56" s="175"/>
      <c r="CA56" s="175">
        <v>1.0220548682087143</v>
      </c>
      <c r="CB56" s="175"/>
    </row>
    <row r="57" spans="1:80" s="141" customFormat="1" ht="15" customHeight="1">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43"/>
      <c r="AA57" s="144"/>
      <c r="AB57" s="144"/>
      <c r="AC57" s="145"/>
      <c r="AD57" s="146"/>
      <c r="AE57" s="146"/>
      <c r="AF57" s="146"/>
      <c r="AG57" s="146"/>
      <c r="AH57" s="146"/>
      <c r="AI57" s="146"/>
      <c r="AJ57" s="146"/>
      <c r="AK57" s="146"/>
      <c r="AR57" s="141" t="s">
        <v>398</v>
      </c>
      <c r="AS57" s="141">
        <v>0.92500000000000004</v>
      </c>
      <c r="AV57" s="141" t="s">
        <v>405</v>
      </c>
      <c r="AW57" s="137">
        <v>2011</v>
      </c>
      <c r="AX57" s="137">
        <v>1.05</v>
      </c>
      <c r="AY57" s="201">
        <v>1.0416666666666667</v>
      </c>
      <c r="AZ57" s="177">
        <v>-1.1952499999999999</v>
      </c>
      <c r="BA57" s="178">
        <v>-0.78949999999999998</v>
      </c>
      <c r="BB57" s="176">
        <f t="shared" si="32"/>
        <v>-0.99237500000000001</v>
      </c>
      <c r="BC57" s="201">
        <v>1.6279999999999999</v>
      </c>
      <c r="BD57" s="201">
        <v>1.3330000000000002</v>
      </c>
      <c r="BE57" s="177">
        <v>2.1959999999999997</v>
      </c>
      <c r="BF57" s="178">
        <v>1.7909999999999999</v>
      </c>
      <c r="BG57" s="176">
        <f t="shared" si="33"/>
        <v>1.9934999999999998</v>
      </c>
      <c r="BN57" s="141" t="s">
        <v>407</v>
      </c>
      <c r="BO57" s="141">
        <v>2013</v>
      </c>
      <c r="BP57" s="171">
        <f t="shared" si="31"/>
        <v>3.5711128567575718</v>
      </c>
      <c r="BS57" s="106">
        <v>18</v>
      </c>
      <c r="BT57" s="165"/>
      <c r="BU57" s="165" t="s">
        <v>472</v>
      </c>
      <c r="BV57" s="165"/>
      <c r="BW57" s="165"/>
      <c r="BX57" s="174">
        <v>0.97646481113760109</v>
      </c>
      <c r="BY57" s="165"/>
      <c r="BZ57" s="175"/>
      <c r="CA57" s="175">
        <v>0.99247899418208807</v>
      </c>
      <c r="CB57" s="175"/>
    </row>
    <row r="58" spans="1:80" s="141" customFormat="1" ht="15" customHeight="1">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43"/>
      <c r="AA58" s="144"/>
      <c r="AB58" s="144"/>
      <c r="AC58" s="145"/>
      <c r="AD58" s="146"/>
      <c r="AE58" s="146"/>
      <c r="AF58" s="146"/>
      <c r="AG58" s="146"/>
      <c r="AH58" s="146"/>
      <c r="AI58" s="146"/>
      <c r="AJ58" s="146"/>
      <c r="AK58" s="146"/>
      <c r="AR58" s="141" t="s">
        <v>399</v>
      </c>
      <c r="AS58" s="141">
        <v>0.93</v>
      </c>
      <c r="AV58" s="141" t="s">
        <v>406</v>
      </c>
      <c r="AW58" s="137">
        <v>2012</v>
      </c>
      <c r="AX58" s="137">
        <v>1.05</v>
      </c>
      <c r="AY58" s="201">
        <v>1.0416666666666667</v>
      </c>
      <c r="AZ58" s="177">
        <v>-1.2661249999999999</v>
      </c>
      <c r="BA58" s="178">
        <v>-0.82024999999999992</v>
      </c>
      <c r="BB58" s="176">
        <f t="shared" si="32"/>
        <v>-1.0431874999999999</v>
      </c>
      <c r="BC58" s="201">
        <v>1.6809999999999998</v>
      </c>
      <c r="BD58" s="201">
        <v>1.3560000000000001</v>
      </c>
      <c r="BE58" s="177">
        <v>2.2669999999999999</v>
      </c>
      <c r="BF58" s="178">
        <v>1.8220000000000001</v>
      </c>
      <c r="BG58" s="176">
        <f t="shared" si="33"/>
        <v>2.0445000000000002</v>
      </c>
      <c r="BN58" s="141" t="s">
        <v>408</v>
      </c>
      <c r="BO58" s="141">
        <v>2014</v>
      </c>
      <c r="BP58" s="171">
        <f t="shared" si="31"/>
        <v>3.5987249866603013</v>
      </c>
      <c r="BS58" s="106">
        <v>19</v>
      </c>
      <c r="BT58" s="165"/>
      <c r="BU58" s="165" t="s">
        <v>473</v>
      </c>
      <c r="BV58" s="165"/>
      <c r="BW58" s="165"/>
      <c r="BX58" s="174">
        <v>0.94704861768783755</v>
      </c>
      <c r="BY58" s="165"/>
      <c r="BZ58" s="175"/>
      <c r="CA58" s="175">
        <v>0.97370053233861553</v>
      </c>
      <c r="CB58" s="175"/>
    </row>
    <row r="59" spans="1:80" s="141" customFormat="1" ht="15" customHeight="1">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43"/>
      <c r="AA59" s="144"/>
      <c r="AB59" s="144"/>
      <c r="AC59" s="145"/>
      <c r="AD59" s="146"/>
      <c r="AE59" s="146"/>
      <c r="AF59" s="146"/>
      <c r="AG59" s="146"/>
      <c r="AH59" s="146"/>
      <c r="AI59" s="146"/>
      <c r="AJ59" s="146"/>
      <c r="AK59" s="146"/>
      <c r="AR59" s="141" t="s">
        <v>400</v>
      </c>
      <c r="AS59" s="141">
        <v>0.93500000000000005</v>
      </c>
      <c r="AV59" s="141" t="s">
        <v>407</v>
      </c>
      <c r="AW59" s="137">
        <v>2013</v>
      </c>
      <c r="AX59" s="137">
        <v>1.05</v>
      </c>
      <c r="AY59" s="201">
        <v>1.0416666666666667</v>
      </c>
      <c r="AZ59" s="177">
        <v>-1.337</v>
      </c>
      <c r="BA59" s="178">
        <v>-0.85099999999999998</v>
      </c>
      <c r="BB59" s="176">
        <f t="shared" si="32"/>
        <v>-1.0939999999999999</v>
      </c>
      <c r="BC59" s="201">
        <v>1.734</v>
      </c>
      <c r="BD59" s="201">
        <v>1.379</v>
      </c>
      <c r="BE59" s="177">
        <v>2.3380000000000001</v>
      </c>
      <c r="BF59" s="178">
        <v>1.853</v>
      </c>
      <c r="BG59" s="176">
        <f t="shared" si="33"/>
        <v>2.0954999999999999</v>
      </c>
      <c r="BN59" s="141" t="s">
        <v>409</v>
      </c>
      <c r="BO59" s="141">
        <v>2015</v>
      </c>
      <c r="BP59" s="171">
        <f t="shared" si="31"/>
        <v>3.6249204721040234</v>
      </c>
      <c r="BS59" s="106">
        <v>20</v>
      </c>
      <c r="BT59" s="165"/>
      <c r="BU59" s="165" t="s">
        <v>474</v>
      </c>
      <c r="BV59" s="165"/>
      <c r="BW59" s="165"/>
      <c r="BX59" s="174">
        <v>0.96298534702236271</v>
      </c>
      <c r="BY59" s="165"/>
      <c r="BZ59" s="175"/>
      <c r="CA59" s="175">
        <v>0.93610075921114799</v>
      </c>
      <c r="CB59" s="175"/>
    </row>
    <row r="60" spans="1:80" s="141" customFormat="1" ht="15" customHeight="1">
      <c r="A60" s="137"/>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43"/>
      <c r="AA60" s="144"/>
      <c r="AB60" s="144"/>
      <c r="AC60" s="145"/>
      <c r="AD60" s="146"/>
      <c r="AE60" s="146"/>
      <c r="AF60" s="146"/>
      <c r="AG60" s="146"/>
      <c r="AH60" s="146"/>
      <c r="AI60" s="146"/>
      <c r="AJ60" s="146"/>
      <c r="AK60" s="146"/>
      <c r="AR60" s="141" t="s">
        <v>401</v>
      </c>
      <c r="AS60" s="141">
        <v>0.94</v>
      </c>
      <c r="AV60" s="141" t="s">
        <v>408</v>
      </c>
      <c r="AW60" s="137">
        <v>2014</v>
      </c>
      <c r="AX60" s="137">
        <v>1.05</v>
      </c>
      <c r="AY60" s="201">
        <v>1.0416666666666667</v>
      </c>
      <c r="AZ60" s="177">
        <v>-1.407875</v>
      </c>
      <c r="BA60" s="178">
        <v>-0.88175000000000003</v>
      </c>
      <c r="BB60" s="176">
        <f t="shared" si="32"/>
        <v>-1.1448125</v>
      </c>
      <c r="BC60" s="201">
        <v>1.7869999999999999</v>
      </c>
      <c r="BD60" s="201">
        <v>1.4020000000000001</v>
      </c>
      <c r="BE60" s="177">
        <v>2.4089999999999998</v>
      </c>
      <c r="BF60" s="178">
        <v>1.8840000000000001</v>
      </c>
      <c r="BG60" s="176">
        <f t="shared" si="33"/>
        <v>2.1465000000000001</v>
      </c>
      <c r="BN60" s="141" t="s">
        <v>410</v>
      </c>
      <c r="BO60" s="141">
        <v>2016</v>
      </c>
      <c r="BP60" s="171">
        <f t="shared" si="31"/>
        <v>3.6498376089453526</v>
      </c>
      <c r="BS60" s="106">
        <v>21</v>
      </c>
      <c r="BT60" s="165"/>
      <c r="BU60" s="165" t="s">
        <v>475</v>
      </c>
      <c r="BV60" s="165"/>
      <c r="BW60" s="165"/>
      <c r="BX60" s="174">
        <v>0.79882184328592509</v>
      </c>
      <c r="BY60" s="165"/>
      <c r="BZ60" s="175"/>
      <c r="CA60" s="175">
        <v>0.97653825464476351</v>
      </c>
      <c r="CB60" s="175"/>
    </row>
    <row r="61" spans="1:80" s="141" customFormat="1" ht="15" customHeight="1">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43"/>
      <c r="AA61" s="144"/>
      <c r="AB61" s="144"/>
      <c r="AC61" s="145"/>
      <c r="AD61" s="146"/>
      <c r="AE61" s="146"/>
      <c r="AF61" s="146"/>
      <c r="AG61" s="146"/>
      <c r="AH61" s="146"/>
      <c r="AI61" s="146"/>
      <c r="AJ61" s="146"/>
      <c r="AK61" s="146"/>
      <c r="AR61" s="141" t="s">
        <v>402</v>
      </c>
      <c r="AS61" s="141">
        <v>0.94499999999999995</v>
      </c>
      <c r="AV61" s="141" t="s">
        <v>409</v>
      </c>
      <c r="AW61" s="137">
        <v>2015</v>
      </c>
      <c r="AX61" s="137">
        <v>1.05</v>
      </c>
      <c r="AY61" s="201">
        <v>1.0416666666666667</v>
      </c>
      <c r="AZ61" s="177">
        <v>-1.47875</v>
      </c>
      <c r="BA61" s="178">
        <v>-0.91249999999999998</v>
      </c>
      <c r="BB61" s="176">
        <f t="shared" si="32"/>
        <v>-1.1956249999999999</v>
      </c>
      <c r="BC61" s="201">
        <v>1.8399999999999999</v>
      </c>
      <c r="BD61" s="201">
        <v>1.425</v>
      </c>
      <c r="BE61" s="177">
        <v>2.48</v>
      </c>
      <c r="BF61" s="178">
        <v>1.915</v>
      </c>
      <c r="BG61" s="176">
        <f t="shared" si="33"/>
        <v>2.1974999999999998</v>
      </c>
      <c r="BN61" s="141" t="s">
        <v>411</v>
      </c>
      <c r="BO61" s="141">
        <v>2017</v>
      </c>
      <c r="BP61" s="171">
        <f t="shared" si="31"/>
        <v>3.6735953809300925</v>
      </c>
      <c r="BS61" s="106">
        <v>22</v>
      </c>
      <c r="BT61" s="165"/>
      <c r="BU61" s="165" t="s">
        <v>476</v>
      </c>
      <c r="BV61" s="165"/>
      <c r="BW61" s="165"/>
      <c r="BX61" s="174">
        <v>0.8419151042877232</v>
      </c>
      <c r="BY61" s="165"/>
      <c r="BZ61" s="175"/>
      <c r="CA61" s="175">
        <v>0.9736526477821672</v>
      </c>
      <c r="CB61" s="175"/>
    </row>
    <row r="62" spans="1:80" s="141" customFormat="1" ht="15" customHeight="1">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43"/>
      <c r="AA62" s="144"/>
      <c r="AB62" s="144"/>
      <c r="AC62" s="145"/>
      <c r="AD62" s="146"/>
      <c r="AE62" s="146"/>
      <c r="AF62" s="146"/>
      <c r="AG62" s="146"/>
      <c r="AH62" s="146"/>
      <c r="AI62" s="146"/>
      <c r="AJ62" s="146"/>
      <c r="AK62" s="146"/>
      <c r="AR62" s="141" t="s">
        <v>403</v>
      </c>
      <c r="AS62" s="141">
        <v>0.95</v>
      </c>
      <c r="AV62" s="202" t="s">
        <v>394</v>
      </c>
      <c r="AW62" s="202">
        <v>2009</v>
      </c>
      <c r="AX62" s="202">
        <v>1.05</v>
      </c>
      <c r="AY62" s="202">
        <v>1.0416666666666667</v>
      </c>
      <c r="AZ62" s="203">
        <v>-1.5496249999999998</v>
      </c>
      <c r="BA62" s="204">
        <v>-0.94324999999999992</v>
      </c>
      <c r="BB62" s="176">
        <f t="shared" si="32"/>
        <v>-1.2464374999999999</v>
      </c>
      <c r="BC62" s="202">
        <v>1.8929999999999998</v>
      </c>
      <c r="BD62" s="202">
        <v>1.448</v>
      </c>
      <c r="BE62" s="203">
        <v>2.5510000000000002</v>
      </c>
      <c r="BF62" s="204">
        <v>1.9460000000000002</v>
      </c>
      <c r="BG62" s="176">
        <f t="shared" si="33"/>
        <v>2.2484999999999999</v>
      </c>
      <c r="BN62" s="141" t="s">
        <v>412</v>
      </c>
      <c r="BO62" s="141">
        <v>2018</v>
      </c>
      <c r="BP62" s="171">
        <f t="shared" si="31"/>
        <v>3.6962968960750171</v>
      </c>
      <c r="BS62" s="106">
        <v>23</v>
      </c>
      <c r="BT62" s="165"/>
      <c r="BU62" s="165" t="s">
        <v>477</v>
      </c>
      <c r="BV62" s="165"/>
      <c r="BW62" s="165"/>
      <c r="BX62" s="174">
        <v>0.80962993050905141</v>
      </c>
      <c r="BY62" s="165"/>
      <c r="BZ62" s="175"/>
      <c r="CA62" s="175">
        <v>0.94147331158529979</v>
      </c>
      <c r="CB62" s="175"/>
    </row>
    <row r="63" spans="1:80" s="141" customFormat="1" ht="15" customHeight="1">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43"/>
      <c r="AA63" s="144"/>
      <c r="AB63" s="144"/>
      <c r="AC63" s="145"/>
      <c r="AD63" s="146"/>
      <c r="AE63" s="146"/>
      <c r="AF63" s="146"/>
      <c r="AG63" s="146"/>
      <c r="AH63" s="146"/>
      <c r="AI63" s="146"/>
      <c r="AJ63" s="146"/>
      <c r="AK63" s="146"/>
      <c r="AR63" s="141" t="s">
        <v>404</v>
      </c>
      <c r="AS63" s="141">
        <v>0.95499999999999996</v>
      </c>
      <c r="AW63" s="137">
        <v>2016</v>
      </c>
      <c r="AX63" s="137">
        <v>1.05</v>
      </c>
      <c r="AY63" s="201">
        <v>1.0416666666666667</v>
      </c>
      <c r="AZ63" s="177">
        <v>-1.6204999999999998</v>
      </c>
      <c r="BA63" s="178">
        <v>-0.97399999999999998</v>
      </c>
      <c r="BB63" s="176">
        <f t="shared" si="32"/>
        <v>-1.29725</v>
      </c>
      <c r="BC63" s="201">
        <v>1.9459999999999997</v>
      </c>
      <c r="BD63" s="201">
        <v>1.4710000000000001</v>
      </c>
      <c r="BE63" s="177">
        <v>2.6219999999999999</v>
      </c>
      <c r="BF63" s="178">
        <v>1.9770000000000001</v>
      </c>
      <c r="BG63" s="176">
        <f t="shared" si="33"/>
        <v>2.2995000000000001</v>
      </c>
      <c r="BO63" s="141">
        <v>2019</v>
      </c>
      <c r="BP63" s="171">
        <f t="shared" si="31"/>
        <v>3.7180320911586962</v>
      </c>
      <c r="BS63" s="106">
        <v>24</v>
      </c>
      <c r="BT63" s="165"/>
      <c r="BU63" s="165" t="s">
        <v>478</v>
      </c>
      <c r="BV63" s="165"/>
      <c r="BW63" s="165"/>
      <c r="BX63" s="174">
        <v>0.780155504176134</v>
      </c>
      <c r="BY63" s="165"/>
      <c r="BZ63" s="175"/>
      <c r="CA63" s="175">
        <v>0.92814032633148691</v>
      </c>
      <c r="CB63" s="175"/>
    </row>
    <row r="64" spans="1:80" s="141" customFormat="1" ht="15" customHeight="1">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43"/>
      <c r="AA64" s="144"/>
      <c r="AB64" s="144"/>
      <c r="AC64" s="145"/>
      <c r="AD64" s="146"/>
      <c r="AE64" s="146"/>
      <c r="AF64" s="146"/>
      <c r="AG64" s="146"/>
      <c r="AH64" s="146"/>
      <c r="AI64" s="146"/>
      <c r="AJ64" s="146"/>
      <c r="AK64" s="146"/>
      <c r="AR64" s="141" t="s">
        <v>405</v>
      </c>
      <c r="AS64" s="141">
        <v>0.96</v>
      </c>
      <c r="AW64" s="137">
        <v>2017</v>
      </c>
      <c r="AX64" s="137">
        <v>1.05</v>
      </c>
      <c r="AY64" s="201">
        <v>1.0416666666666667</v>
      </c>
      <c r="AZ64" s="177">
        <v>-1.6913749999999999</v>
      </c>
      <c r="BA64" s="178">
        <v>-1.00475</v>
      </c>
      <c r="BB64" s="176">
        <f t="shared" si="32"/>
        <v>-1.3480624999999999</v>
      </c>
      <c r="BC64" s="201">
        <v>1.9989999999999997</v>
      </c>
      <c r="BD64" s="201">
        <v>1.494</v>
      </c>
      <c r="BE64" s="177">
        <v>2.6930000000000001</v>
      </c>
      <c r="BF64" s="178">
        <v>2.008</v>
      </c>
      <c r="BG64" s="176">
        <f t="shared" si="33"/>
        <v>2.3505000000000003</v>
      </c>
      <c r="BO64" s="141">
        <v>2020</v>
      </c>
      <c r="BP64" s="171">
        <f t="shared" si="31"/>
        <v>3.7388798837601902</v>
      </c>
      <c r="BS64" s="106">
        <v>25</v>
      </c>
      <c r="BT64" s="165"/>
      <c r="BU64" s="165" t="s">
        <v>479</v>
      </c>
      <c r="BV64" s="165"/>
      <c r="BW64" s="165"/>
      <c r="BX64" s="174">
        <v>0.7451755703503955</v>
      </c>
      <c r="BY64" s="165"/>
      <c r="BZ64" s="175"/>
      <c r="CA64" s="175">
        <v>0.93344811097140146</v>
      </c>
      <c r="CB64" s="175"/>
    </row>
    <row r="65" spans="1:80" s="141" customFormat="1" ht="15" customHeight="1">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43"/>
      <c r="AA65" s="144"/>
      <c r="AB65" s="144"/>
      <c r="AC65" s="145"/>
      <c r="AD65" s="146"/>
      <c r="AE65" s="146"/>
      <c r="AF65" s="146"/>
      <c r="AG65" s="146"/>
      <c r="AH65" s="146"/>
      <c r="AI65" s="146"/>
      <c r="AJ65" s="146"/>
      <c r="AK65" s="146"/>
      <c r="AR65" s="141" t="s">
        <v>406</v>
      </c>
      <c r="AS65" s="141">
        <v>0.96499999999999997</v>
      </c>
      <c r="AW65" s="137">
        <v>2018</v>
      </c>
      <c r="AX65" s="137">
        <v>1.05</v>
      </c>
      <c r="AY65" s="201">
        <v>1.0416666666666667</v>
      </c>
      <c r="AZ65" s="205">
        <v>-1.7036249999999999</v>
      </c>
      <c r="BA65" s="206">
        <v>-1.0661250000000002</v>
      </c>
      <c r="BB65" s="176">
        <f t="shared" si="32"/>
        <v>-1.3848750000000001</v>
      </c>
      <c r="BC65" s="201">
        <v>2.0110000000000001</v>
      </c>
      <c r="BD65" s="201">
        <v>1.5427499999999998</v>
      </c>
      <c r="BE65" s="205">
        <v>2.7087499999999998</v>
      </c>
      <c r="BF65" s="206">
        <v>2.0732499999999998</v>
      </c>
      <c r="BG65" s="176">
        <f t="shared" si="33"/>
        <v>2.391</v>
      </c>
      <c r="BS65" s="106">
        <v>26</v>
      </c>
      <c r="BT65" s="165"/>
      <c r="BU65" s="165" t="s">
        <v>480</v>
      </c>
      <c r="BV65" s="165"/>
      <c r="BW65" s="165"/>
      <c r="BX65" s="174">
        <v>0.71275927142585815</v>
      </c>
      <c r="BY65" s="165"/>
      <c r="BZ65" s="175"/>
      <c r="CA65" s="175">
        <v>0.94950037923045139</v>
      </c>
      <c r="CB65" s="175"/>
    </row>
    <row r="66" spans="1:80" s="141" customFormat="1" ht="15" customHeight="1">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43"/>
      <c r="AA66" s="144"/>
      <c r="AB66" s="144"/>
      <c r="AC66" s="145"/>
      <c r="AD66" s="146"/>
      <c r="AE66" s="146"/>
      <c r="AF66" s="146"/>
      <c r="AG66" s="146"/>
      <c r="AH66" s="146"/>
      <c r="AI66" s="146"/>
      <c r="AJ66" s="146"/>
      <c r="AK66" s="146"/>
      <c r="AR66" s="141" t="s">
        <v>407</v>
      </c>
      <c r="AS66" s="141">
        <v>0.97</v>
      </c>
      <c r="AW66" s="137"/>
      <c r="AX66" s="137"/>
      <c r="AY66" s="137"/>
      <c r="AZ66" s="137"/>
      <c r="BA66" s="137"/>
      <c r="BB66" s="137"/>
      <c r="BC66" s="137"/>
      <c r="BD66" s="137"/>
      <c r="BE66" s="137"/>
      <c r="BS66" s="106">
        <v>27</v>
      </c>
      <c r="BT66" s="165"/>
      <c r="BU66" s="165" t="s">
        <v>481</v>
      </c>
      <c r="BV66" s="165"/>
      <c r="BW66" s="165"/>
      <c r="BX66" s="174">
        <v>0.71006322910179942</v>
      </c>
      <c r="BY66" s="165"/>
      <c r="BZ66" s="175"/>
      <c r="CA66" s="175">
        <v>0.95485753895141123</v>
      </c>
      <c r="CB66" s="175"/>
    </row>
    <row r="67" spans="1:80" s="141" customFormat="1" ht="15" customHeight="1">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43"/>
      <c r="AA67" s="144"/>
      <c r="AB67" s="144"/>
      <c r="AC67" s="145"/>
      <c r="AD67" s="146"/>
      <c r="AE67" s="146"/>
      <c r="AF67" s="146"/>
      <c r="AG67" s="146"/>
      <c r="AH67" s="146"/>
      <c r="AI67" s="146"/>
      <c r="AJ67" s="146"/>
      <c r="AK67" s="146"/>
      <c r="AR67" s="141" t="s">
        <v>408</v>
      </c>
      <c r="AS67" s="141">
        <v>0.97499999999999998</v>
      </c>
      <c r="AW67" s="137"/>
      <c r="AX67" s="137"/>
      <c r="AY67" s="137"/>
      <c r="AZ67" s="137"/>
      <c r="BA67" s="137"/>
      <c r="BB67" s="137"/>
      <c r="BC67" s="137"/>
      <c r="BD67" s="137"/>
      <c r="BE67" s="137"/>
    </row>
    <row r="68" spans="1:80" ht="15" customHeight="1">
      <c r="Z68" s="207"/>
      <c r="AC68" s="208"/>
      <c r="AO68" s="141"/>
      <c r="AP68" s="141"/>
      <c r="AR68" s="137" t="s">
        <v>409</v>
      </c>
      <c r="AS68" s="137">
        <v>0.98</v>
      </c>
    </row>
    <row r="69" spans="1:80">
      <c r="Z69" s="210"/>
      <c r="AO69" s="141"/>
      <c r="AR69" s="137" t="s">
        <v>410</v>
      </c>
      <c r="AS69" s="137">
        <v>0.98499999999999999</v>
      </c>
    </row>
    <row r="70" spans="1:80" ht="16.5" customHeight="1">
      <c r="Z70" s="210"/>
      <c r="AO70" s="209"/>
      <c r="AR70" s="137" t="s">
        <v>411</v>
      </c>
      <c r="AS70" s="137">
        <v>0.99</v>
      </c>
    </row>
    <row r="71" spans="1:80" ht="13.5" customHeight="1">
      <c r="Z71" s="210"/>
      <c r="AR71" s="137" t="s">
        <v>412</v>
      </c>
      <c r="AS71" s="137">
        <v>0.995</v>
      </c>
    </row>
    <row r="72" spans="1:80" ht="13.5" customHeight="1">
      <c r="Z72" s="140"/>
    </row>
    <row r="73" spans="1:80" ht="13.5" customHeight="1">
      <c r="Z73" s="210"/>
    </row>
    <row r="74" spans="1:80" ht="13.5" customHeight="1">
      <c r="Z74" s="211"/>
    </row>
    <row r="75" spans="1:80" ht="13.5" customHeight="1">
      <c r="Z75" s="211"/>
      <c r="AR75" s="137" t="s">
        <v>413</v>
      </c>
      <c r="AS75" s="137">
        <v>0.70499999999999996</v>
      </c>
    </row>
    <row r="76" spans="1:80" ht="13.5" customHeight="1"/>
    <row r="77" spans="1:80" ht="13.5" customHeight="1">
      <c r="Z77" s="210"/>
    </row>
    <row r="78" spans="1:80" ht="13.5" customHeight="1">
      <c r="Z78" s="212"/>
    </row>
    <row r="79" spans="1:80" ht="13.5" customHeight="1">
      <c r="Z79" s="212"/>
    </row>
    <row r="80" spans="1:80" ht="13.5" customHeight="1"/>
    <row r="81" spans="44:45" ht="13.5" customHeight="1"/>
    <row r="83" spans="44:45" ht="13.5" customHeight="1"/>
    <row r="84" spans="44:45" ht="14.25" customHeight="1"/>
    <row r="87" spans="44:45">
      <c r="AR87" s="137" t="s">
        <v>414</v>
      </c>
      <c r="AS87" s="137">
        <v>1</v>
      </c>
    </row>
  </sheetData>
  <sheetProtection algorithmName="SHA-512" hashValue="ackmxA6lHgLVK/F08kxBMAzjcnwaRpcDv2zEw2XTBboNYCdvcle451MjyNTAP5/6E0TEaZ6mU5lCJoacSWSKXA==" saltValue="tsmvhRQhv5m1PmfPiE8DQg==" spinCount="100000" sheet="1" objects="1" scenarios="1" formatCells="0"/>
  <sortState ref="BP25:BS31">
    <sortCondition descending="1" ref="BQ25:BQ31"/>
    <sortCondition descending="1" ref="BS25:BS31"/>
  </sortState>
  <mergeCells count="23">
    <mergeCell ref="A14:A16"/>
    <mergeCell ref="F3:G3"/>
    <mergeCell ref="J3:K3"/>
    <mergeCell ref="H3:I3"/>
    <mergeCell ref="J4:K4"/>
    <mergeCell ref="H4:I4"/>
    <mergeCell ref="F4:G4"/>
    <mergeCell ref="J5:K5"/>
    <mergeCell ref="H5:I5"/>
    <mergeCell ref="F5:G5"/>
    <mergeCell ref="J6:K6"/>
    <mergeCell ref="H6:I6"/>
    <mergeCell ref="R1:Y1"/>
    <mergeCell ref="X14:Y15"/>
    <mergeCell ref="B3:D3"/>
    <mergeCell ref="B4:D4"/>
    <mergeCell ref="B5:D5"/>
    <mergeCell ref="B6:D6"/>
    <mergeCell ref="F6:G6"/>
    <mergeCell ref="P3:Y3"/>
    <mergeCell ref="N5:Y10"/>
    <mergeCell ref="N3:O3"/>
    <mergeCell ref="O13:P13"/>
  </mergeCells>
  <phoneticPr fontId="3"/>
  <conditionalFormatting sqref="A13">
    <cfRule type="expression" dxfId="87" priority="19">
      <formula>$AB$17&lt;&gt;2</formula>
    </cfRule>
  </conditionalFormatting>
  <conditionalFormatting sqref="A13">
    <cfRule type="expression" dxfId="86" priority="18">
      <formula>$AB$17=2</formula>
    </cfRule>
  </conditionalFormatting>
  <conditionalFormatting sqref="J7 L4:L7 F6:F7 H6:H7">
    <cfRule type="expression" dxfId="85" priority="11">
      <formula>$E$1="なし"</formula>
    </cfRule>
  </conditionalFormatting>
  <conditionalFormatting sqref="L6">
    <cfRule type="expression" dxfId="84" priority="10">
      <formula>$E$1="なし"</formula>
    </cfRule>
  </conditionalFormatting>
  <conditionalFormatting sqref="C18">
    <cfRule type="expression" dxfId="83" priority="6">
      <formula>$F$1="なし"</formula>
    </cfRule>
  </conditionalFormatting>
  <conditionalFormatting sqref="V18">
    <cfRule type="expression" dxfId="82" priority="5">
      <formula>$F$1="なし"</formula>
    </cfRule>
  </conditionalFormatting>
  <conditionalFormatting sqref="N5:Y10">
    <cfRule type="expression" dxfId="81" priority="4">
      <formula>OR(F19&lt;P19,I19&lt;S19)</formula>
    </cfRule>
  </conditionalFormatting>
  <conditionalFormatting sqref="P19">
    <cfRule type="expression" dxfId="80" priority="2">
      <formula>$P$19-$F$19&gt;0</formula>
    </cfRule>
  </conditionalFormatting>
  <conditionalFormatting sqref="S19">
    <cfRule type="expression" dxfId="79" priority="1">
      <formula>$S$19-$I$19&gt;0</formula>
    </cfRule>
  </conditionalFormatting>
  <dataValidations count="6">
    <dataValidation type="whole" allowBlank="1" showInputMessage="1" showErrorMessage="1" sqref="O18" xr:uid="{83F7C48E-8FE0-4A79-8ED4-45BDBC704C5D}">
      <formula1>0</formula1>
      <formula2>D18</formula2>
    </dataValidation>
    <dataValidation type="list" allowBlank="1" showInputMessage="1" showErrorMessage="1" sqref="C18" xr:uid="{226C7C00-41D4-486F-AD2C-F6BABABF39FC}">
      <formula1>$AR$47:$AR$71</formula1>
    </dataValidation>
    <dataValidation type="list" allowBlank="1" showInputMessage="1" showErrorMessage="1" sqref="E18" xr:uid="{32FF2DAA-45E1-4EA0-A2B3-7925D1C141B6}">
      <formula1>"インバータ"</formula1>
    </dataValidation>
    <dataValidation type="decimal" allowBlank="1" showInputMessage="1" showErrorMessage="1" error="最大24時間までの数値記入" sqref="O13:P13" xr:uid="{8FD1E7E3-6163-4E20-8172-2D330B5FB839}">
      <formula1>1</formula1>
      <formula2>24</formula2>
    </dataValidation>
    <dataValidation type="list" allowBlank="1" showInputMessage="1" showErrorMessage="1" error="対象は2008年までです。それ以降は対象となりません。" sqref="C20:C39" xr:uid="{72E2DCA7-5A6A-4AAC-B0E8-97F9B7ABAEEF}">
      <formula1>$AV$41:$AV$61</formula1>
    </dataValidation>
    <dataValidation type="list" allowBlank="1" showInputMessage="1" showErrorMessage="1" sqref="E20:E39" xr:uid="{0B22266C-F647-49F8-99E2-676701973D15}">
      <formula1>"インバータ,無し"</formula1>
    </dataValidation>
  </dataValidations>
  <printOptions horizontalCentered="1"/>
  <pageMargins left="0.27559055118110237" right="0.19685039370078741" top="0.74803149606299213" bottom="0.55118110236220474" header="0.31496062992125984" footer="0.31496062992125984"/>
  <pageSetup paperSize="9" scale="75" orientation="landscape" r:id="rId1"/>
  <headerFooter>
    <oddHeader>&amp;L様式第1号（別紙）</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E1715-30EC-4C10-ABE3-16EAB9CC1B92}">
  <sheetPr>
    <tabColor rgb="FF00B0F0"/>
    <pageSetUpPr fitToPage="1"/>
  </sheetPr>
  <dimension ref="A1:BU95"/>
  <sheetViews>
    <sheetView view="pageBreakPreview" topLeftCell="A19" zoomScaleNormal="100" zoomScaleSheetLayoutView="100" workbookViewId="0">
      <selection activeCell="J33" sqref="J33"/>
    </sheetView>
  </sheetViews>
  <sheetFormatPr defaultColWidth="9" defaultRowHeight="18.75"/>
  <cols>
    <col min="1" max="1" width="3.25" style="137" customWidth="1"/>
    <col min="2" max="2" width="14.125" style="137" customWidth="1"/>
    <col min="3" max="3" width="5.625" style="137" customWidth="1"/>
    <col min="4" max="4" width="4.5" style="137" customWidth="1"/>
    <col min="5" max="6" width="5.625" style="137" customWidth="1"/>
    <col min="7" max="7" width="6.375" style="137" customWidth="1"/>
    <col min="8" max="12" width="5.625" style="137" customWidth="1"/>
    <col min="13" max="14" width="7.5" style="137" customWidth="1"/>
    <col min="15" max="15" width="5.625" style="137" customWidth="1"/>
    <col min="16" max="16" width="14.25" style="137" customWidth="1"/>
    <col min="17" max="17" width="4.75" style="137" customWidth="1"/>
    <col min="18" max="25" width="5.625" style="137" customWidth="1"/>
    <col min="26" max="27" width="7.375" style="137" customWidth="1"/>
    <col min="28" max="28" width="7.125" style="137" customWidth="1"/>
    <col min="29" max="30" width="8" style="137" customWidth="1"/>
    <col min="31" max="31" width="7.375" style="137" customWidth="1"/>
    <col min="32" max="32" width="3.875" style="137" hidden="1" customWidth="1"/>
    <col min="33" max="34" width="3.25" style="137" hidden="1" customWidth="1"/>
    <col min="35" max="36" width="9" style="137" hidden="1" customWidth="1"/>
    <col min="37" max="37" width="5.25" style="137" hidden="1" customWidth="1"/>
    <col min="38" max="39" width="6.875" style="137" hidden="1" customWidth="1"/>
    <col min="40" max="40" width="10.125" style="137" hidden="1" customWidth="1"/>
    <col min="41" max="41" width="8.375" style="137" hidden="1" customWidth="1"/>
    <col min="42" max="43" width="6.875" style="137" hidden="1" customWidth="1"/>
    <col min="44" max="44" width="5" style="137" hidden="1" customWidth="1"/>
    <col min="45" max="46" width="9" style="137" hidden="1" customWidth="1"/>
    <col min="47" max="47" width="9.5" style="137" hidden="1" customWidth="1"/>
    <col min="48" max="73" width="9" style="137" hidden="1" customWidth="1"/>
    <col min="74" max="74" width="0" style="137" hidden="1" customWidth="1"/>
    <col min="75" max="16384" width="9" style="137"/>
  </cols>
  <sheetData>
    <row r="1" spans="1:46" ht="28.5" customHeight="1">
      <c r="A1" s="69" t="s">
        <v>496</v>
      </c>
      <c r="X1" s="916">
        <f>CO２削減量算定シート!O7</f>
        <v>0</v>
      </c>
      <c r="Y1" s="917"/>
      <c r="Z1" s="917"/>
      <c r="AA1" s="917"/>
      <c r="AB1" s="917"/>
      <c r="AC1" s="917"/>
      <c r="AD1" s="917"/>
      <c r="AE1" s="918"/>
    </row>
    <row r="2" spans="1:46">
      <c r="A2" s="136" t="s">
        <v>312</v>
      </c>
      <c r="B2" s="1"/>
      <c r="C2" s="1"/>
      <c r="D2" s="1"/>
      <c r="E2" s="1"/>
      <c r="F2" s="1"/>
      <c r="G2" s="1"/>
      <c r="H2" s="6"/>
      <c r="I2" s="1"/>
      <c r="N2" s="258"/>
      <c r="P2" s="109" t="s">
        <v>314</v>
      </c>
      <c r="Q2" s="72"/>
      <c r="R2" s="499" t="s">
        <v>728</v>
      </c>
      <c r="S2" s="109"/>
      <c r="U2" s="108"/>
      <c r="W2" s="70"/>
      <c r="X2" s="70"/>
      <c r="Y2" s="70"/>
      <c r="Z2" s="70"/>
      <c r="AA2" s="70"/>
    </row>
    <row r="3" spans="1:46" ht="20.100000000000001" customHeight="1">
      <c r="A3" s="1"/>
      <c r="B3" s="923" t="s">
        <v>0</v>
      </c>
      <c r="C3" s="924"/>
      <c r="D3" s="925"/>
      <c r="E3" s="66" t="s">
        <v>1</v>
      </c>
      <c r="F3" s="950" t="s">
        <v>2</v>
      </c>
      <c r="G3" s="951"/>
      <c r="H3" s="950" t="s">
        <v>3</v>
      </c>
      <c r="I3" s="951"/>
      <c r="J3" s="950" t="s">
        <v>4</v>
      </c>
      <c r="K3" s="951"/>
      <c r="L3" s="217" t="s">
        <v>5</v>
      </c>
      <c r="N3" s="259"/>
      <c r="P3" s="943" t="s">
        <v>11</v>
      </c>
      <c r="Q3" s="944"/>
      <c r="R3" s="931" t="str">
        <f>IF(AC27="","",IF(OR(E27&lt;R27,I27&lt;V27),"定格出力が増加しています。下蘭に事由を記載してください。",""))</f>
        <v/>
      </c>
      <c r="S3" s="932"/>
      <c r="T3" s="932"/>
      <c r="U3" s="932"/>
      <c r="V3" s="932"/>
      <c r="W3" s="932"/>
      <c r="X3" s="932"/>
      <c r="Y3" s="932"/>
      <c r="Z3" s="932"/>
      <c r="AA3" s="932"/>
      <c r="AB3" s="932"/>
      <c r="AC3" s="932"/>
      <c r="AD3" s="932"/>
      <c r="AE3" s="933"/>
      <c r="AM3" s="137" t="s">
        <v>509</v>
      </c>
      <c r="AN3" s="250" t="s">
        <v>508</v>
      </c>
      <c r="AO3" s="137" t="s">
        <v>507</v>
      </c>
    </row>
    <row r="4" spans="1:46" ht="20.100000000000001" customHeight="1">
      <c r="A4" s="1"/>
      <c r="B4" s="923" t="s">
        <v>7</v>
      </c>
      <c r="C4" s="924"/>
      <c r="D4" s="925"/>
      <c r="E4" s="125" t="s">
        <v>8</v>
      </c>
      <c r="F4" s="976">
        <f>M27</f>
        <v>0</v>
      </c>
      <c r="G4" s="977"/>
      <c r="H4" s="976">
        <f>Z27</f>
        <v>0</v>
      </c>
      <c r="I4" s="977"/>
      <c r="J4" s="976">
        <f>F4-H4</f>
        <v>0</v>
      </c>
      <c r="K4" s="977"/>
      <c r="L4" s="438">
        <f>IFERROR(J4/F4,0)</f>
        <v>0</v>
      </c>
      <c r="N4" s="260"/>
      <c r="P4" s="19" t="s">
        <v>6</v>
      </c>
      <c r="Q4" s="111"/>
      <c r="R4" s="111"/>
      <c r="S4" s="111"/>
      <c r="T4" s="111"/>
      <c r="U4" s="111"/>
      <c r="V4" s="111"/>
      <c r="W4" s="111"/>
      <c r="X4" s="111"/>
      <c r="Y4" s="111"/>
      <c r="Z4" s="111"/>
      <c r="AA4" s="111"/>
      <c r="AB4" s="111"/>
      <c r="AC4" s="111"/>
      <c r="AD4" s="111"/>
      <c r="AE4" s="112"/>
      <c r="AJ4" s="137" t="s">
        <v>599</v>
      </c>
      <c r="AM4" s="137">
        <v>45</v>
      </c>
      <c r="AO4" s="137">
        <v>2.2440000000000002</v>
      </c>
      <c r="AQ4" s="137">
        <v>2.2440000000000003E-3</v>
      </c>
      <c r="AS4" s="137">
        <v>43.5</v>
      </c>
      <c r="AT4" s="252">
        <v>2.1692999999999998</v>
      </c>
    </row>
    <row r="5" spans="1:46" ht="20.100000000000001" customHeight="1">
      <c r="A5" s="1"/>
      <c r="B5" s="923" t="s">
        <v>230</v>
      </c>
      <c r="C5" s="924"/>
      <c r="D5" s="925"/>
      <c r="E5" s="125" t="s">
        <v>522</v>
      </c>
      <c r="F5" s="976">
        <f>N27</f>
        <v>0</v>
      </c>
      <c r="G5" s="977"/>
      <c r="H5" s="978">
        <f>AA27</f>
        <v>0</v>
      </c>
      <c r="I5" s="979"/>
      <c r="J5" s="978">
        <f t="shared" ref="J5:J6" si="0">F5-H5</f>
        <v>0</v>
      </c>
      <c r="K5" s="979"/>
      <c r="L5" s="438">
        <f t="shared" ref="L5:L7" si="1">IFERROR(J5/F5,0)</f>
        <v>0</v>
      </c>
      <c r="N5" s="258"/>
      <c r="P5" s="934"/>
      <c r="Q5" s="935"/>
      <c r="R5" s="935"/>
      <c r="S5" s="935"/>
      <c r="T5" s="935"/>
      <c r="U5" s="935"/>
      <c r="V5" s="935"/>
      <c r="W5" s="935"/>
      <c r="X5" s="935"/>
      <c r="Y5" s="935"/>
      <c r="Z5" s="935"/>
      <c r="AA5" s="935"/>
      <c r="AB5" s="935"/>
      <c r="AC5" s="935"/>
      <c r="AD5" s="935"/>
      <c r="AE5" s="936"/>
      <c r="AJ5" s="137" t="s">
        <v>502</v>
      </c>
      <c r="AM5" s="137">
        <v>101.2</v>
      </c>
      <c r="AN5" s="137">
        <v>502</v>
      </c>
      <c r="AO5" s="252">
        <v>5.9740000000000001E-3</v>
      </c>
      <c r="AS5" s="137">
        <v>43.07</v>
      </c>
      <c r="AT5" s="252">
        <v>2.1478000000000002</v>
      </c>
    </row>
    <row r="6" spans="1:46" ht="20.100000000000001" customHeight="1">
      <c r="A6" s="1"/>
      <c r="B6" s="923" t="s">
        <v>9</v>
      </c>
      <c r="C6" s="924"/>
      <c r="D6" s="925"/>
      <c r="E6" s="125" t="s">
        <v>484</v>
      </c>
      <c r="F6" s="958">
        <f>O27</f>
        <v>0</v>
      </c>
      <c r="G6" s="959"/>
      <c r="H6" s="958">
        <f>AB27</f>
        <v>0</v>
      </c>
      <c r="I6" s="959"/>
      <c r="J6" s="960">
        <f t="shared" si="0"/>
        <v>0</v>
      </c>
      <c r="K6" s="961"/>
      <c r="L6" s="438">
        <f t="shared" si="1"/>
        <v>0</v>
      </c>
      <c r="N6" s="260"/>
      <c r="P6" s="937"/>
      <c r="Q6" s="938"/>
      <c r="R6" s="938"/>
      <c r="S6" s="938"/>
      <c r="T6" s="938"/>
      <c r="U6" s="938"/>
      <c r="V6" s="938"/>
      <c r="W6" s="938"/>
      <c r="X6" s="938"/>
      <c r="Y6" s="938"/>
      <c r="Z6" s="938"/>
      <c r="AA6" s="938"/>
      <c r="AB6" s="938"/>
      <c r="AC6" s="938"/>
      <c r="AD6" s="938"/>
      <c r="AE6" s="939"/>
      <c r="AJ6" s="137" t="s">
        <v>504</v>
      </c>
      <c r="AM6" s="137">
        <v>143.1</v>
      </c>
      <c r="AN6" s="137">
        <v>355</v>
      </c>
      <c r="AO6" s="252">
        <v>8.9519999999999999E-3</v>
      </c>
    </row>
    <row r="7" spans="1:46" ht="20.100000000000001" customHeight="1">
      <c r="A7" s="1"/>
      <c r="B7" s="926" t="s">
        <v>12</v>
      </c>
      <c r="C7" s="927"/>
      <c r="D7" s="928"/>
      <c r="E7" s="288" t="s">
        <v>13</v>
      </c>
      <c r="F7" s="962">
        <f>F4*'CO₂係数 '!$C$33*0.0000258</f>
        <v>0</v>
      </c>
      <c r="G7" s="963"/>
      <c r="H7" s="962">
        <f>H4*'CO₂係数 '!$C$33*0.0000258</f>
        <v>0</v>
      </c>
      <c r="I7" s="963"/>
      <c r="J7" s="962">
        <f t="shared" ref="J7" si="2">F7-H7</f>
        <v>0</v>
      </c>
      <c r="K7" s="963"/>
      <c r="L7" s="438">
        <f t="shared" si="1"/>
        <v>0</v>
      </c>
      <c r="N7" s="261"/>
      <c r="P7" s="937"/>
      <c r="Q7" s="938"/>
      <c r="R7" s="938"/>
      <c r="S7" s="938"/>
      <c r="T7" s="938"/>
      <c r="U7" s="938"/>
      <c r="V7" s="938"/>
      <c r="W7" s="938"/>
      <c r="X7" s="938"/>
      <c r="Y7" s="938"/>
      <c r="Z7" s="938"/>
      <c r="AA7" s="938"/>
      <c r="AB7" s="938"/>
      <c r="AC7" s="938"/>
      <c r="AD7" s="938"/>
      <c r="AE7" s="939"/>
      <c r="AJ7" s="137" t="s">
        <v>506</v>
      </c>
      <c r="AM7" s="137">
        <v>105.4</v>
      </c>
      <c r="AN7" s="137">
        <v>482</v>
      </c>
      <c r="AO7" s="252">
        <v>6.2199999999999998E-3</v>
      </c>
    </row>
    <row r="8" spans="1:46" ht="19.5" customHeight="1">
      <c r="B8" s="291"/>
      <c r="C8" s="291"/>
      <c r="D8" s="291"/>
      <c r="E8" s="289"/>
      <c r="F8" s="292"/>
      <c r="G8" s="292"/>
      <c r="H8" s="292"/>
      <c r="I8" s="292"/>
      <c r="J8" s="292"/>
      <c r="K8" s="292"/>
      <c r="L8" s="290"/>
      <c r="N8" s="260"/>
      <c r="P8" s="937"/>
      <c r="Q8" s="938"/>
      <c r="R8" s="938"/>
      <c r="S8" s="938"/>
      <c r="T8" s="938"/>
      <c r="U8" s="938"/>
      <c r="V8" s="938"/>
      <c r="W8" s="938"/>
      <c r="X8" s="938"/>
      <c r="Y8" s="938"/>
      <c r="Z8" s="938"/>
      <c r="AA8" s="938"/>
      <c r="AB8" s="938"/>
      <c r="AC8" s="938"/>
      <c r="AD8" s="938"/>
      <c r="AE8" s="939"/>
      <c r="AJ8" s="137" t="s">
        <v>511</v>
      </c>
      <c r="AM8" s="137">
        <f>H19</f>
        <v>45</v>
      </c>
      <c r="AO8" s="137">
        <f>M20</f>
        <v>0</v>
      </c>
    </row>
    <row r="9" spans="1:46" ht="20.25" customHeight="1">
      <c r="P9" s="937"/>
      <c r="Q9" s="938"/>
      <c r="R9" s="938"/>
      <c r="S9" s="938"/>
      <c r="T9" s="938"/>
      <c r="U9" s="938"/>
      <c r="V9" s="938"/>
      <c r="W9" s="938"/>
      <c r="X9" s="938"/>
      <c r="Y9" s="938"/>
      <c r="Z9" s="938"/>
      <c r="AA9" s="938"/>
      <c r="AB9" s="938"/>
      <c r="AC9" s="938"/>
      <c r="AD9" s="938"/>
      <c r="AE9" s="939"/>
      <c r="AJ9" s="137">
        <f>IF(C19="","",MATCH(C19,AJ4:AJ8,0))</f>
        <v>1</v>
      </c>
      <c r="AM9" s="153">
        <f>IF(AJ9=5,H20,H19)</f>
        <v>45</v>
      </c>
      <c r="AO9" s="153">
        <f>IF(AJ9=5,M20,M19)</f>
        <v>2.2440000000000002</v>
      </c>
    </row>
    <row r="10" spans="1:46" ht="20.25" customHeight="1">
      <c r="P10" s="940"/>
      <c r="Q10" s="941"/>
      <c r="R10" s="941"/>
      <c r="S10" s="941"/>
      <c r="T10" s="941"/>
      <c r="U10" s="941"/>
      <c r="V10" s="941"/>
      <c r="W10" s="941"/>
      <c r="X10" s="941"/>
      <c r="Y10" s="941"/>
      <c r="Z10" s="941"/>
      <c r="AA10" s="941"/>
      <c r="AB10" s="941"/>
      <c r="AC10" s="941"/>
      <c r="AD10" s="941"/>
      <c r="AE10" s="942"/>
    </row>
    <row r="11" spans="1:46" ht="20.25" customHeight="1">
      <c r="A11" s="109" t="s">
        <v>313</v>
      </c>
      <c r="P11" s="257"/>
      <c r="Q11" s="257"/>
      <c r="R11" s="257"/>
      <c r="S11" s="257"/>
      <c r="T11" s="257"/>
      <c r="U11" s="257"/>
      <c r="V11" s="257"/>
      <c r="W11" s="257"/>
      <c r="X11" s="257"/>
      <c r="Y11" s="257"/>
      <c r="Z11" s="257"/>
      <c r="AA11" s="257"/>
      <c r="AB11" s="257"/>
      <c r="AC11" s="257"/>
      <c r="AD11" s="257"/>
      <c r="AE11" s="257"/>
    </row>
    <row r="12" spans="1:46" ht="20.25" customHeight="1">
      <c r="P12" s="257"/>
      <c r="Q12" s="257"/>
      <c r="R12" s="257"/>
      <c r="S12" s="257"/>
      <c r="T12" s="257"/>
      <c r="U12" s="257"/>
      <c r="V12" s="257"/>
      <c r="W12" s="257"/>
      <c r="X12" s="257"/>
      <c r="Y12" s="257"/>
      <c r="Z12" s="257"/>
      <c r="AA12" s="257"/>
      <c r="AB12" s="257"/>
      <c r="AC12" s="257"/>
      <c r="AD12" s="257"/>
      <c r="AE12" s="257"/>
    </row>
    <row r="13" spans="1:46" ht="20.25" customHeight="1">
      <c r="P13" s="257"/>
      <c r="Q13" s="257"/>
      <c r="R13" s="257"/>
      <c r="S13" s="257"/>
      <c r="T13" s="257"/>
      <c r="U13" s="257"/>
      <c r="V13" s="257"/>
      <c r="W13" s="257"/>
      <c r="X13" s="257"/>
      <c r="Y13" s="257"/>
      <c r="Z13" s="257"/>
      <c r="AA13" s="257"/>
      <c r="AB13" s="257"/>
      <c r="AC13" s="257"/>
      <c r="AD13" s="257"/>
      <c r="AE13" s="257"/>
    </row>
    <row r="14" spans="1:46" ht="20.25" customHeight="1">
      <c r="P14" s="257"/>
      <c r="Q14" s="257"/>
      <c r="R14" s="257"/>
      <c r="S14" s="257"/>
      <c r="T14" s="257"/>
      <c r="U14" s="257"/>
      <c r="V14" s="257"/>
      <c r="W14" s="257"/>
      <c r="X14" s="257"/>
      <c r="Y14" s="257"/>
      <c r="Z14" s="257"/>
      <c r="AA14" s="257"/>
      <c r="AB14" s="257"/>
      <c r="AC14" s="257"/>
      <c r="AD14" s="257"/>
      <c r="AE14" s="257"/>
    </row>
    <row r="15" spans="1:46" ht="20.25" customHeight="1">
      <c r="P15" s="257"/>
      <c r="Q15" s="257"/>
      <c r="R15" s="257"/>
      <c r="S15" s="257"/>
      <c r="T15" s="257"/>
      <c r="U15" s="257"/>
      <c r="V15" s="257"/>
      <c r="W15" s="257"/>
      <c r="X15" s="257"/>
      <c r="Y15" s="257"/>
      <c r="Z15" s="257"/>
      <c r="AA15" s="257"/>
      <c r="AB15" s="257"/>
      <c r="AC15" s="257"/>
      <c r="AD15" s="257"/>
      <c r="AE15" s="257"/>
    </row>
    <row r="16" spans="1:46" ht="20.25" customHeight="1">
      <c r="P16" s="257"/>
      <c r="Q16" s="257"/>
      <c r="R16" s="257"/>
      <c r="S16" s="257"/>
      <c r="T16" s="257"/>
      <c r="U16" s="257"/>
      <c r="V16" s="257"/>
      <c r="W16" s="257"/>
      <c r="X16" s="257"/>
      <c r="Y16" s="257"/>
      <c r="Z16" s="257"/>
      <c r="AA16" s="257"/>
      <c r="AB16" s="257"/>
      <c r="AC16" s="257"/>
      <c r="AD16" s="257"/>
      <c r="AE16" s="257"/>
    </row>
    <row r="17" spans="1:73" ht="20.25" customHeight="1">
      <c r="P17" s="257"/>
      <c r="Q17" s="257"/>
      <c r="R17" s="257"/>
      <c r="S17" s="257"/>
      <c r="T17" s="257"/>
      <c r="U17" s="257"/>
      <c r="V17" s="257"/>
      <c r="W17" s="257"/>
      <c r="X17" s="257"/>
      <c r="Y17" s="257"/>
      <c r="Z17" s="257"/>
      <c r="AA17" s="257"/>
      <c r="AB17" s="257"/>
      <c r="AC17" s="257"/>
      <c r="AD17" s="257"/>
      <c r="AE17" s="257"/>
    </row>
    <row r="18" spans="1:73" ht="19.5" thickBot="1">
      <c r="P18" s="257"/>
      <c r="Q18" s="257"/>
      <c r="R18" s="257"/>
      <c r="S18" s="257"/>
      <c r="T18" s="257"/>
      <c r="U18" s="257"/>
      <c r="V18" s="257"/>
      <c r="W18" s="257"/>
      <c r="X18" s="257"/>
      <c r="Y18" s="257"/>
      <c r="Z18" s="257"/>
      <c r="AA18" s="257"/>
      <c r="AB18" s="257"/>
      <c r="AC18" s="257"/>
      <c r="AD18" s="257"/>
      <c r="AE18" s="257"/>
    </row>
    <row r="19" spans="1:73" ht="21.75" customHeight="1" thickBot="1">
      <c r="A19" s="214"/>
      <c r="B19" s="565" t="s">
        <v>231</v>
      </c>
      <c r="C19" s="966" t="s">
        <v>599</v>
      </c>
      <c r="D19" s="967"/>
      <c r="E19" s="968"/>
      <c r="F19" s="972" t="s">
        <v>520</v>
      </c>
      <c r="G19" s="973"/>
      <c r="H19" s="969">
        <f>IFERROR(INDEX(AM4:AM7,AJ9,1),0)</f>
        <v>45</v>
      </c>
      <c r="I19" s="970"/>
      <c r="J19" s="252" t="s">
        <v>509</v>
      </c>
      <c r="K19" s="255" t="s">
        <v>507</v>
      </c>
      <c r="L19" s="256"/>
      <c r="M19" s="969">
        <f>IFERROR(INDEX(AO4:AO7,AJ9,1),0)</f>
        <v>2.2440000000000002</v>
      </c>
      <c r="N19" s="970"/>
      <c r="O19" s="254" t="s">
        <v>521</v>
      </c>
      <c r="P19" s="215"/>
      <c r="Q19" s="215"/>
      <c r="R19" s="215"/>
      <c r="S19" s="215"/>
      <c r="T19" s="215"/>
      <c r="U19" s="215"/>
      <c r="V19" s="215"/>
      <c r="W19" s="215"/>
      <c r="X19" s="215"/>
      <c r="Y19" s="216"/>
      <c r="Z19" s="216"/>
      <c r="AA19" s="216"/>
      <c r="AB19" s="216"/>
      <c r="AC19" s="216"/>
      <c r="AD19" s="216"/>
      <c r="AE19" s="216"/>
      <c r="AF19" s="216"/>
      <c r="AG19" s="216"/>
    </row>
    <row r="20" spans="1:73" ht="21.75" customHeight="1" thickBot="1">
      <c r="A20" s="214"/>
      <c r="B20" s="214"/>
      <c r="C20" s="214"/>
      <c r="D20" s="214"/>
      <c r="E20" s="214"/>
      <c r="F20" s="214"/>
      <c r="G20" s="251" t="str">
        <f>IF(C19="","",IF(AJ9=5,"発熱量値を記入（単位に注意！）⇒",""))</f>
        <v/>
      </c>
      <c r="H20" s="971"/>
      <c r="I20" s="971"/>
      <c r="J20" s="253" t="str">
        <f>IF(C19="","",IF(AJ9=5,"MJ/m³",""))</f>
        <v/>
      </c>
      <c r="K20" s="974" t="str">
        <f>IF(C19="","",IF(AJ9=5,"CO₂排出係数値を記入（単位に注意！）⇒",""))</f>
        <v/>
      </c>
      <c r="L20" s="974"/>
      <c r="M20" s="975"/>
      <c r="N20" s="975"/>
      <c r="O20" s="262" t="str">
        <f>IF(C19="","",IF(AJ9=5,"t-CO₂/m³",""))</f>
        <v/>
      </c>
      <c r="Q20" s="293" t="s">
        <v>581</v>
      </c>
      <c r="T20" s="215"/>
      <c r="U20" s="215"/>
      <c r="V20" s="215"/>
      <c r="W20" s="215"/>
      <c r="X20" s="215"/>
      <c r="Y20" s="216"/>
      <c r="Z20" s="216"/>
      <c r="AA20" s="216"/>
      <c r="AB20" s="216"/>
      <c r="AC20" s="216"/>
      <c r="AD20" s="216"/>
      <c r="AE20" s="216"/>
      <c r="AF20" s="216"/>
      <c r="AG20" s="216"/>
    </row>
    <row r="21" spans="1:73" ht="21.75" customHeight="1" thickBot="1">
      <c r="A21" s="139" t="s">
        <v>326</v>
      </c>
      <c r="B21" s="213"/>
      <c r="C21" s="213"/>
      <c r="D21" s="213"/>
      <c r="E21" s="213"/>
      <c r="F21" s="213"/>
      <c r="G21" s="213"/>
      <c r="H21" s="213"/>
      <c r="I21" s="213"/>
      <c r="J21" s="213"/>
      <c r="K21" s="213"/>
      <c r="L21" s="213"/>
      <c r="M21" s="213"/>
      <c r="N21" s="213"/>
      <c r="O21" s="213"/>
      <c r="P21" s="563" t="s">
        <v>580</v>
      </c>
      <c r="Q21" s="945">
        <v>12</v>
      </c>
      <c r="R21" s="946"/>
      <c r="S21" s="293" t="s">
        <v>579</v>
      </c>
      <c r="T21" s="213"/>
      <c r="U21" s="213"/>
      <c r="V21" s="213"/>
      <c r="W21" s="213"/>
      <c r="X21" s="213"/>
      <c r="Y21" s="213"/>
      <c r="Z21" s="213"/>
      <c r="AA21" s="213"/>
      <c r="AB21" s="213"/>
      <c r="AC21" s="213"/>
      <c r="AD21" s="213"/>
      <c r="AE21" s="213"/>
      <c r="AF21" s="138"/>
      <c r="AX21" s="137" t="s">
        <v>324</v>
      </c>
      <c r="AY21" s="137">
        <v>0.71</v>
      </c>
    </row>
    <row r="22" spans="1:73" s="141" customFormat="1" ht="19.5" customHeight="1">
      <c r="A22" s="947" t="s">
        <v>0</v>
      </c>
      <c r="B22" s="220" t="s">
        <v>2</v>
      </c>
      <c r="C22" s="221"/>
      <c r="D22" s="221"/>
      <c r="E22" s="221"/>
      <c r="F22" s="222"/>
      <c r="G22" s="222"/>
      <c r="H22" s="222"/>
      <c r="I22" s="222"/>
      <c r="J22" s="222"/>
      <c r="K22" s="222"/>
      <c r="L22" s="222"/>
      <c r="M22" s="222"/>
      <c r="N22" s="222"/>
      <c r="O22" s="223"/>
      <c r="P22" s="224" t="s">
        <v>47</v>
      </c>
      <c r="Q22" s="564"/>
      <c r="R22" s="228"/>
      <c r="S22" s="226"/>
      <c r="T22" s="226"/>
      <c r="U22" s="226"/>
      <c r="V22" s="226"/>
      <c r="W22" s="226"/>
      <c r="X22" s="226"/>
      <c r="Y22" s="226"/>
      <c r="Z22" s="226"/>
      <c r="AA22" s="226"/>
      <c r="AB22" s="226"/>
      <c r="AC22" s="919" t="s">
        <v>14</v>
      </c>
      <c r="AD22" s="964"/>
      <c r="AE22" s="920"/>
      <c r="AG22" s="137"/>
      <c r="AH22" s="137"/>
      <c r="AI22" s="137"/>
      <c r="AJ22" s="137"/>
      <c r="AK22" s="137"/>
      <c r="AL22" s="137"/>
      <c r="AM22" s="137"/>
      <c r="AN22" s="137"/>
      <c r="AO22" s="137"/>
      <c r="AP22" s="137"/>
      <c r="AQ22" s="137"/>
      <c r="AR22" s="137"/>
      <c r="AS22" s="137"/>
      <c r="AT22" s="137"/>
      <c r="AU22" s="137"/>
      <c r="AV22" s="137"/>
      <c r="AW22" s="137"/>
      <c r="AX22" s="137" t="s">
        <v>325</v>
      </c>
      <c r="AY22" s="137">
        <v>0.71499999999999997</v>
      </c>
      <c r="AZ22" s="137"/>
      <c r="BA22" s="137"/>
      <c r="BB22" s="137"/>
      <c r="BC22" s="137"/>
      <c r="BD22" s="137"/>
      <c r="BE22" s="137"/>
      <c r="BF22" s="137"/>
      <c r="BG22" s="137"/>
      <c r="BH22" s="137"/>
      <c r="BI22" s="137"/>
      <c r="BJ22" s="137"/>
      <c r="BK22" s="137"/>
      <c r="BL22" s="137"/>
      <c r="BM22" s="137"/>
      <c r="BN22" s="137"/>
      <c r="BO22" s="137"/>
      <c r="BP22" s="137"/>
      <c r="BQ22" s="137"/>
      <c r="BR22" s="137"/>
      <c r="BS22" s="137"/>
      <c r="BT22" s="137"/>
      <c r="BU22" s="137"/>
    </row>
    <row r="23" spans="1:73" s="141" customFormat="1" ht="18" customHeight="1">
      <c r="A23" s="948"/>
      <c r="B23" s="227"/>
      <c r="C23" s="228"/>
      <c r="D23" s="228"/>
      <c r="E23" s="230" t="s">
        <v>48</v>
      </c>
      <c r="F23" s="231"/>
      <c r="G23" s="231"/>
      <c r="H23" s="226"/>
      <c r="I23" s="230" t="s">
        <v>49</v>
      </c>
      <c r="J23" s="231"/>
      <c r="K23" s="231"/>
      <c r="L23" s="226"/>
      <c r="M23" s="230" t="s">
        <v>50</v>
      </c>
      <c r="N23" s="226"/>
      <c r="O23" s="226"/>
      <c r="P23" s="227"/>
      <c r="Q23" s="229"/>
      <c r="R23" s="230" t="s">
        <v>48</v>
      </c>
      <c r="S23" s="231"/>
      <c r="T23" s="231"/>
      <c r="U23" s="226"/>
      <c r="V23" s="230" t="s">
        <v>49</v>
      </c>
      <c r="W23" s="231"/>
      <c r="X23" s="231"/>
      <c r="Y23" s="226"/>
      <c r="Z23" s="230" t="s">
        <v>50</v>
      </c>
      <c r="AA23" s="226"/>
      <c r="AB23" s="226"/>
      <c r="AC23" s="921"/>
      <c r="AD23" s="965"/>
      <c r="AE23" s="922"/>
      <c r="AF23" s="140"/>
      <c r="AG23" s="137"/>
      <c r="AH23" s="140"/>
      <c r="AI23" s="137"/>
      <c r="AJ23" s="137"/>
      <c r="AK23" s="137"/>
      <c r="AL23" s="137"/>
      <c r="AM23" s="137"/>
      <c r="AN23" s="137" t="s">
        <v>932</v>
      </c>
      <c r="AO23" s="137"/>
      <c r="AP23" s="137"/>
      <c r="AQ23" s="137"/>
      <c r="AR23" s="137"/>
      <c r="AS23" s="137"/>
      <c r="AT23" s="137"/>
      <c r="AU23" s="137"/>
      <c r="AV23" s="137"/>
      <c r="AW23" s="137"/>
      <c r="AX23" s="137" t="s">
        <v>327</v>
      </c>
      <c r="AY23" s="137">
        <v>0.72</v>
      </c>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row>
    <row r="24" spans="1:73" s="141" customFormat="1" ht="48" customHeight="1">
      <c r="A24" s="949"/>
      <c r="B24" s="232" t="s">
        <v>15</v>
      </c>
      <c r="C24" s="249" t="s">
        <v>415</v>
      </c>
      <c r="D24" s="233" t="s">
        <v>423</v>
      </c>
      <c r="E24" s="233" t="s">
        <v>51</v>
      </c>
      <c r="F24" s="233" t="s">
        <v>497</v>
      </c>
      <c r="G24" s="233" t="s">
        <v>600</v>
      </c>
      <c r="H24" s="233" t="s">
        <v>419</v>
      </c>
      <c r="I24" s="233" t="s">
        <v>52</v>
      </c>
      <c r="J24" s="233" t="s">
        <v>498</v>
      </c>
      <c r="K24" s="233" t="s">
        <v>601</v>
      </c>
      <c r="L24" s="233" t="s">
        <v>420</v>
      </c>
      <c r="M24" s="233" t="s">
        <v>485</v>
      </c>
      <c r="N24" s="233" t="s">
        <v>512</v>
      </c>
      <c r="O24" s="233" t="s">
        <v>513</v>
      </c>
      <c r="P24" s="232" t="s">
        <v>15</v>
      </c>
      <c r="Q24" s="233" t="s">
        <v>423</v>
      </c>
      <c r="R24" s="233" t="s">
        <v>51</v>
      </c>
      <c r="S24" s="233" t="s">
        <v>497</v>
      </c>
      <c r="T24" s="233" t="s">
        <v>600</v>
      </c>
      <c r="U24" s="233" t="s">
        <v>419</v>
      </c>
      <c r="V24" s="233" t="s">
        <v>52</v>
      </c>
      <c r="W24" s="233" t="s">
        <v>498</v>
      </c>
      <c r="X24" s="233" t="s">
        <v>601</v>
      </c>
      <c r="Y24" s="233" t="s">
        <v>420</v>
      </c>
      <c r="Z24" s="233" t="s">
        <v>514</v>
      </c>
      <c r="AA24" s="233" t="s">
        <v>515</v>
      </c>
      <c r="AB24" s="233" t="s">
        <v>516</v>
      </c>
      <c r="AC24" s="234" t="s">
        <v>517</v>
      </c>
      <c r="AD24" s="234" t="s">
        <v>518</v>
      </c>
      <c r="AE24" s="234" t="s">
        <v>519</v>
      </c>
      <c r="AF24" s="142"/>
      <c r="AH24" s="141" t="s">
        <v>422</v>
      </c>
      <c r="AK24" s="141" t="s">
        <v>425</v>
      </c>
      <c r="AO24" s="141" t="s">
        <v>426</v>
      </c>
      <c r="AS24" s="141" t="s">
        <v>427</v>
      </c>
      <c r="AU24" s="137"/>
      <c r="AV24" s="137"/>
      <c r="AW24" s="137"/>
      <c r="AX24" s="137" t="s">
        <v>328</v>
      </c>
      <c r="AY24" s="137">
        <v>0.72499999999999998</v>
      </c>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row>
    <row r="25" spans="1:73" s="141" customFormat="1" ht="22.5" customHeight="1">
      <c r="A25" s="133" t="s">
        <v>1</v>
      </c>
      <c r="B25" s="128"/>
      <c r="C25" s="129"/>
      <c r="D25" s="125" t="s">
        <v>45</v>
      </c>
      <c r="E25" s="125" t="s">
        <v>19</v>
      </c>
      <c r="F25" s="125" t="s">
        <v>21</v>
      </c>
      <c r="G25" s="125" t="s">
        <v>21</v>
      </c>
      <c r="H25" s="125" t="s">
        <v>418</v>
      </c>
      <c r="I25" s="125" t="s">
        <v>19</v>
      </c>
      <c r="J25" s="125" t="s">
        <v>21</v>
      </c>
      <c r="K25" s="125" t="s">
        <v>21</v>
      </c>
      <c r="L25" s="125" t="s">
        <v>418</v>
      </c>
      <c r="M25" s="125" t="s">
        <v>8</v>
      </c>
      <c r="N25" s="125" t="s">
        <v>54</v>
      </c>
      <c r="O25" s="125" t="s">
        <v>484</v>
      </c>
      <c r="P25" s="129"/>
      <c r="Q25" s="125" t="s">
        <v>45</v>
      </c>
      <c r="R25" s="125"/>
      <c r="S25" s="125" t="s">
        <v>21</v>
      </c>
      <c r="T25" s="125" t="s">
        <v>21</v>
      </c>
      <c r="U25" s="125" t="s">
        <v>418</v>
      </c>
      <c r="V25" s="125" t="s">
        <v>21</v>
      </c>
      <c r="W25" s="125" t="s">
        <v>21</v>
      </c>
      <c r="X25" s="125" t="s">
        <v>21</v>
      </c>
      <c r="Y25" s="125" t="s">
        <v>418</v>
      </c>
      <c r="Z25" s="125" t="s">
        <v>8</v>
      </c>
      <c r="AA25" s="125" t="s">
        <v>54</v>
      </c>
      <c r="AB25" s="125" t="s">
        <v>484</v>
      </c>
      <c r="AC25" s="125" t="s">
        <v>8</v>
      </c>
      <c r="AD25" s="125" t="s">
        <v>54</v>
      </c>
      <c r="AE25" s="125" t="s">
        <v>484</v>
      </c>
      <c r="AF25" s="142"/>
      <c r="AH25" s="141">
        <v>1</v>
      </c>
      <c r="AI25" s="141" t="s">
        <v>330</v>
      </c>
      <c r="AJ25" s="141" t="s">
        <v>332</v>
      </c>
      <c r="AL25" s="141" t="s">
        <v>330</v>
      </c>
      <c r="AM25" s="141" t="s">
        <v>332</v>
      </c>
      <c r="AN25" s="141" t="s">
        <v>483</v>
      </c>
      <c r="AP25" s="141" t="s">
        <v>330</v>
      </c>
      <c r="AQ25" s="141" t="s">
        <v>332</v>
      </c>
      <c r="AS25" s="141" t="s">
        <v>330</v>
      </c>
      <c r="AT25" s="141" t="s">
        <v>332</v>
      </c>
      <c r="AU25" s="137"/>
      <c r="AV25" s="137"/>
      <c r="AW25" s="137"/>
      <c r="AX25" s="141" t="s">
        <v>329</v>
      </c>
      <c r="AY25" s="141">
        <v>0.73</v>
      </c>
      <c r="AZ25" s="137"/>
      <c r="BA25" s="137"/>
      <c r="BB25" s="137"/>
      <c r="BC25" s="137"/>
      <c r="BD25" s="137"/>
      <c r="BE25" s="137"/>
      <c r="BF25" s="137"/>
      <c r="BG25" s="137"/>
      <c r="BH25" s="137"/>
      <c r="BI25" s="137"/>
      <c r="BJ25" s="137"/>
      <c r="BK25" s="137"/>
      <c r="BL25" s="137"/>
      <c r="BM25" s="137"/>
      <c r="BN25" s="137"/>
      <c r="BP25" s="137"/>
      <c r="BQ25" s="137" t="s">
        <v>943</v>
      </c>
      <c r="BR25" s="137"/>
      <c r="BS25" s="137"/>
      <c r="BT25" s="137"/>
      <c r="BU25" s="137"/>
    </row>
    <row r="26" spans="1:73" s="141" customFormat="1" ht="22.5" customHeight="1">
      <c r="A26" s="134" t="s">
        <v>424</v>
      </c>
      <c r="B26" s="593" t="s">
        <v>232</v>
      </c>
      <c r="C26" s="568" t="s">
        <v>393</v>
      </c>
      <c r="D26" s="593">
        <v>2</v>
      </c>
      <c r="E26" s="654">
        <v>22.4</v>
      </c>
      <c r="F26" s="655">
        <v>21</v>
      </c>
      <c r="G26" s="655">
        <v>0.82</v>
      </c>
      <c r="H26" s="572">
        <v>170</v>
      </c>
      <c r="I26" s="656">
        <v>25</v>
      </c>
      <c r="J26" s="655">
        <v>20</v>
      </c>
      <c r="K26" s="655">
        <v>0.86</v>
      </c>
      <c r="L26" s="572">
        <v>180</v>
      </c>
      <c r="M26" s="615">
        <f>IFERROR((D26*G26*H26*Q$21*AI26/AJ26+D26*K26*L26*Q$21*AL26/AM26)/AN26,"")</f>
        <v>3509.0721005089335</v>
      </c>
      <c r="N26" s="615">
        <f>IFERROR(((D26*F26*H26*Q$21*AI26/AJ26+D26*J26*L26*Q$21*AL26/AM26)/AN26)*3.6/$AM$9,0)</f>
        <v>6755.8753566647611</v>
      </c>
      <c r="O26" s="330">
        <f>M26*'CO₂係数 '!$I$33+N26*$AO$9</f>
        <v>15161.921291045477</v>
      </c>
      <c r="P26" s="593" t="s">
        <v>53</v>
      </c>
      <c r="Q26" s="593">
        <v>2</v>
      </c>
      <c r="R26" s="654">
        <v>22.4</v>
      </c>
      <c r="S26" s="655">
        <v>19.100000000000001</v>
      </c>
      <c r="T26" s="655">
        <v>0.378</v>
      </c>
      <c r="U26" s="330">
        <f>IF(H26=0,0,H26)</f>
        <v>170</v>
      </c>
      <c r="V26" s="656">
        <v>25</v>
      </c>
      <c r="W26" s="655">
        <v>18.600000000000001</v>
      </c>
      <c r="X26" s="655">
        <v>0.46600000000000003</v>
      </c>
      <c r="Y26" s="330">
        <f>IF(L26=0,0,L26)</f>
        <v>180</v>
      </c>
      <c r="Z26" s="615">
        <f>Q26*T26*U26*Q$21*AP26/AQ26+Q26*X26*Y26*Q$21*AS26/AT26</f>
        <v>1165.655484567216</v>
      </c>
      <c r="AA26" s="615">
        <f>IFERROR((Q26*S26*U26*Q$21*AP26/AQ26+Q26*W26*Y26*Q$21*AS26/AT26)*3.6/$AM$9,"")</f>
        <v>3933.6501698095713</v>
      </c>
      <c r="AB26" s="330">
        <f>IFERROR(Z26*'CO₂係数 '!$I$33+AA26*$AO$9,"")</f>
        <v>8827.6879805175395</v>
      </c>
      <c r="AC26" s="330">
        <f>IFERROR(M26-Z26,"")</f>
        <v>2343.4166159417173</v>
      </c>
      <c r="AD26" s="330">
        <f>IFERROR(N26-AA26,"")</f>
        <v>2822.2251868551898</v>
      </c>
      <c r="AE26" s="332">
        <f>AC26*'CO₂係数 '!$I$33+AD26*'CO₂係数 '!Y28</f>
        <v>1.1599912248911501</v>
      </c>
      <c r="AF26" s="143"/>
      <c r="AG26" s="144">
        <v>1</v>
      </c>
      <c r="AH26" s="144">
        <f>IFERROR(INDEX(冷房日数,MATCH(H26,冷房日数,1),1),0)</f>
        <v>168</v>
      </c>
      <c r="AI26" s="145">
        <f>IFERROR(INDEX(負荷率取得,MATCH(H26,冷房日数,1)+5,1),0)</f>
        <v>0.35725000000000001</v>
      </c>
      <c r="AJ26" s="146">
        <f t="shared" ref="AJ26:AJ37" si="3">IF($AG26=1,INDEX(COP補正,MATCH(C26,$BB$49:$BB$69,0),5)*AI26+INDEX(COP補正,MATCH(C26,$BB$49:$BB$69,0),10),$BO$49*AI26+$BQ$49)</f>
        <v>0.98992100000000005</v>
      </c>
      <c r="AK26" s="147">
        <f>IFERROR(INDEX(暖房日数,MATCH(L26,暖房日数,1),1),0)</f>
        <v>120</v>
      </c>
      <c r="AL26" s="146">
        <f>IFERROR(INDEX(負荷率取得,MATCH(L26,暖房日数,1),1),0)</f>
        <v>0.59050000000000002</v>
      </c>
      <c r="AM26" s="146">
        <f t="shared" ref="AM26:AM37" si="4">IF($AG26=1,INDEX(COP補正,MATCH(C26,$BB$49:$BB$69,0),6)*AL26+INDEX(COP補正,MATCH(C26,$BB$49:$BB$69,0),11),$BO$49*AL26+$BQ$49)</f>
        <v>0.95313800000000015</v>
      </c>
      <c r="AN26" s="146">
        <f>IFERROR(VLOOKUP(C26,$BT$46:$BU$70,3,FALSE)/#REF!,1)</f>
        <v>1</v>
      </c>
      <c r="AO26" s="146"/>
      <c r="AP26" s="148">
        <f>IFERROR(INDEX(負荷率取得,MATCH(U26,冷房日数,1)+5,1),0)</f>
        <v>0.35725000000000001</v>
      </c>
      <c r="AQ26" s="146">
        <f t="shared" ref="AQ26:AQ37" si="5">INDEX(COP補正,21,5)*AP26+INDEX(COP補正,21,10)</f>
        <v>2.2115867499999999</v>
      </c>
      <c r="AS26" s="146">
        <f>IFERROR(INDEX(負荷率取得,MATCH(Y26,暖房日数,1),1),0)</f>
        <v>0.59050000000000002</v>
      </c>
      <c r="AT26" s="146">
        <f t="shared" ref="AT26:AT37" si="6">INDEX(COP補正,21,6)*AS26+INDEX(COP補正,21,11)</f>
        <v>1.2970103500000001</v>
      </c>
      <c r="AX26" s="141" t="s">
        <v>331</v>
      </c>
      <c r="AY26" s="141">
        <v>0.73499999999999999</v>
      </c>
      <c r="BQ26" s="151" t="s">
        <v>482</v>
      </c>
    </row>
    <row r="27" spans="1:73" s="141" customFormat="1" ht="22.5" customHeight="1" thickBot="1">
      <c r="A27" s="713" t="s">
        <v>30</v>
      </c>
      <c r="B27" s="718"/>
      <c r="C27" s="719"/>
      <c r="D27" s="720">
        <f>_xlfn.AGGREGATE(9,7,D28:D37)</f>
        <v>0</v>
      </c>
      <c r="E27" s="721">
        <f>SUMPRODUCT(D28:D37*E28:E37)</f>
        <v>0</v>
      </c>
      <c r="F27" s="757"/>
      <c r="G27" s="757"/>
      <c r="H27" s="703"/>
      <c r="I27" s="721">
        <f>SUMPRODUCT(D28:D37*I28:I37)</f>
        <v>0</v>
      </c>
      <c r="J27" s="757"/>
      <c r="K27" s="757"/>
      <c r="L27" s="703"/>
      <c r="M27" s="694">
        <f>_xlfn.AGGREGATE(9,7,M28:M37)</f>
        <v>0</v>
      </c>
      <c r="N27" s="694">
        <f>_xlfn.AGGREGATE(9,7,N28:N37)</f>
        <v>0</v>
      </c>
      <c r="O27" s="694">
        <f>_xlfn.AGGREGATE(9,7,O28:O37)</f>
        <v>0</v>
      </c>
      <c r="P27" s="718"/>
      <c r="Q27" s="720">
        <f>_xlfn.AGGREGATE(9,7,Q28:Q37)</f>
        <v>0</v>
      </c>
      <c r="R27" s="721">
        <f>SUMPRODUCT(Q28:Q37*R28:R37)</f>
        <v>0</v>
      </c>
      <c r="S27" s="757"/>
      <c r="T27" s="757"/>
      <c r="U27" s="703"/>
      <c r="V27" s="721">
        <f>SUMPRODUCT(Q28:Q37*V28:V37)</f>
        <v>0</v>
      </c>
      <c r="W27" s="757"/>
      <c r="X27" s="757"/>
      <c r="Y27" s="703"/>
      <c r="Z27" s="694">
        <f>_xlfn.AGGREGATE(9,7,Z28:Z37)</f>
        <v>0</v>
      </c>
      <c r="AA27" s="694">
        <f>_xlfn.AGGREGATE(9,7,AA28:AA37)</f>
        <v>0</v>
      </c>
      <c r="AB27" s="694">
        <f>_xlfn.AGGREGATE(9,7,AB28:AB37)</f>
        <v>0</v>
      </c>
      <c r="AC27" s="694">
        <f>_xlfn.AGGREGATE(9,7,AC28:AC37)</f>
        <v>0</v>
      </c>
      <c r="AD27" s="704">
        <f>IFERROR(N27-AA27,"")</f>
        <v>0</v>
      </c>
      <c r="AE27" s="705">
        <f>_xlfn.AGGREGATE(9,7,AE28:AE37)</f>
        <v>0</v>
      </c>
      <c r="AF27" s="143"/>
      <c r="AG27" s="144">
        <v>1</v>
      </c>
      <c r="AH27" s="144">
        <f t="shared" ref="AH27" si="7">INDEX(冷房日数,MATCH(H27,冷房日数,1),1)</f>
        <v>0</v>
      </c>
      <c r="AI27" s="145">
        <f t="shared" ref="AI27" si="8">INDEX(負荷率取得,MATCH(H27,冷房日数,1)+5,1)</f>
        <v>0.59050000000000002</v>
      </c>
      <c r="AJ27" s="146" t="e">
        <f t="shared" si="3"/>
        <v>#N/A</v>
      </c>
      <c r="AK27" s="147">
        <f t="shared" ref="AK27" si="9">INDEX(暖房日数,MATCH(L27,暖房日数,1),1)</f>
        <v>0</v>
      </c>
      <c r="AL27" s="146">
        <f t="shared" ref="AL27" si="10">INDEX(負荷率取得,MATCH(L27,暖房日数,1),1)</f>
        <v>0.372</v>
      </c>
      <c r="AM27" s="146" t="e">
        <f t="shared" si="4"/>
        <v>#N/A</v>
      </c>
      <c r="AN27" s="146">
        <f>IFERROR(VLOOKUP(C27,$BT$46:$BU$70,3,FALSE)/#REF!,1)</f>
        <v>1</v>
      </c>
      <c r="AO27" s="146"/>
      <c r="AP27" s="146">
        <f t="shared" ref="AP27" si="11">INDEX(負荷率取得,MATCH(U27,冷房日数,1)+5,1)</f>
        <v>0.59050000000000002</v>
      </c>
      <c r="AQ27" s="146">
        <f t="shared" si="5"/>
        <v>1.7784415</v>
      </c>
      <c r="AS27" s="146">
        <f t="shared" ref="AS27" si="12">INDEX(負荷率取得,MATCH(Y27,暖房日数,1),1)</f>
        <v>0.372</v>
      </c>
      <c r="AT27" s="146">
        <f t="shared" si="6"/>
        <v>1.4554884000000001</v>
      </c>
      <c r="AX27" s="141" t="s">
        <v>333</v>
      </c>
      <c r="AY27" s="141">
        <v>0.74</v>
      </c>
      <c r="BB27" s="141" t="s">
        <v>334</v>
      </c>
      <c r="BI27" s="141" t="s">
        <v>944</v>
      </c>
      <c r="BQ27" s="153" t="s">
        <v>341</v>
      </c>
      <c r="BR27" s="141" t="s">
        <v>340</v>
      </c>
    </row>
    <row r="28" spans="1:73" s="141" customFormat="1" ht="22.5" customHeight="1">
      <c r="A28" s="683">
        <v>1</v>
      </c>
      <c r="B28" s="684"/>
      <c r="C28" s="699"/>
      <c r="D28" s="684"/>
      <c r="E28" s="687"/>
      <c r="F28" s="688"/>
      <c r="G28" s="688"/>
      <c r="H28" s="689"/>
      <c r="I28" s="690"/>
      <c r="J28" s="688"/>
      <c r="K28" s="688"/>
      <c r="L28" s="689"/>
      <c r="M28" s="691" t="str">
        <f>IF(D28="","",(D28*G28*H28*Q$21*AI28/AJ28+D28*K28*L28*Q$21*AL28/AM28)/AN28)</f>
        <v/>
      </c>
      <c r="N28" s="691" t="str">
        <f t="shared" ref="N28:N37" si="13">IFERROR(((D28*F28*H28*Q$21*AI28/AJ28+D28*J28*L28*Q$21*AL28/AM28)/AN28)*3.6/$AM$9,"")</f>
        <v/>
      </c>
      <c r="O28" s="700" t="str">
        <f>IFERROR(M28*'CO₂係数 '!$I$33+N28*$AO$9,"")</f>
        <v/>
      </c>
      <c r="P28" s="684"/>
      <c r="Q28" s="684"/>
      <c r="R28" s="687"/>
      <c r="S28" s="688"/>
      <c r="T28" s="688"/>
      <c r="U28" s="701" t="str">
        <f>IF(H28="","",H28)</f>
        <v/>
      </c>
      <c r="V28" s="693"/>
      <c r="W28" s="688"/>
      <c r="X28" s="688"/>
      <c r="Y28" s="691" t="str">
        <f>IF(L28="","",L28)</f>
        <v/>
      </c>
      <c r="Z28" s="691" t="str">
        <f>IF(Q28="","",Q28*T28*U28*Q$21*AP28/AQ28+Q28*X28*Y28*Q$21*AS28/AT28)</f>
        <v/>
      </c>
      <c r="AA28" s="691" t="str">
        <f t="shared" ref="AA28:AA37" si="14">IFERROR((Q28*S28*U28*Q$21*AP28/AQ28+Q28*W28*Y28*Q$21*AS28/AT28)*3.6/$AM$9,"")</f>
        <v/>
      </c>
      <c r="AB28" s="700" t="str">
        <f>IFERROR(Z28*'CO₂係数 '!$I$33+AA28*$AO$9,"")</f>
        <v/>
      </c>
      <c r="AC28" s="691" t="str">
        <f>IFERROR(IF(M28="",Z28*-1,M28-Z28),"")</f>
        <v/>
      </c>
      <c r="AD28" s="700" t="str">
        <f>IFERROR(IF(N28="",AA28*-1,N28-AA28),"")</f>
        <v/>
      </c>
      <c r="AE28" s="702" t="str">
        <f>IFERROR(AC28*'CO₂係数 '!$I$33+AD28*$AO$9,"")</f>
        <v/>
      </c>
      <c r="AF28" s="143"/>
      <c r="AG28" s="144">
        <v>1</v>
      </c>
      <c r="AH28" s="144">
        <f t="shared" ref="AH28:AH37" si="15">IFERROR(INDEX(冷房日数,MATCH(H28,冷房日数,1),1),0)</f>
        <v>0</v>
      </c>
      <c r="AI28" s="145">
        <f t="shared" ref="AI28:AI37" si="16">IFERROR(INDEX(負荷率取得,MATCH(H28,冷房日数,1)+5,1),0)</f>
        <v>0.59050000000000002</v>
      </c>
      <c r="AJ28" s="146" t="e">
        <f t="shared" si="3"/>
        <v>#N/A</v>
      </c>
      <c r="AK28" s="147">
        <f t="shared" ref="AK28:AK37" si="17">IFERROR(INDEX(暖房日数,MATCH(L28,暖房日数,1),1),0)</f>
        <v>0</v>
      </c>
      <c r="AL28" s="146">
        <f t="shared" ref="AL28:AL37" si="18">IFERROR(INDEX(負荷率取得,MATCH(L28,暖房日数,1),1),0)</f>
        <v>0.372</v>
      </c>
      <c r="AM28" s="146" t="e">
        <f t="shared" si="4"/>
        <v>#N/A</v>
      </c>
      <c r="AN28" s="146">
        <f>IFERROR(VLOOKUP(C28,$BT$46:$BU$70,3,FALSE)/#REF!,1)</f>
        <v>1</v>
      </c>
      <c r="AO28" s="146"/>
      <c r="AP28" s="148">
        <f t="shared" ref="AP28:AP37" si="19">IFERROR(INDEX(負荷率取得,MATCH(U28,冷房日数,1)+5,1),0)</f>
        <v>0</v>
      </c>
      <c r="AQ28" s="146">
        <f t="shared" si="5"/>
        <v>2.875</v>
      </c>
      <c r="AS28" s="146">
        <f t="shared" ref="AS28:AS37" si="20">IFERROR(INDEX(負荷率取得,MATCH(Y28,暖房日数,1),1),0)</f>
        <v>0</v>
      </c>
      <c r="AT28" s="146">
        <f t="shared" si="6"/>
        <v>1.7253000000000001</v>
      </c>
      <c r="AX28" s="141" t="s">
        <v>335</v>
      </c>
      <c r="AY28" s="141">
        <v>0.745</v>
      </c>
      <c r="BB28" s="149" t="s">
        <v>421</v>
      </c>
      <c r="BC28" s="150"/>
      <c r="BD28" s="150"/>
      <c r="BJ28" s="864" t="s">
        <v>482</v>
      </c>
      <c r="BK28" s="864"/>
      <c r="BN28" s="154"/>
      <c r="BO28" s="154"/>
      <c r="BP28" s="141">
        <v>0</v>
      </c>
      <c r="BQ28" s="156">
        <v>0.372</v>
      </c>
      <c r="BR28" s="157">
        <f>AVERAGE(BQ28:BQ$29)</f>
        <v>0.372</v>
      </c>
    </row>
    <row r="29" spans="1:73" s="141" customFormat="1" ht="22.5" customHeight="1">
      <c r="A29" s="16">
        <v>2</v>
      </c>
      <c r="B29" s="616"/>
      <c r="C29" s="421"/>
      <c r="D29" s="616"/>
      <c r="E29" s="644"/>
      <c r="F29" s="645"/>
      <c r="G29" s="645"/>
      <c r="H29" s="641"/>
      <c r="I29" s="646"/>
      <c r="J29" s="645"/>
      <c r="K29" s="645"/>
      <c r="L29" s="641"/>
      <c r="M29" s="613" t="str">
        <f t="shared" ref="M29:M37" si="21">IF(D29="","",(D29*G29*H29*Q$21*AI29/AJ29+D29*K29*L29*Q$21*AL29/AM29)/AN29)</f>
        <v/>
      </c>
      <c r="N29" s="613" t="str">
        <f t="shared" si="13"/>
        <v/>
      </c>
      <c r="O29" s="426" t="str">
        <f>IFERROR(M29*'CO₂係数 '!$I$33+N29*$AO$9,"")</f>
        <v/>
      </c>
      <c r="P29" s="616"/>
      <c r="Q29" s="616"/>
      <c r="R29" s="644"/>
      <c r="S29" s="645"/>
      <c r="T29" s="645"/>
      <c r="U29" s="657" t="str">
        <f t="shared" ref="U29:U37" si="22">IF(H29="","",H29)</f>
        <v/>
      </c>
      <c r="V29" s="647"/>
      <c r="W29" s="645"/>
      <c r="X29" s="645"/>
      <c r="Y29" s="613" t="str">
        <f>IF(L29="","",L29)</f>
        <v/>
      </c>
      <c r="Z29" s="613" t="str">
        <f t="shared" ref="Z29:Z37" si="23">IF(Q29="","",Q29*T29*U29*Q$21*AP29/AQ29+Q29*X29*Y29*Q$21*AS29/AT29)</f>
        <v/>
      </c>
      <c r="AA29" s="613" t="str">
        <f t="shared" si="14"/>
        <v/>
      </c>
      <c r="AB29" s="426" t="str">
        <f>IFERROR(Z29*'CO₂係数 '!$I$33+AA29*$AO$9,"")</f>
        <v/>
      </c>
      <c r="AC29" s="613" t="str">
        <f t="shared" ref="AC29:AC37" si="24">IFERROR(IF(M29="",Z29*-1,M29-Z29),"")</f>
        <v/>
      </c>
      <c r="AD29" s="613" t="str">
        <f t="shared" ref="AD29:AD37" si="25">IFERROR(IF(N29="",AA29*-1,N29-AA29),"")</f>
        <v/>
      </c>
      <c r="AE29" s="425" t="str">
        <f>IFERROR(AC29*'CO₂係数 '!$I$33+AD29*$AO$9,"")</f>
        <v/>
      </c>
      <c r="AF29" s="143"/>
      <c r="AG29" s="144">
        <v>1</v>
      </c>
      <c r="AH29" s="144">
        <f t="shared" si="15"/>
        <v>0</v>
      </c>
      <c r="AI29" s="145">
        <f t="shared" si="16"/>
        <v>0.59050000000000002</v>
      </c>
      <c r="AJ29" s="146" t="e">
        <f t="shared" si="3"/>
        <v>#N/A</v>
      </c>
      <c r="AK29" s="147">
        <f t="shared" si="17"/>
        <v>0</v>
      </c>
      <c r="AL29" s="146">
        <f t="shared" si="18"/>
        <v>0.372</v>
      </c>
      <c r="AM29" s="146" t="e">
        <f t="shared" si="4"/>
        <v>#N/A</v>
      </c>
      <c r="AN29" s="146">
        <f>IFERROR(VLOOKUP(C29,$BT$46:$BU$70,3,FALSE)/#REF!,1)</f>
        <v>1</v>
      </c>
      <c r="AO29" s="146"/>
      <c r="AP29" s="146">
        <f t="shared" si="19"/>
        <v>0</v>
      </c>
      <c r="AQ29" s="146">
        <f t="shared" si="5"/>
        <v>2.875</v>
      </c>
      <c r="AS29" s="146">
        <f t="shared" si="20"/>
        <v>0</v>
      </c>
      <c r="AT29" s="146">
        <f t="shared" si="6"/>
        <v>1.7253000000000001</v>
      </c>
      <c r="AV29" s="152">
        <v>0.5</v>
      </c>
      <c r="AX29" s="141" t="s">
        <v>336</v>
      </c>
      <c r="AY29" s="141">
        <v>0.75</v>
      </c>
      <c r="BB29" s="153" t="s">
        <v>337</v>
      </c>
      <c r="BC29" s="153" t="s">
        <v>338</v>
      </c>
      <c r="BD29" s="153" t="s">
        <v>339</v>
      </c>
      <c r="BE29" s="150" t="s">
        <v>340</v>
      </c>
      <c r="BJ29" s="153" t="s">
        <v>341</v>
      </c>
      <c r="BK29" s="150" t="s">
        <v>340</v>
      </c>
      <c r="BN29" s="154" t="s">
        <v>349</v>
      </c>
      <c r="BO29" s="154" t="s">
        <v>49</v>
      </c>
      <c r="BP29" s="141">
        <v>24</v>
      </c>
      <c r="BQ29" s="156">
        <v>0.372</v>
      </c>
      <c r="BR29" s="157">
        <f>AVERAGE(BQ$29:BQ29)</f>
        <v>0.372</v>
      </c>
      <c r="BS29" s="141">
        <v>23</v>
      </c>
    </row>
    <row r="30" spans="1:73" s="141" customFormat="1" ht="22.5" customHeight="1">
      <c r="A30" s="16">
        <v>3</v>
      </c>
      <c r="B30" s="616"/>
      <c r="C30" s="421"/>
      <c r="D30" s="616"/>
      <c r="E30" s="644"/>
      <c r="F30" s="645"/>
      <c r="G30" s="645"/>
      <c r="H30" s="641"/>
      <c r="I30" s="646"/>
      <c r="J30" s="645"/>
      <c r="K30" s="645"/>
      <c r="L30" s="641"/>
      <c r="M30" s="613" t="str">
        <f t="shared" si="21"/>
        <v/>
      </c>
      <c r="N30" s="613" t="str">
        <f t="shared" si="13"/>
        <v/>
      </c>
      <c r="O30" s="426" t="str">
        <f>IFERROR(M30*'CO₂係数 '!$I$33+N30*$AO$9,"")</f>
        <v/>
      </c>
      <c r="P30" s="616"/>
      <c r="Q30" s="616"/>
      <c r="R30" s="644"/>
      <c r="S30" s="645"/>
      <c r="T30" s="645"/>
      <c r="U30" s="657" t="str">
        <f t="shared" si="22"/>
        <v/>
      </c>
      <c r="V30" s="647"/>
      <c r="W30" s="645"/>
      <c r="X30" s="645"/>
      <c r="Y30" s="613" t="str">
        <f t="shared" ref="Y30:Y37" si="26">IF(L30="","",L30)</f>
        <v/>
      </c>
      <c r="Z30" s="613" t="str">
        <f t="shared" si="23"/>
        <v/>
      </c>
      <c r="AA30" s="613" t="str">
        <f t="shared" si="14"/>
        <v/>
      </c>
      <c r="AB30" s="426" t="str">
        <f>IFERROR(Z30*'CO₂係数 '!$I$33+AA30*$AO$9,"")</f>
        <v/>
      </c>
      <c r="AC30" s="613" t="str">
        <f t="shared" si="24"/>
        <v/>
      </c>
      <c r="AD30" s="613" t="str">
        <f t="shared" si="25"/>
        <v/>
      </c>
      <c r="AE30" s="425" t="str">
        <f>IFERROR(AC30*'CO₂係数 '!$I$33+AD30*$AO$9,"")</f>
        <v/>
      </c>
      <c r="AF30" s="143"/>
      <c r="AG30" s="144">
        <v>1</v>
      </c>
      <c r="AH30" s="144">
        <f t="shared" si="15"/>
        <v>0</v>
      </c>
      <c r="AI30" s="145">
        <f t="shared" si="16"/>
        <v>0.59050000000000002</v>
      </c>
      <c r="AJ30" s="146" t="e">
        <f t="shared" si="3"/>
        <v>#N/A</v>
      </c>
      <c r="AK30" s="147">
        <f t="shared" si="17"/>
        <v>0</v>
      </c>
      <c r="AL30" s="146">
        <f t="shared" si="18"/>
        <v>0.372</v>
      </c>
      <c r="AM30" s="146" t="e">
        <f t="shared" si="4"/>
        <v>#N/A</v>
      </c>
      <c r="AN30" s="146">
        <f>IFERROR(VLOOKUP(C30,$BT$46:$BU$70,3,FALSE)/#REF!,1)</f>
        <v>1</v>
      </c>
      <c r="AO30" s="146"/>
      <c r="AP30" s="146">
        <f t="shared" si="19"/>
        <v>0</v>
      </c>
      <c r="AQ30" s="146">
        <f t="shared" si="5"/>
        <v>2.875</v>
      </c>
      <c r="AS30" s="146">
        <f t="shared" si="20"/>
        <v>0</v>
      </c>
      <c r="AT30" s="146">
        <f t="shared" si="6"/>
        <v>1.7253000000000001</v>
      </c>
      <c r="AV30" s="152">
        <v>0.4</v>
      </c>
      <c r="AX30" s="141" t="s">
        <v>342</v>
      </c>
      <c r="AY30" s="141">
        <v>0.755</v>
      </c>
      <c r="BA30" s="154" t="s">
        <v>343</v>
      </c>
      <c r="BB30" s="155">
        <v>0.59050000000000002</v>
      </c>
      <c r="BC30" s="156">
        <v>0</v>
      </c>
      <c r="BD30" s="156">
        <v>0.59050000000000002</v>
      </c>
      <c r="BE30" s="157">
        <f>AVERAGE(BD$30:BD30)</f>
        <v>0.59050000000000002</v>
      </c>
      <c r="BG30" s="154" t="s">
        <v>343</v>
      </c>
      <c r="BH30" s="154" t="s">
        <v>48</v>
      </c>
      <c r="BI30" s="141">
        <v>24</v>
      </c>
      <c r="BJ30" s="155">
        <f>BD30</f>
        <v>0.59050000000000002</v>
      </c>
      <c r="BK30" s="157">
        <f>AVERAGE(BJ$30:BJ30)</f>
        <v>0.59050000000000002</v>
      </c>
      <c r="BL30" s="141">
        <v>22</v>
      </c>
      <c r="BN30" s="154" t="s">
        <v>351</v>
      </c>
      <c r="BO30" s="154" t="s">
        <v>49</v>
      </c>
      <c r="BP30" s="141">
        <f>BP29+24</f>
        <v>48</v>
      </c>
      <c r="BQ30" s="156">
        <v>0.35100000000000003</v>
      </c>
      <c r="BR30" s="158">
        <f>AVERAGE(BQ$29:BQ30)</f>
        <v>0.36150000000000004</v>
      </c>
      <c r="BS30" s="141">
        <v>22</v>
      </c>
    </row>
    <row r="31" spans="1:73" s="141" customFormat="1" ht="22.5" customHeight="1">
      <c r="A31" s="16">
        <v>4</v>
      </c>
      <c r="B31" s="616"/>
      <c r="C31" s="421"/>
      <c r="D31" s="616"/>
      <c r="E31" s="644"/>
      <c r="F31" s="645"/>
      <c r="G31" s="645"/>
      <c r="H31" s="641"/>
      <c r="I31" s="646"/>
      <c r="J31" s="645"/>
      <c r="K31" s="645"/>
      <c r="L31" s="641"/>
      <c r="M31" s="613" t="str">
        <f t="shared" si="21"/>
        <v/>
      </c>
      <c r="N31" s="613" t="str">
        <f t="shared" si="13"/>
        <v/>
      </c>
      <c r="O31" s="426" t="str">
        <f>IFERROR(M31*'CO₂係数 '!$I$33+N31*$AO$9,"")</f>
        <v/>
      </c>
      <c r="P31" s="616"/>
      <c r="Q31" s="616"/>
      <c r="R31" s="644"/>
      <c r="S31" s="645"/>
      <c r="T31" s="645"/>
      <c r="U31" s="657" t="str">
        <f t="shared" si="22"/>
        <v/>
      </c>
      <c r="V31" s="647"/>
      <c r="W31" s="645"/>
      <c r="X31" s="645"/>
      <c r="Y31" s="613" t="str">
        <f t="shared" si="26"/>
        <v/>
      </c>
      <c r="Z31" s="613" t="str">
        <f t="shared" si="23"/>
        <v/>
      </c>
      <c r="AA31" s="613" t="str">
        <f t="shared" si="14"/>
        <v/>
      </c>
      <c r="AB31" s="426" t="str">
        <f>IFERROR(Z31*'CO₂係数 '!$I$33+AA31*$AO$9,"")</f>
        <v/>
      </c>
      <c r="AC31" s="613" t="str">
        <f t="shared" si="24"/>
        <v/>
      </c>
      <c r="AD31" s="613" t="str">
        <f t="shared" si="25"/>
        <v/>
      </c>
      <c r="AE31" s="425" t="str">
        <f>IFERROR(AC31*'CO₂係数 '!$I$33+AD31*$AO$9,"")</f>
        <v/>
      </c>
      <c r="AF31" s="143"/>
      <c r="AG31" s="144">
        <v>1</v>
      </c>
      <c r="AH31" s="144">
        <f t="shared" si="15"/>
        <v>0</v>
      </c>
      <c r="AI31" s="145">
        <f t="shared" si="16"/>
        <v>0.59050000000000002</v>
      </c>
      <c r="AJ31" s="146" t="e">
        <f t="shared" si="3"/>
        <v>#N/A</v>
      </c>
      <c r="AK31" s="147">
        <f t="shared" si="17"/>
        <v>0</v>
      </c>
      <c r="AL31" s="146">
        <f t="shared" si="18"/>
        <v>0.372</v>
      </c>
      <c r="AM31" s="146" t="e">
        <f t="shared" si="4"/>
        <v>#N/A</v>
      </c>
      <c r="AN31" s="146">
        <f>IFERROR(VLOOKUP(C31,$BT$46:$BU$70,3,FALSE)/#REF!,1)</f>
        <v>1</v>
      </c>
      <c r="AO31" s="146"/>
      <c r="AP31" s="146">
        <f t="shared" si="19"/>
        <v>0</v>
      </c>
      <c r="AQ31" s="146">
        <f t="shared" si="5"/>
        <v>2.875</v>
      </c>
      <c r="AS31" s="146">
        <f t="shared" si="20"/>
        <v>0</v>
      </c>
      <c r="AT31" s="146">
        <f t="shared" si="6"/>
        <v>1.7253000000000001</v>
      </c>
      <c r="AV31" s="152">
        <v>0.3</v>
      </c>
      <c r="AX31" s="141" t="s">
        <v>344</v>
      </c>
      <c r="AY31" s="141">
        <v>0.76</v>
      </c>
      <c r="BA31" s="154" t="s">
        <v>345</v>
      </c>
      <c r="BB31" s="155">
        <v>0.5625</v>
      </c>
      <c r="BC31" s="156">
        <v>0</v>
      </c>
      <c r="BD31" s="156">
        <v>0.5625</v>
      </c>
      <c r="BE31" s="157">
        <f>AVERAGE(BD$30:BD31)</f>
        <v>0.57650000000000001</v>
      </c>
      <c r="BG31" s="154" t="s">
        <v>345</v>
      </c>
      <c r="BH31" s="154" t="s">
        <v>48</v>
      </c>
      <c r="BI31" s="141">
        <f>BI30+24</f>
        <v>48</v>
      </c>
      <c r="BJ31" s="155">
        <f t="shared" ref="BJ31:BJ41" si="27">BD31</f>
        <v>0.5625</v>
      </c>
      <c r="BK31" s="157">
        <f>AVERAGE(BJ$30:BJ31)</f>
        <v>0.57650000000000001</v>
      </c>
      <c r="BL31" s="141">
        <v>26</v>
      </c>
      <c r="BN31" s="154" t="s">
        <v>355</v>
      </c>
      <c r="BO31" s="154" t="s">
        <v>49</v>
      </c>
      <c r="BP31" s="141">
        <f>BP30+24</f>
        <v>72</v>
      </c>
      <c r="BQ31" s="156">
        <v>0.28425</v>
      </c>
      <c r="BR31" s="157">
        <f>AVERAGE(BQ$29:BQ31)</f>
        <v>0.33574999999999999</v>
      </c>
      <c r="BS31" s="141">
        <v>25</v>
      </c>
    </row>
    <row r="32" spans="1:73" s="141" customFormat="1" ht="22.5" customHeight="1">
      <c r="A32" s="16">
        <v>5</v>
      </c>
      <c r="B32" s="616"/>
      <c r="C32" s="421"/>
      <c r="D32" s="616"/>
      <c r="E32" s="644"/>
      <c r="F32" s="645"/>
      <c r="G32" s="645"/>
      <c r="H32" s="641"/>
      <c r="I32" s="646"/>
      <c r="J32" s="645"/>
      <c r="K32" s="645"/>
      <c r="L32" s="641"/>
      <c r="M32" s="613" t="str">
        <f t="shared" si="21"/>
        <v/>
      </c>
      <c r="N32" s="613" t="str">
        <f t="shared" si="13"/>
        <v/>
      </c>
      <c r="O32" s="426" t="str">
        <f>IFERROR(M32*'CO₂係数 '!$I$33+N32*$AO$9,"")</f>
        <v/>
      </c>
      <c r="P32" s="616"/>
      <c r="Q32" s="616"/>
      <c r="R32" s="644"/>
      <c r="S32" s="645"/>
      <c r="T32" s="645"/>
      <c r="U32" s="657" t="str">
        <f t="shared" si="22"/>
        <v/>
      </c>
      <c r="V32" s="647"/>
      <c r="W32" s="645"/>
      <c r="X32" s="645"/>
      <c r="Y32" s="613" t="str">
        <f t="shared" si="26"/>
        <v/>
      </c>
      <c r="Z32" s="613" t="str">
        <f t="shared" si="23"/>
        <v/>
      </c>
      <c r="AA32" s="613" t="str">
        <f t="shared" si="14"/>
        <v/>
      </c>
      <c r="AB32" s="426" t="str">
        <f>IFERROR(Z32*'CO₂係数 '!$I$33+AA32*$AO$9,"")</f>
        <v/>
      </c>
      <c r="AC32" s="613" t="str">
        <f t="shared" si="24"/>
        <v/>
      </c>
      <c r="AD32" s="613" t="str">
        <f t="shared" si="25"/>
        <v/>
      </c>
      <c r="AE32" s="425" t="str">
        <f>IFERROR(AC32*'CO₂係数 '!$I$33+AD32*$AO$9,"")</f>
        <v/>
      </c>
      <c r="AF32" s="143"/>
      <c r="AG32" s="144">
        <v>1</v>
      </c>
      <c r="AH32" s="144">
        <f t="shared" si="15"/>
        <v>0</v>
      </c>
      <c r="AI32" s="145">
        <f t="shared" si="16"/>
        <v>0.59050000000000002</v>
      </c>
      <c r="AJ32" s="146" t="e">
        <f t="shared" si="3"/>
        <v>#N/A</v>
      </c>
      <c r="AK32" s="147">
        <f t="shared" si="17"/>
        <v>0</v>
      </c>
      <c r="AL32" s="146">
        <f t="shared" si="18"/>
        <v>0.372</v>
      </c>
      <c r="AM32" s="146" t="e">
        <f t="shared" si="4"/>
        <v>#N/A</v>
      </c>
      <c r="AN32" s="146">
        <f>IFERROR(VLOOKUP(C32,$BT$46:$BU$70,3,FALSE)/#REF!,1)</f>
        <v>1</v>
      </c>
      <c r="AO32" s="146"/>
      <c r="AP32" s="146">
        <f t="shared" si="19"/>
        <v>0</v>
      </c>
      <c r="AQ32" s="146">
        <f t="shared" si="5"/>
        <v>2.875</v>
      </c>
      <c r="AS32" s="146">
        <f t="shared" si="20"/>
        <v>0</v>
      </c>
      <c r="AT32" s="146">
        <f t="shared" si="6"/>
        <v>1.7253000000000001</v>
      </c>
      <c r="AV32" s="152">
        <v>0.2</v>
      </c>
      <c r="AX32" s="141" t="s">
        <v>346</v>
      </c>
      <c r="AY32" s="141">
        <v>0.76500000000000001</v>
      </c>
      <c r="BA32" s="154" t="s">
        <v>347</v>
      </c>
      <c r="BB32" s="155">
        <v>0.43099999999999999</v>
      </c>
      <c r="BC32" s="156">
        <v>0</v>
      </c>
      <c r="BD32" s="156">
        <v>0.43099999999999999</v>
      </c>
      <c r="BE32" s="157">
        <f>AVERAGE(BD$30:BD32)</f>
        <v>0.52800000000000002</v>
      </c>
      <c r="BG32" s="154" t="s">
        <v>347</v>
      </c>
      <c r="BH32" s="154" t="s">
        <v>48</v>
      </c>
      <c r="BI32" s="141">
        <f>BI31+24</f>
        <v>72</v>
      </c>
      <c r="BJ32" s="155">
        <f t="shared" si="27"/>
        <v>0.43099999999999999</v>
      </c>
      <c r="BK32" s="157">
        <f>AVERAGE(BJ$30:BJ32)</f>
        <v>0.52800000000000002</v>
      </c>
      <c r="BL32" s="141">
        <v>24</v>
      </c>
      <c r="BN32" s="154" t="s">
        <v>357</v>
      </c>
      <c r="BO32" s="154" t="s">
        <v>49</v>
      </c>
      <c r="BP32" s="141">
        <f t="shared" ref="BP32:BP33" si="28">BP31+24</f>
        <v>96</v>
      </c>
      <c r="BQ32" s="156">
        <v>0.26524999999999999</v>
      </c>
      <c r="BR32" s="157">
        <f>AVERAGE(BQ$29:BQ32)</f>
        <v>0.31812499999999999</v>
      </c>
      <c r="BS32" s="141">
        <v>25</v>
      </c>
    </row>
    <row r="33" spans="1:73" s="141" customFormat="1" ht="22.5" customHeight="1">
      <c r="A33" s="16">
        <v>6</v>
      </c>
      <c r="B33" s="616"/>
      <c r="C33" s="421"/>
      <c r="D33" s="616"/>
      <c r="E33" s="644"/>
      <c r="F33" s="645"/>
      <c r="G33" s="645"/>
      <c r="H33" s="641"/>
      <c r="I33" s="646"/>
      <c r="J33" s="645"/>
      <c r="K33" s="645"/>
      <c r="L33" s="641"/>
      <c r="M33" s="613" t="str">
        <f t="shared" si="21"/>
        <v/>
      </c>
      <c r="N33" s="613" t="str">
        <f t="shared" si="13"/>
        <v/>
      </c>
      <c r="O33" s="426" t="str">
        <f>IFERROR(M33*'CO₂係数 '!$I$33+N33*$AO$9,"")</f>
        <v/>
      </c>
      <c r="P33" s="616"/>
      <c r="Q33" s="616"/>
      <c r="R33" s="644"/>
      <c r="S33" s="645"/>
      <c r="T33" s="645"/>
      <c r="U33" s="657" t="str">
        <f t="shared" si="22"/>
        <v/>
      </c>
      <c r="V33" s="647"/>
      <c r="W33" s="645"/>
      <c r="X33" s="645"/>
      <c r="Y33" s="613" t="str">
        <f t="shared" si="26"/>
        <v/>
      </c>
      <c r="Z33" s="613" t="str">
        <f t="shared" si="23"/>
        <v/>
      </c>
      <c r="AA33" s="613" t="str">
        <f t="shared" si="14"/>
        <v/>
      </c>
      <c r="AB33" s="426" t="str">
        <f>IFERROR(Z33*'CO₂係数 '!$I$33+AA33*$AO$9,"")</f>
        <v/>
      </c>
      <c r="AC33" s="613" t="str">
        <f t="shared" si="24"/>
        <v/>
      </c>
      <c r="AD33" s="613" t="str">
        <f t="shared" si="25"/>
        <v/>
      </c>
      <c r="AE33" s="425" t="str">
        <f>IFERROR(AC33*'CO₂係数 '!$I$33+AD33*$AO$9,"")</f>
        <v/>
      </c>
      <c r="AF33" s="143"/>
      <c r="AG33" s="144">
        <v>1</v>
      </c>
      <c r="AH33" s="144">
        <f t="shared" si="15"/>
        <v>0</v>
      </c>
      <c r="AI33" s="145">
        <f t="shared" si="16"/>
        <v>0.59050000000000002</v>
      </c>
      <c r="AJ33" s="146" t="e">
        <f t="shared" si="3"/>
        <v>#N/A</v>
      </c>
      <c r="AK33" s="147">
        <f t="shared" si="17"/>
        <v>0</v>
      </c>
      <c r="AL33" s="146">
        <f t="shared" si="18"/>
        <v>0.372</v>
      </c>
      <c r="AM33" s="146" t="e">
        <f t="shared" si="4"/>
        <v>#N/A</v>
      </c>
      <c r="AN33" s="146">
        <f>IFERROR(VLOOKUP(C33,$BT$46:$BU$70,3,FALSE)/#REF!,1)</f>
        <v>1</v>
      </c>
      <c r="AO33" s="146"/>
      <c r="AP33" s="146">
        <f t="shared" si="19"/>
        <v>0</v>
      </c>
      <c r="AQ33" s="146">
        <f t="shared" si="5"/>
        <v>2.875</v>
      </c>
      <c r="AS33" s="146">
        <f t="shared" si="20"/>
        <v>0</v>
      </c>
      <c r="AT33" s="146">
        <f t="shared" si="6"/>
        <v>1.7253000000000001</v>
      </c>
      <c r="AX33" s="141" t="s">
        <v>348</v>
      </c>
      <c r="AY33" s="141">
        <v>0.77</v>
      </c>
      <c r="BA33" s="154" t="s">
        <v>349</v>
      </c>
      <c r="BB33" s="156">
        <v>0</v>
      </c>
      <c r="BC33" s="155">
        <v>0.372</v>
      </c>
      <c r="BD33" s="156">
        <v>0.372</v>
      </c>
      <c r="BE33" s="157">
        <f>AVERAGE(BD$30:BD33)</f>
        <v>0.48899999999999999</v>
      </c>
      <c r="BG33" s="154" t="s">
        <v>349</v>
      </c>
      <c r="BH33" s="154" t="s">
        <v>49</v>
      </c>
      <c r="BI33" s="141">
        <f t="shared" ref="BI33:BI41" si="29">BI32+24</f>
        <v>96</v>
      </c>
      <c r="BJ33" s="155">
        <f t="shared" si="27"/>
        <v>0.372</v>
      </c>
      <c r="BK33" s="157">
        <f>AVERAGE(BJ$30:BJ33)</f>
        <v>0.48899999999999999</v>
      </c>
      <c r="BL33" s="141">
        <v>23</v>
      </c>
      <c r="BN33" s="159" t="s">
        <v>363</v>
      </c>
      <c r="BO33" s="159" t="s">
        <v>49</v>
      </c>
      <c r="BP33" s="160">
        <f t="shared" si="28"/>
        <v>120</v>
      </c>
      <c r="BQ33" s="156">
        <v>0.15925</v>
      </c>
      <c r="BR33" s="161">
        <f>AVERAGE(BQ$29:BQ33)</f>
        <v>0.28634999999999999</v>
      </c>
      <c r="BS33" s="160">
        <v>25</v>
      </c>
    </row>
    <row r="34" spans="1:73" s="141" customFormat="1" ht="22.5" customHeight="1">
      <c r="A34" s="16">
        <v>7</v>
      </c>
      <c r="B34" s="616"/>
      <c r="C34" s="421"/>
      <c r="D34" s="616"/>
      <c r="E34" s="644"/>
      <c r="F34" s="645"/>
      <c r="G34" s="645"/>
      <c r="H34" s="641"/>
      <c r="I34" s="646"/>
      <c r="J34" s="645"/>
      <c r="K34" s="645"/>
      <c r="L34" s="641"/>
      <c r="M34" s="613" t="str">
        <f t="shared" si="21"/>
        <v/>
      </c>
      <c r="N34" s="613" t="str">
        <f t="shared" si="13"/>
        <v/>
      </c>
      <c r="O34" s="426" t="str">
        <f>IFERROR(M34*'CO₂係数 '!$I$33+N34*$AO$9,"")</f>
        <v/>
      </c>
      <c r="P34" s="616"/>
      <c r="Q34" s="616"/>
      <c r="R34" s="644"/>
      <c r="S34" s="645"/>
      <c r="T34" s="645"/>
      <c r="U34" s="657" t="str">
        <f t="shared" si="22"/>
        <v/>
      </c>
      <c r="V34" s="647"/>
      <c r="W34" s="645"/>
      <c r="X34" s="645"/>
      <c r="Y34" s="613" t="str">
        <f t="shared" si="26"/>
        <v/>
      </c>
      <c r="Z34" s="613" t="str">
        <f t="shared" si="23"/>
        <v/>
      </c>
      <c r="AA34" s="613" t="str">
        <f t="shared" si="14"/>
        <v/>
      </c>
      <c r="AB34" s="426" t="str">
        <f>IFERROR(Z34*'CO₂係数 '!$I$33+AA34*$AO$9,"")</f>
        <v/>
      </c>
      <c r="AC34" s="613" t="str">
        <f t="shared" si="24"/>
        <v/>
      </c>
      <c r="AD34" s="613" t="str">
        <f t="shared" si="25"/>
        <v/>
      </c>
      <c r="AE34" s="425" t="str">
        <f>IFERROR(AC34*'CO₂係数 '!$I$33+AD34*$AO$9,"")</f>
        <v/>
      </c>
      <c r="AF34" s="143"/>
      <c r="AG34" s="144">
        <v>1</v>
      </c>
      <c r="AH34" s="144">
        <f t="shared" si="15"/>
        <v>0</v>
      </c>
      <c r="AI34" s="145">
        <f t="shared" si="16"/>
        <v>0.59050000000000002</v>
      </c>
      <c r="AJ34" s="146" t="e">
        <f t="shared" si="3"/>
        <v>#N/A</v>
      </c>
      <c r="AK34" s="147">
        <f t="shared" si="17"/>
        <v>0</v>
      </c>
      <c r="AL34" s="146">
        <f t="shared" si="18"/>
        <v>0.372</v>
      </c>
      <c r="AM34" s="146" t="e">
        <f t="shared" si="4"/>
        <v>#N/A</v>
      </c>
      <c r="AN34" s="146">
        <f>IFERROR(VLOOKUP(C34,$BT$46:$BU$70,3,FALSE)/#REF!,1)</f>
        <v>1</v>
      </c>
      <c r="AO34" s="146"/>
      <c r="AP34" s="146">
        <f t="shared" si="19"/>
        <v>0</v>
      </c>
      <c r="AQ34" s="146">
        <f t="shared" si="5"/>
        <v>2.875</v>
      </c>
      <c r="AS34" s="146">
        <f t="shared" si="20"/>
        <v>0</v>
      </c>
      <c r="AT34" s="146">
        <f t="shared" si="6"/>
        <v>1.7253000000000001</v>
      </c>
      <c r="AV34" s="141" t="s">
        <v>500</v>
      </c>
      <c r="AX34" s="141" t="s">
        <v>350</v>
      </c>
      <c r="AY34" s="141">
        <v>0.77500000000000002</v>
      </c>
      <c r="BA34" s="154" t="s">
        <v>351</v>
      </c>
      <c r="BB34" s="156">
        <v>0</v>
      </c>
      <c r="BC34" s="155">
        <v>0.35100000000000003</v>
      </c>
      <c r="BD34" s="156">
        <v>0.35100000000000003</v>
      </c>
      <c r="BE34" s="157">
        <f>AVERAGE(BD$30:BD34)</f>
        <v>0.46139999999999998</v>
      </c>
      <c r="BG34" s="154" t="s">
        <v>351</v>
      </c>
      <c r="BH34" s="154" t="s">
        <v>49</v>
      </c>
      <c r="BI34" s="141">
        <f t="shared" si="29"/>
        <v>120</v>
      </c>
      <c r="BJ34" s="155">
        <f t="shared" si="27"/>
        <v>0.35100000000000003</v>
      </c>
      <c r="BK34" s="157">
        <f>AVERAGE(BJ$30:BJ34)</f>
        <v>0.46139999999999998</v>
      </c>
      <c r="BL34" s="141">
        <v>22</v>
      </c>
      <c r="BN34" s="154"/>
      <c r="BO34" s="154"/>
      <c r="BP34" s="141">
        <v>0</v>
      </c>
      <c r="BQ34" s="162">
        <v>0.59050000000000002</v>
      </c>
      <c r="BR34" s="157">
        <f>AVERAGE(BQ34:BQ$35)</f>
        <v>0.59050000000000002</v>
      </c>
    </row>
    <row r="35" spans="1:73" s="141" customFormat="1" ht="22.5" customHeight="1">
      <c r="A35" s="16">
        <v>8</v>
      </c>
      <c r="B35" s="616"/>
      <c r="C35" s="421"/>
      <c r="D35" s="616"/>
      <c r="E35" s="644"/>
      <c r="F35" s="645"/>
      <c r="G35" s="645"/>
      <c r="H35" s="641"/>
      <c r="I35" s="646"/>
      <c r="J35" s="645"/>
      <c r="K35" s="645"/>
      <c r="L35" s="641"/>
      <c r="M35" s="613" t="str">
        <f t="shared" si="21"/>
        <v/>
      </c>
      <c r="N35" s="613" t="str">
        <f t="shared" si="13"/>
        <v/>
      </c>
      <c r="O35" s="426" t="str">
        <f>IFERROR(M35*'CO₂係数 '!$I$33+N35*$AO$9,"")</f>
        <v/>
      </c>
      <c r="P35" s="616"/>
      <c r="Q35" s="616"/>
      <c r="R35" s="644"/>
      <c r="S35" s="645"/>
      <c r="T35" s="645"/>
      <c r="U35" s="657" t="str">
        <f t="shared" si="22"/>
        <v/>
      </c>
      <c r="V35" s="647"/>
      <c r="W35" s="645"/>
      <c r="X35" s="645"/>
      <c r="Y35" s="613" t="str">
        <f t="shared" si="26"/>
        <v/>
      </c>
      <c r="Z35" s="613" t="str">
        <f t="shared" si="23"/>
        <v/>
      </c>
      <c r="AA35" s="613" t="str">
        <f t="shared" si="14"/>
        <v/>
      </c>
      <c r="AB35" s="426" t="str">
        <f>IFERROR(Z35*'CO₂係数 '!$I$33+AA35*$AO$9,"")</f>
        <v/>
      </c>
      <c r="AC35" s="613" t="str">
        <f t="shared" si="24"/>
        <v/>
      </c>
      <c r="AD35" s="613" t="str">
        <f t="shared" si="25"/>
        <v/>
      </c>
      <c r="AE35" s="425" t="str">
        <f>IFERROR(AC35*'CO₂係数 '!$I$33+AD35*$AO$9,"")</f>
        <v/>
      </c>
      <c r="AF35" s="143"/>
      <c r="AG35" s="144">
        <v>1</v>
      </c>
      <c r="AH35" s="144">
        <f t="shared" si="15"/>
        <v>0</v>
      </c>
      <c r="AI35" s="145">
        <f t="shared" si="16"/>
        <v>0.59050000000000002</v>
      </c>
      <c r="AJ35" s="146" t="e">
        <f t="shared" si="3"/>
        <v>#N/A</v>
      </c>
      <c r="AK35" s="147">
        <f t="shared" si="17"/>
        <v>0</v>
      </c>
      <c r="AL35" s="146">
        <f t="shared" si="18"/>
        <v>0.372</v>
      </c>
      <c r="AM35" s="146" t="e">
        <f t="shared" si="4"/>
        <v>#N/A</v>
      </c>
      <c r="AN35" s="146">
        <f>IFERROR(VLOOKUP(C35,$BT$46:$BU$70,3,FALSE)/#REF!,1)</f>
        <v>1</v>
      </c>
      <c r="AO35" s="146"/>
      <c r="AP35" s="146">
        <f t="shared" si="19"/>
        <v>0</v>
      </c>
      <c r="AQ35" s="146">
        <f t="shared" si="5"/>
        <v>2.875</v>
      </c>
      <c r="AS35" s="146">
        <f t="shared" si="20"/>
        <v>0</v>
      </c>
      <c r="AT35" s="146">
        <f t="shared" si="6"/>
        <v>1.7253000000000001</v>
      </c>
      <c r="AV35" s="141" t="s">
        <v>501</v>
      </c>
      <c r="AX35" s="141" t="s">
        <v>352</v>
      </c>
      <c r="AY35" s="141">
        <v>0.78</v>
      </c>
      <c r="BA35" s="154" t="s">
        <v>353</v>
      </c>
      <c r="BB35" s="155">
        <v>0.31225000000000003</v>
      </c>
      <c r="BC35" s="156">
        <v>0</v>
      </c>
      <c r="BD35" s="156">
        <v>0.31225000000000003</v>
      </c>
      <c r="BE35" s="157">
        <f>AVERAGE(BD$30:BD35)</f>
        <v>0.43654166666666666</v>
      </c>
      <c r="BG35" s="154" t="s">
        <v>353</v>
      </c>
      <c r="BH35" s="154" t="s">
        <v>48</v>
      </c>
      <c r="BI35" s="141">
        <f t="shared" si="29"/>
        <v>144</v>
      </c>
      <c r="BJ35" s="155">
        <f t="shared" si="27"/>
        <v>0.31225000000000003</v>
      </c>
      <c r="BK35" s="157">
        <f>AVERAGE(BJ$30:BJ35)</f>
        <v>0.43654166666666666</v>
      </c>
      <c r="BL35" s="141">
        <v>26</v>
      </c>
      <c r="BN35" s="154" t="s">
        <v>343</v>
      </c>
      <c r="BO35" s="154" t="s">
        <v>48</v>
      </c>
      <c r="BP35" s="141">
        <v>24</v>
      </c>
      <c r="BQ35" s="162">
        <v>0.59050000000000002</v>
      </c>
      <c r="BR35" s="157">
        <f>AVERAGE(BQ$35:BQ35)</f>
        <v>0.59050000000000002</v>
      </c>
      <c r="BS35" s="141">
        <v>22</v>
      </c>
    </row>
    <row r="36" spans="1:73" s="141" customFormat="1" ht="22.5" customHeight="1">
      <c r="A36" s="16">
        <v>9</v>
      </c>
      <c r="B36" s="616"/>
      <c r="C36" s="421"/>
      <c r="D36" s="616"/>
      <c r="E36" s="644"/>
      <c r="F36" s="645"/>
      <c r="G36" s="645"/>
      <c r="H36" s="641"/>
      <c r="I36" s="646"/>
      <c r="J36" s="645"/>
      <c r="K36" s="645"/>
      <c r="L36" s="641"/>
      <c r="M36" s="613" t="str">
        <f t="shared" si="21"/>
        <v/>
      </c>
      <c r="N36" s="613" t="str">
        <f t="shared" si="13"/>
        <v/>
      </c>
      <c r="O36" s="426" t="str">
        <f>IFERROR(M36*'CO₂係数 '!$I$33+N36*$AO$9,"")</f>
        <v/>
      </c>
      <c r="P36" s="616"/>
      <c r="Q36" s="616"/>
      <c r="R36" s="644"/>
      <c r="S36" s="645"/>
      <c r="T36" s="645"/>
      <c r="U36" s="657" t="str">
        <f t="shared" si="22"/>
        <v/>
      </c>
      <c r="V36" s="647"/>
      <c r="W36" s="645"/>
      <c r="X36" s="645"/>
      <c r="Y36" s="613" t="str">
        <f t="shared" si="26"/>
        <v/>
      </c>
      <c r="Z36" s="613" t="str">
        <f t="shared" si="23"/>
        <v/>
      </c>
      <c r="AA36" s="613" t="str">
        <f t="shared" si="14"/>
        <v/>
      </c>
      <c r="AB36" s="426" t="str">
        <f>IFERROR(Z36*'CO₂係数 '!$I$33+AA36*$AO$9,"")</f>
        <v/>
      </c>
      <c r="AC36" s="613" t="str">
        <f t="shared" si="24"/>
        <v/>
      </c>
      <c r="AD36" s="613" t="str">
        <f t="shared" si="25"/>
        <v/>
      </c>
      <c r="AE36" s="425" t="str">
        <f>IFERROR(AC36*'CO₂係数 '!$I$33+AD36*$AO$9,"")</f>
        <v/>
      </c>
      <c r="AF36" s="143"/>
      <c r="AG36" s="144">
        <v>1</v>
      </c>
      <c r="AH36" s="144">
        <f t="shared" si="15"/>
        <v>0</v>
      </c>
      <c r="AI36" s="145">
        <f t="shared" si="16"/>
        <v>0.59050000000000002</v>
      </c>
      <c r="AJ36" s="146" t="e">
        <f t="shared" si="3"/>
        <v>#N/A</v>
      </c>
      <c r="AK36" s="147">
        <f t="shared" si="17"/>
        <v>0</v>
      </c>
      <c r="AL36" s="146">
        <f t="shared" si="18"/>
        <v>0.372</v>
      </c>
      <c r="AM36" s="146" t="e">
        <f t="shared" si="4"/>
        <v>#N/A</v>
      </c>
      <c r="AN36" s="146">
        <f>IFERROR(VLOOKUP(C36,$BT$46:$BU$70,3,FALSE)/#REF!,1)</f>
        <v>1</v>
      </c>
      <c r="AO36" s="146"/>
      <c r="AP36" s="146">
        <f t="shared" si="19"/>
        <v>0</v>
      </c>
      <c r="AQ36" s="146">
        <f t="shared" si="5"/>
        <v>2.875</v>
      </c>
      <c r="AS36" s="146">
        <f t="shared" si="20"/>
        <v>0</v>
      </c>
      <c r="AT36" s="146">
        <f t="shared" si="6"/>
        <v>1.7253000000000001</v>
      </c>
      <c r="AV36" s="141" t="s">
        <v>503</v>
      </c>
      <c r="AX36" s="141" t="s">
        <v>354</v>
      </c>
      <c r="AY36" s="141">
        <v>0.78500000000000003</v>
      </c>
      <c r="BA36" s="154" t="s">
        <v>355</v>
      </c>
      <c r="BB36" s="156">
        <v>0</v>
      </c>
      <c r="BC36" s="155">
        <v>0.28425</v>
      </c>
      <c r="BD36" s="156">
        <v>0.28425</v>
      </c>
      <c r="BE36" s="157">
        <f>AVERAGE(BD$30:BD36)</f>
        <v>0.41478571428571431</v>
      </c>
      <c r="BG36" s="154" t="s">
        <v>355</v>
      </c>
      <c r="BH36" s="154" t="s">
        <v>49</v>
      </c>
      <c r="BI36" s="141">
        <f t="shared" si="29"/>
        <v>168</v>
      </c>
      <c r="BJ36" s="155">
        <f t="shared" si="27"/>
        <v>0.28425</v>
      </c>
      <c r="BK36" s="157">
        <f>AVERAGE(BJ$30:BJ36)</f>
        <v>0.41478571428571431</v>
      </c>
      <c r="BL36" s="141">
        <v>25</v>
      </c>
      <c r="BN36" s="154" t="s">
        <v>345</v>
      </c>
      <c r="BO36" s="154" t="s">
        <v>48</v>
      </c>
      <c r="BP36" s="141">
        <f>BP35+24</f>
        <v>48</v>
      </c>
      <c r="BQ36" s="156">
        <v>0.5625</v>
      </c>
      <c r="BR36" s="157">
        <f>AVERAGE(BQ$35:BQ36)</f>
        <v>0.57650000000000001</v>
      </c>
      <c r="BS36" s="141">
        <v>26</v>
      </c>
    </row>
    <row r="37" spans="1:73" s="141" customFormat="1" ht="22.5" customHeight="1">
      <c r="A37" s="16">
        <v>10</v>
      </c>
      <c r="B37" s="616"/>
      <c r="C37" s="421"/>
      <c r="D37" s="616"/>
      <c r="E37" s="644"/>
      <c r="F37" s="645"/>
      <c r="G37" s="645"/>
      <c r="H37" s="641"/>
      <c r="I37" s="646"/>
      <c r="J37" s="645"/>
      <c r="K37" s="645"/>
      <c r="L37" s="641"/>
      <c r="M37" s="613" t="str">
        <f t="shared" si="21"/>
        <v/>
      </c>
      <c r="N37" s="613" t="str">
        <f t="shared" si="13"/>
        <v/>
      </c>
      <c r="O37" s="426" t="str">
        <f>IFERROR(M37*'CO₂係数 '!$I$33+N37*$AO$9,"")</f>
        <v/>
      </c>
      <c r="P37" s="616"/>
      <c r="Q37" s="616"/>
      <c r="R37" s="644"/>
      <c r="S37" s="645"/>
      <c r="T37" s="645"/>
      <c r="U37" s="657" t="str">
        <f t="shared" si="22"/>
        <v/>
      </c>
      <c r="V37" s="647"/>
      <c r="W37" s="645"/>
      <c r="X37" s="645"/>
      <c r="Y37" s="613" t="str">
        <f t="shared" si="26"/>
        <v/>
      </c>
      <c r="Z37" s="613" t="str">
        <f t="shared" si="23"/>
        <v/>
      </c>
      <c r="AA37" s="613" t="str">
        <f t="shared" si="14"/>
        <v/>
      </c>
      <c r="AB37" s="426" t="str">
        <f>IFERROR(Z37*'CO₂係数 '!$I$33+AA37*$AO$9,"")</f>
        <v/>
      </c>
      <c r="AC37" s="613" t="str">
        <f t="shared" si="24"/>
        <v/>
      </c>
      <c r="AD37" s="613" t="str">
        <f t="shared" si="25"/>
        <v/>
      </c>
      <c r="AE37" s="425" t="str">
        <f>IFERROR(AC37*'CO₂係数 '!$I$33+AD37*$AO$9,"")</f>
        <v/>
      </c>
      <c r="AF37" s="143"/>
      <c r="AG37" s="144">
        <v>1</v>
      </c>
      <c r="AH37" s="144">
        <f t="shared" si="15"/>
        <v>0</v>
      </c>
      <c r="AI37" s="145">
        <f t="shared" si="16"/>
        <v>0.59050000000000002</v>
      </c>
      <c r="AJ37" s="146" t="e">
        <f t="shared" si="3"/>
        <v>#N/A</v>
      </c>
      <c r="AK37" s="147">
        <f t="shared" si="17"/>
        <v>0</v>
      </c>
      <c r="AL37" s="146">
        <f t="shared" si="18"/>
        <v>0.372</v>
      </c>
      <c r="AM37" s="146" t="e">
        <f t="shared" si="4"/>
        <v>#N/A</v>
      </c>
      <c r="AN37" s="146">
        <f>IFERROR(VLOOKUP(C37,$BT$46:$BU$70,3,FALSE)/#REF!,1)</f>
        <v>1</v>
      </c>
      <c r="AO37" s="146"/>
      <c r="AP37" s="146">
        <f t="shared" si="19"/>
        <v>0</v>
      </c>
      <c r="AQ37" s="146">
        <f t="shared" si="5"/>
        <v>2.875</v>
      </c>
      <c r="AS37" s="146">
        <f t="shared" si="20"/>
        <v>0</v>
      </c>
      <c r="AT37" s="146">
        <f t="shared" si="6"/>
        <v>1.7253000000000001</v>
      </c>
      <c r="AV37" s="141" t="s">
        <v>505</v>
      </c>
      <c r="AX37" s="141" t="s">
        <v>356</v>
      </c>
      <c r="AY37" s="141">
        <v>0.79</v>
      </c>
      <c r="BA37" s="154" t="s">
        <v>357</v>
      </c>
      <c r="BB37" s="156">
        <v>8.8249999999999995E-2</v>
      </c>
      <c r="BC37" s="155">
        <v>0.26524999999999999</v>
      </c>
      <c r="BD37" s="156">
        <v>0.26524999999999999</v>
      </c>
      <c r="BE37" s="157">
        <f>AVERAGE(BD$30:BD37)</f>
        <v>0.39609375000000002</v>
      </c>
      <c r="BG37" s="154" t="s">
        <v>357</v>
      </c>
      <c r="BH37" s="154" t="s">
        <v>49</v>
      </c>
      <c r="BI37" s="141">
        <f t="shared" si="29"/>
        <v>192</v>
      </c>
      <c r="BJ37" s="155">
        <f t="shared" si="27"/>
        <v>0.26524999999999999</v>
      </c>
      <c r="BK37" s="157">
        <f>AVERAGE(BJ$30:BJ37)</f>
        <v>0.39609375000000002</v>
      </c>
      <c r="BL37" s="141">
        <v>25</v>
      </c>
      <c r="BN37" s="154" t="s">
        <v>347</v>
      </c>
      <c r="BO37" s="154" t="s">
        <v>48</v>
      </c>
      <c r="BP37" s="141">
        <f t="shared" ref="BP37:BP41" si="30">BP36+24</f>
        <v>72</v>
      </c>
      <c r="BQ37" s="156">
        <v>0.43099999999999999</v>
      </c>
      <c r="BR37" s="157">
        <f>AVERAGE(BQ$35:BQ37)</f>
        <v>0.52800000000000002</v>
      </c>
      <c r="BS37" s="141">
        <v>24</v>
      </c>
    </row>
    <row r="38" spans="1:73" s="141" customFormat="1" ht="18" customHeight="1">
      <c r="A38" s="140"/>
      <c r="B38" s="140"/>
      <c r="C38" s="140"/>
      <c r="D38" s="137"/>
      <c r="E38" s="137"/>
      <c r="F38" s="137"/>
      <c r="G38" s="137"/>
      <c r="H38" s="137"/>
      <c r="I38" s="179"/>
      <c r="J38" s="179"/>
      <c r="K38" s="179"/>
      <c r="L38" s="179"/>
      <c r="M38" s="179"/>
      <c r="N38" s="186"/>
      <c r="O38" s="137"/>
      <c r="P38" s="137"/>
      <c r="Q38" s="137"/>
      <c r="R38" s="137"/>
      <c r="S38" s="137"/>
      <c r="T38" s="137"/>
      <c r="U38" s="137"/>
      <c r="V38" s="137"/>
      <c r="W38" s="137"/>
      <c r="X38" s="137"/>
      <c r="Y38" s="137"/>
      <c r="Z38" s="137"/>
      <c r="AA38" s="137"/>
      <c r="AB38" s="180"/>
      <c r="AC38" s="181"/>
      <c r="AD38" s="181"/>
      <c r="AE38" s="181"/>
      <c r="AF38" s="143"/>
      <c r="AG38" s="144"/>
      <c r="AH38" s="144"/>
      <c r="AI38" s="145"/>
      <c r="AJ38" s="146"/>
      <c r="AK38" s="146"/>
      <c r="AL38" s="146"/>
      <c r="AM38" s="146"/>
      <c r="AN38" s="146"/>
      <c r="AO38" s="146"/>
      <c r="AP38" s="146"/>
      <c r="AQ38" s="146"/>
      <c r="AV38" s="141" t="s">
        <v>506</v>
      </c>
      <c r="AX38" s="141" t="s">
        <v>358</v>
      </c>
      <c r="AY38" s="141">
        <v>0.79500000000000004</v>
      </c>
      <c r="BA38" s="154" t="s">
        <v>359</v>
      </c>
      <c r="BB38" s="155">
        <v>0.24475</v>
      </c>
      <c r="BC38" s="156">
        <v>9.9250000000000005E-2</v>
      </c>
      <c r="BD38" s="156">
        <v>0.24475</v>
      </c>
      <c r="BE38" s="157">
        <f>AVERAGE(BD$30:BD38)</f>
        <v>0.37927777777777777</v>
      </c>
      <c r="BG38" s="154" t="s">
        <v>359</v>
      </c>
      <c r="BH38" s="154" t="s">
        <v>48</v>
      </c>
      <c r="BI38" s="141">
        <f t="shared" si="29"/>
        <v>216</v>
      </c>
      <c r="BJ38" s="155">
        <f t="shared" si="27"/>
        <v>0.24475</v>
      </c>
      <c r="BK38" s="157">
        <f>AVERAGE(BJ$30:BJ38)</f>
        <v>0.37927777777777777</v>
      </c>
      <c r="BL38" s="141">
        <v>22</v>
      </c>
      <c r="BN38" s="154" t="s">
        <v>353</v>
      </c>
      <c r="BO38" s="154" t="s">
        <v>48</v>
      </c>
      <c r="BP38" s="141">
        <f t="shared" si="30"/>
        <v>96</v>
      </c>
      <c r="BQ38" s="156">
        <v>0.31225000000000003</v>
      </c>
      <c r="BR38" s="157">
        <f>AVERAGE(BQ$35:BQ38)</f>
        <v>0.47406250000000005</v>
      </c>
      <c r="BS38" s="141">
        <v>26</v>
      </c>
    </row>
    <row r="39" spans="1:73" s="141" customFormat="1" ht="18" customHeight="1">
      <c r="A39" s="140"/>
      <c r="B39" s="140"/>
      <c r="C39" s="182"/>
      <c r="D39" s="182"/>
      <c r="E39" s="182"/>
      <c r="F39" s="182"/>
      <c r="G39" s="182"/>
      <c r="H39" s="182"/>
      <c r="I39" s="182"/>
      <c r="J39" s="182"/>
      <c r="K39" s="182"/>
      <c r="L39" s="182"/>
      <c r="M39" s="140"/>
      <c r="N39" s="140"/>
      <c r="O39" s="140"/>
      <c r="P39" s="182"/>
      <c r="Q39" s="182"/>
      <c r="R39" s="182"/>
      <c r="S39" s="182"/>
      <c r="T39" s="182"/>
      <c r="U39" s="182"/>
      <c r="V39" s="182"/>
      <c r="W39" s="182"/>
      <c r="X39" s="182"/>
      <c r="Y39" s="182"/>
      <c r="Z39" s="182"/>
      <c r="AA39" s="182"/>
      <c r="AB39" s="182"/>
      <c r="AF39" s="143"/>
      <c r="AG39" s="144"/>
      <c r="AH39" s="144"/>
      <c r="AI39" s="145"/>
      <c r="AJ39" s="146"/>
      <c r="AK39" s="146"/>
      <c r="AL39" s="146"/>
      <c r="AM39" s="146"/>
      <c r="AN39" s="146"/>
      <c r="AO39" s="146"/>
      <c r="AP39" s="146"/>
      <c r="AQ39" s="146"/>
      <c r="AX39" s="141" t="s">
        <v>360</v>
      </c>
      <c r="AY39" s="141">
        <v>0.8</v>
      </c>
      <c r="BA39" s="154" t="s">
        <v>361</v>
      </c>
      <c r="BB39" s="155">
        <v>0.20774999999999999</v>
      </c>
      <c r="BC39" s="156">
        <v>6.3750000000000001E-2</v>
      </c>
      <c r="BD39" s="156">
        <v>0.20774999999999999</v>
      </c>
      <c r="BE39" s="157">
        <f>AVERAGE(BD$30:BD39)</f>
        <v>0.36212499999999997</v>
      </c>
      <c r="BG39" s="154" t="s">
        <v>361</v>
      </c>
      <c r="BH39" s="154" t="s">
        <v>48</v>
      </c>
      <c r="BI39" s="141">
        <f t="shared" si="29"/>
        <v>240</v>
      </c>
      <c r="BJ39" s="155">
        <f t="shared" si="27"/>
        <v>0.20774999999999999</v>
      </c>
      <c r="BK39" s="157">
        <f>AVERAGE(BJ$30:BJ39)</f>
        <v>0.36212499999999997</v>
      </c>
      <c r="BL39" s="141">
        <v>26</v>
      </c>
      <c r="BN39" s="154" t="s">
        <v>359</v>
      </c>
      <c r="BO39" s="154" t="s">
        <v>48</v>
      </c>
      <c r="BP39" s="141">
        <f t="shared" si="30"/>
        <v>120</v>
      </c>
      <c r="BQ39" s="156">
        <v>0.24475</v>
      </c>
      <c r="BR39" s="157">
        <f>AVERAGE(BQ$35:BQ39)</f>
        <v>0.42820000000000003</v>
      </c>
      <c r="BS39" s="141">
        <v>22</v>
      </c>
    </row>
    <row r="40" spans="1:73" s="141" customFormat="1" ht="18" customHeight="1">
      <c r="A40" s="140"/>
      <c r="B40" s="140"/>
      <c r="C40" s="183"/>
      <c r="D40" s="183"/>
      <c r="E40" s="183"/>
      <c r="F40" s="183"/>
      <c r="G40" s="183"/>
      <c r="H40" s="183"/>
      <c r="I40" s="182"/>
      <c r="J40" s="182"/>
      <c r="K40" s="182"/>
      <c r="L40" s="182"/>
      <c r="M40" s="140"/>
      <c r="N40" s="140"/>
      <c r="O40" s="140"/>
      <c r="P40" s="184"/>
      <c r="Q40" s="184"/>
      <c r="R40" s="184"/>
      <c r="S40" s="184"/>
      <c r="T40" s="184"/>
      <c r="U40" s="184"/>
      <c r="V40" s="184"/>
      <c r="W40" s="182"/>
      <c r="X40" s="182"/>
      <c r="Y40" s="182"/>
      <c r="Z40" s="182"/>
      <c r="AA40" s="182"/>
      <c r="AB40" s="182"/>
      <c r="AC40" s="182"/>
      <c r="AD40" s="182"/>
      <c r="AE40" s="182"/>
      <c r="AF40" s="143"/>
      <c r="AG40" s="144"/>
      <c r="AH40" s="144"/>
      <c r="AI40" s="145"/>
      <c r="AJ40" s="146"/>
      <c r="AK40" s="146"/>
      <c r="AL40" s="146"/>
      <c r="AM40" s="146"/>
      <c r="AN40" s="146"/>
      <c r="AO40" s="146"/>
      <c r="AP40" s="146"/>
      <c r="AQ40" s="146"/>
      <c r="AX40" s="141" t="s">
        <v>362</v>
      </c>
      <c r="AY40" s="141">
        <v>0.80500000000000005</v>
      </c>
      <c r="BA40" s="154" t="s">
        <v>363</v>
      </c>
      <c r="BB40" s="156">
        <v>0.12975000000000003</v>
      </c>
      <c r="BC40" s="155">
        <v>0.15925</v>
      </c>
      <c r="BD40" s="156">
        <v>0.15925</v>
      </c>
      <c r="BE40" s="157">
        <f>AVERAGE(BD$30:BD40)</f>
        <v>0.3436818181818182</v>
      </c>
      <c r="BG40" s="154" t="s">
        <v>363</v>
      </c>
      <c r="BH40" s="154" t="s">
        <v>49</v>
      </c>
      <c r="BI40" s="141">
        <f t="shared" si="29"/>
        <v>264</v>
      </c>
      <c r="BJ40" s="155">
        <f t="shared" si="27"/>
        <v>0.15925</v>
      </c>
      <c r="BK40" s="157">
        <f>AVERAGE(BJ$30:BJ40)</f>
        <v>0.3436818181818182</v>
      </c>
      <c r="BL40" s="141">
        <v>25</v>
      </c>
      <c r="BN40" s="154" t="s">
        <v>361</v>
      </c>
      <c r="BO40" s="154" t="s">
        <v>48</v>
      </c>
      <c r="BP40" s="141">
        <f t="shared" si="30"/>
        <v>144</v>
      </c>
      <c r="BQ40" s="156">
        <v>0.20774999999999999</v>
      </c>
      <c r="BR40" s="157">
        <f>AVERAGE(BQ$35:BQ40)</f>
        <v>0.3914583333333333</v>
      </c>
      <c r="BS40" s="141">
        <v>26</v>
      </c>
    </row>
    <row r="41" spans="1:73" s="141" customFormat="1" ht="18" customHeight="1">
      <c r="A41" s="140"/>
      <c r="B41" s="140"/>
      <c r="C41" s="183"/>
      <c r="D41" s="183"/>
      <c r="E41" s="183"/>
      <c r="F41" s="183"/>
      <c r="G41" s="183"/>
      <c r="H41" s="183"/>
      <c r="I41" s="182"/>
      <c r="J41" s="182"/>
      <c r="K41" s="182"/>
      <c r="L41" s="182"/>
      <c r="M41" s="140"/>
      <c r="N41" s="140"/>
      <c r="O41" s="140"/>
      <c r="P41" s="184"/>
      <c r="Q41" s="184"/>
      <c r="R41" s="184"/>
      <c r="S41" s="184"/>
      <c r="T41" s="184"/>
      <c r="U41" s="184"/>
      <c r="V41" s="184"/>
      <c r="W41" s="182"/>
      <c r="X41" s="182"/>
      <c r="Y41" s="182"/>
      <c r="Z41" s="182"/>
      <c r="AA41" s="182"/>
      <c r="AB41" s="182"/>
      <c r="AC41" s="182"/>
      <c r="AD41" s="182"/>
      <c r="AE41" s="182"/>
      <c r="AF41" s="143"/>
      <c r="AG41" s="144"/>
      <c r="AH41" s="144"/>
      <c r="AI41" s="145"/>
      <c r="AJ41" s="146"/>
      <c r="AK41" s="146"/>
      <c r="AL41" s="146"/>
      <c r="AM41" s="146"/>
      <c r="AN41" s="146"/>
      <c r="AO41" s="146"/>
      <c r="AP41" s="146"/>
      <c r="AQ41" s="146"/>
      <c r="AX41" s="141" t="s">
        <v>364</v>
      </c>
      <c r="AY41" s="141">
        <v>0.81</v>
      </c>
      <c r="BA41" s="154" t="s">
        <v>365</v>
      </c>
      <c r="BB41" s="155">
        <v>0.15200000000000002</v>
      </c>
      <c r="BC41" s="156">
        <v>0.13724999999999998</v>
      </c>
      <c r="BD41" s="156">
        <v>0.15200000000000002</v>
      </c>
      <c r="BE41" s="157">
        <f>AVERAGE(BD$30:BD41)</f>
        <v>0.32770833333333332</v>
      </c>
      <c r="BG41" s="154" t="s">
        <v>365</v>
      </c>
      <c r="BH41" s="154" t="s">
        <v>48</v>
      </c>
      <c r="BI41" s="141">
        <f t="shared" si="29"/>
        <v>288</v>
      </c>
      <c r="BJ41" s="155">
        <f t="shared" si="27"/>
        <v>0.15200000000000002</v>
      </c>
      <c r="BK41" s="157">
        <f>AVERAGE(BJ$30:BJ41)</f>
        <v>0.32770833333333332</v>
      </c>
      <c r="BL41" s="141">
        <v>25</v>
      </c>
      <c r="BN41" s="154" t="s">
        <v>365</v>
      </c>
      <c r="BO41" s="154" t="s">
        <v>48</v>
      </c>
      <c r="BP41" s="141">
        <f t="shared" si="30"/>
        <v>168</v>
      </c>
      <c r="BQ41" s="156">
        <v>0.15200000000000002</v>
      </c>
      <c r="BR41" s="157">
        <f>AVERAGE(BQ$35:BQ41)</f>
        <v>0.35725000000000001</v>
      </c>
      <c r="BS41" s="141">
        <v>25</v>
      </c>
    </row>
    <row r="42" spans="1:73" s="141" customFormat="1" ht="18" customHeight="1">
      <c r="A42" s="140"/>
      <c r="B42" s="140"/>
      <c r="C42" s="140"/>
      <c r="D42" s="185"/>
      <c r="E42" s="185"/>
      <c r="F42" s="186"/>
      <c r="G42" s="186"/>
      <c r="H42" s="187"/>
      <c r="I42" s="187"/>
      <c r="J42" s="187"/>
      <c r="K42" s="187"/>
      <c r="L42" s="187"/>
      <c r="M42" s="140"/>
      <c r="N42" s="140"/>
      <c r="O42" s="140"/>
      <c r="Q42" s="140"/>
      <c r="R42" s="140"/>
      <c r="S42" s="140"/>
      <c r="T42" s="140"/>
      <c r="U42" s="140"/>
      <c r="V42" s="140"/>
      <c r="W42" s="185"/>
      <c r="X42" s="185"/>
      <c r="Y42" s="185"/>
      <c r="Z42" s="185"/>
      <c r="AA42" s="185"/>
      <c r="AB42" s="185"/>
      <c r="AC42" s="188"/>
      <c r="AD42" s="188"/>
      <c r="AE42" s="188"/>
      <c r="AF42" s="143"/>
      <c r="AG42" s="144"/>
      <c r="AH42" s="144"/>
      <c r="AI42" s="145"/>
      <c r="AJ42" s="146"/>
      <c r="AK42" s="146"/>
      <c r="AL42" s="146"/>
      <c r="AM42" s="146"/>
      <c r="AN42" s="146"/>
      <c r="AO42" s="146"/>
      <c r="AP42" s="146"/>
      <c r="AQ42" s="146"/>
      <c r="AX42" s="141" t="s">
        <v>366</v>
      </c>
      <c r="AY42" s="141">
        <v>0.81499999999999995</v>
      </c>
      <c r="BA42" s="154" t="s">
        <v>367</v>
      </c>
      <c r="BB42" s="156">
        <f>_xlfn.AGGREGATE(1,5,BB30:BB41)</f>
        <v>0.2265625</v>
      </c>
      <c r="BC42" s="156">
        <f>_xlfn.AGGREGATE(1,5,BC30:BC41)</f>
        <v>0.14433333333333331</v>
      </c>
      <c r="BD42" s="156">
        <f>_xlfn.AGGREGATE(1,5,BD30:BD41)</f>
        <v>0.32770833333333332</v>
      </c>
      <c r="BG42" s="154" t="s">
        <v>367</v>
      </c>
      <c r="BI42" s="163">
        <f>_xlfn.AGGREGATE(1,5,BI30:BI41)</f>
        <v>156</v>
      </c>
      <c r="BJ42" s="156">
        <f>_xlfn.AGGREGATE(1,5,BJ30:BJ41)</f>
        <v>0.32770833333333332</v>
      </c>
      <c r="BL42" s="163">
        <f>SUM(BL30:BL41)</f>
        <v>291</v>
      </c>
      <c r="BN42" s="154" t="s">
        <v>367</v>
      </c>
      <c r="BP42" s="163">
        <f>_xlfn.AGGREGATE(1,5,BP29:BP33)+_xlfn.AGGREGATE(1,5,BP35:BP41)</f>
        <v>168</v>
      </c>
      <c r="BQ42" s="156">
        <f>_xlfn.AGGREGATE(1,5,BQ29:BQ33,BQ35:BQ41)</f>
        <v>0.32770833333333332</v>
      </c>
      <c r="BS42" s="163">
        <f>SUM(BS29:BS41)</f>
        <v>291</v>
      </c>
    </row>
    <row r="43" spans="1:73" s="141" customFormat="1" ht="18" customHeight="1">
      <c r="A43" s="189"/>
      <c r="B43" s="190"/>
      <c r="C43" s="182"/>
      <c r="D43" s="182"/>
      <c r="E43" s="182"/>
      <c r="F43" s="182"/>
      <c r="G43" s="182"/>
      <c r="H43" s="182"/>
      <c r="I43" s="182"/>
      <c r="J43" s="182"/>
      <c r="K43" s="182"/>
      <c r="L43" s="182"/>
      <c r="P43" s="182"/>
      <c r="Q43" s="182"/>
      <c r="R43" s="182"/>
      <c r="S43" s="182"/>
      <c r="T43" s="182"/>
      <c r="U43" s="182"/>
      <c r="V43" s="182"/>
      <c r="W43" s="182"/>
      <c r="X43" s="182"/>
      <c r="Y43" s="182"/>
      <c r="Z43" s="182"/>
      <c r="AA43" s="182"/>
      <c r="AB43" s="182"/>
      <c r="AF43" s="143"/>
      <c r="AG43" s="144"/>
      <c r="AH43" s="144"/>
      <c r="AI43" s="145"/>
      <c r="AJ43" s="146"/>
      <c r="AK43" s="146"/>
      <c r="AL43" s="146"/>
      <c r="AM43" s="146"/>
      <c r="AN43" s="146"/>
      <c r="AO43" s="146"/>
      <c r="AP43" s="146"/>
      <c r="AQ43" s="146"/>
      <c r="AX43" s="141" t="s">
        <v>368</v>
      </c>
      <c r="AY43" s="141">
        <v>0.82</v>
      </c>
    </row>
    <row r="44" spans="1:73" s="141" customFormat="1" ht="15" customHeight="1">
      <c r="A44" s="189"/>
      <c r="B44" s="193"/>
      <c r="C44" s="194"/>
      <c r="D44" s="194"/>
      <c r="E44" s="194"/>
      <c r="F44" s="194"/>
      <c r="G44" s="194"/>
      <c r="H44" s="194"/>
      <c r="I44" s="195"/>
      <c r="J44" s="195"/>
      <c r="K44" s="195"/>
      <c r="L44" s="195"/>
      <c r="M44" s="182"/>
      <c r="N44" s="182"/>
      <c r="O44" s="182"/>
      <c r="P44" s="194"/>
      <c r="Q44" s="194"/>
      <c r="R44" s="194"/>
      <c r="S44" s="194"/>
      <c r="T44" s="194"/>
      <c r="U44" s="194"/>
      <c r="V44" s="194"/>
      <c r="W44" s="195"/>
      <c r="X44" s="195"/>
      <c r="Y44" s="195"/>
      <c r="Z44" s="195"/>
      <c r="AA44" s="195"/>
      <c r="AB44" s="195"/>
      <c r="AC44" s="182"/>
      <c r="AD44" s="182"/>
      <c r="AE44" s="182"/>
      <c r="AF44" s="143"/>
      <c r="AG44" s="144"/>
      <c r="AH44" s="144"/>
      <c r="AI44" s="145"/>
      <c r="AJ44" s="146"/>
      <c r="AK44" s="146"/>
      <c r="AL44" s="146"/>
      <c r="AM44" s="146"/>
      <c r="AN44" s="146"/>
      <c r="AO44" s="146"/>
      <c r="AP44" s="146"/>
      <c r="AQ44" s="146"/>
      <c r="AX44" s="141" t="s">
        <v>369</v>
      </c>
      <c r="AY44" s="141">
        <v>0.82499999999999996</v>
      </c>
    </row>
    <row r="45" spans="1:73" s="141" customFormat="1" ht="15" customHeight="1">
      <c r="A45" s="196"/>
      <c r="B45" s="196"/>
      <c r="C45" s="194"/>
      <c r="D45" s="194"/>
      <c r="E45" s="194"/>
      <c r="F45" s="194"/>
      <c r="G45" s="194"/>
      <c r="H45" s="194"/>
      <c r="I45" s="195"/>
      <c r="J45" s="195"/>
      <c r="K45" s="195"/>
      <c r="L45" s="195"/>
      <c r="M45" s="182"/>
      <c r="N45" s="182"/>
      <c r="O45" s="182"/>
      <c r="P45" s="194"/>
      <c r="Q45" s="194"/>
      <c r="R45" s="194"/>
      <c r="S45" s="194"/>
      <c r="T45" s="194"/>
      <c r="U45" s="194"/>
      <c r="V45" s="194"/>
      <c r="W45" s="195"/>
      <c r="X45" s="195"/>
      <c r="Y45" s="195"/>
      <c r="Z45" s="195"/>
      <c r="AA45" s="195"/>
      <c r="AB45" s="195"/>
      <c r="AC45" s="182"/>
      <c r="AD45" s="182"/>
      <c r="AE45" s="182"/>
      <c r="AF45" s="143"/>
      <c r="AG45" s="144"/>
      <c r="AH45" s="144"/>
      <c r="AI45" s="145"/>
      <c r="AJ45" s="146"/>
      <c r="AK45" s="146"/>
      <c r="AL45" s="146"/>
      <c r="AM45" s="146"/>
      <c r="AN45" s="146"/>
      <c r="AO45" s="146"/>
      <c r="AP45" s="146"/>
      <c r="AQ45" s="146"/>
      <c r="AX45" s="141" t="s">
        <v>370</v>
      </c>
      <c r="AY45" s="141">
        <v>0.83</v>
      </c>
      <c r="BN45" s="141" t="s">
        <v>371</v>
      </c>
    </row>
    <row r="46" spans="1:73" s="141" customFormat="1" ht="15" customHeight="1">
      <c r="B46" s="182"/>
      <c r="AF46" s="143"/>
      <c r="AG46" s="144"/>
      <c r="AH46" s="144"/>
      <c r="AI46" s="145"/>
      <c r="AJ46" s="146"/>
      <c r="AK46" s="146"/>
      <c r="AL46" s="146"/>
      <c r="AM46" s="146"/>
      <c r="AN46" s="146"/>
      <c r="AO46" s="146"/>
      <c r="AP46" s="146"/>
      <c r="AQ46" s="146"/>
      <c r="AX46" s="141" t="s">
        <v>372</v>
      </c>
      <c r="AY46" s="141">
        <v>0.83499999999999996</v>
      </c>
      <c r="BC46" s="141" t="s">
        <v>499</v>
      </c>
      <c r="BD46" s="141" t="s">
        <v>374</v>
      </c>
      <c r="BI46" s="141" t="s">
        <v>375</v>
      </c>
      <c r="BO46" s="141" t="s">
        <v>374</v>
      </c>
      <c r="BQ46" s="141" t="s">
        <v>376</v>
      </c>
      <c r="BU46" s="141" t="s">
        <v>428</v>
      </c>
    </row>
    <row r="47" spans="1:73" s="141" customFormat="1" ht="15" customHeight="1">
      <c r="A47" s="137"/>
      <c r="B47" s="137"/>
      <c r="P47" s="197"/>
      <c r="Q47" s="197"/>
      <c r="R47" s="197"/>
      <c r="S47" s="197"/>
      <c r="T47" s="197"/>
      <c r="U47" s="197"/>
      <c r="V47" s="197"/>
      <c r="W47" s="197"/>
      <c r="X47" s="197"/>
      <c r="AF47" s="143"/>
      <c r="AG47" s="144"/>
      <c r="AH47" s="144"/>
      <c r="AI47" s="145"/>
      <c r="AJ47" s="146"/>
      <c r="AK47" s="146"/>
      <c r="AL47" s="146"/>
      <c r="AM47" s="146"/>
      <c r="AN47" s="146"/>
      <c r="AO47" s="146"/>
      <c r="AP47" s="146"/>
      <c r="AQ47" s="146"/>
      <c r="AX47" s="141" t="s">
        <v>377</v>
      </c>
      <c r="AY47" s="141">
        <v>0.84</v>
      </c>
      <c r="BD47" s="141" t="s">
        <v>337</v>
      </c>
      <c r="BE47" s="141" t="s">
        <v>338</v>
      </c>
      <c r="BF47" s="169" t="s">
        <v>337</v>
      </c>
      <c r="BG47" s="170" t="s">
        <v>338</v>
      </c>
      <c r="BH47" s="141" t="s">
        <v>378</v>
      </c>
      <c r="BI47" s="141" t="s">
        <v>337</v>
      </c>
      <c r="BJ47" s="141" t="s">
        <v>338</v>
      </c>
      <c r="BK47" s="169" t="s">
        <v>337</v>
      </c>
      <c r="BL47" s="170" t="s">
        <v>338</v>
      </c>
      <c r="BM47" s="141" t="s">
        <v>378</v>
      </c>
      <c r="BO47" s="141" t="s">
        <v>337</v>
      </c>
      <c r="BP47" s="141" t="s">
        <v>338</v>
      </c>
      <c r="BQ47" s="141" t="s">
        <v>337</v>
      </c>
      <c r="BR47" s="141" t="s">
        <v>338</v>
      </c>
      <c r="BT47" s="141" t="s">
        <v>383</v>
      </c>
      <c r="BU47" s="141" t="s">
        <v>436</v>
      </c>
    </row>
    <row r="48" spans="1:73" s="141" customFormat="1" ht="15" customHeight="1">
      <c r="A48" s="137"/>
      <c r="B48" s="137"/>
      <c r="O48" s="154"/>
      <c r="P48" s="198"/>
      <c r="Q48" s="198"/>
      <c r="R48" s="198"/>
      <c r="S48" s="198"/>
      <c r="T48" s="198"/>
      <c r="U48" s="198"/>
      <c r="V48" s="182"/>
      <c r="W48" s="182"/>
      <c r="X48" s="182"/>
      <c r="AF48" s="143"/>
      <c r="AG48" s="144"/>
      <c r="AH48" s="144"/>
      <c r="AI48" s="145"/>
      <c r="AJ48" s="146"/>
      <c r="AK48" s="146"/>
      <c r="AL48" s="146"/>
      <c r="AM48" s="146"/>
      <c r="AN48" s="146"/>
      <c r="AO48" s="146"/>
      <c r="AP48" s="146"/>
      <c r="AQ48" s="146"/>
      <c r="AX48" s="141" t="s">
        <v>379</v>
      </c>
      <c r="AY48" s="141">
        <v>0.84499999999999997</v>
      </c>
      <c r="BD48" s="141" t="s">
        <v>380</v>
      </c>
      <c r="BE48" s="141" t="s">
        <v>380</v>
      </c>
      <c r="BF48" s="172" t="s">
        <v>381</v>
      </c>
      <c r="BG48" s="173" t="s">
        <v>381</v>
      </c>
      <c r="BH48" s="141" t="s">
        <v>381</v>
      </c>
      <c r="BI48" s="141" t="s">
        <v>380</v>
      </c>
      <c r="BJ48" s="141" t="s">
        <v>380</v>
      </c>
      <c r="BK48" s="172" t="s">
        <v>381</v>
      </c>
      <c r="BL48" s="173" t="s">
        <v>381</v>
      </c>
      <c r="BM48" s="141" t="s">
        <v>381</v>
      </c>
      <c r="BO48" s="141" t="s">
        <v>380</v>
      </c>
      <c r="BP48" s="141" t="s">
        <v>381</v>
      </c>
      <c r="BQ48" s="141" t="s">
        <v>380</v>
      </c>
      <c r="BR48" s="141" t="s">
        <v>381</v>
      </c>
      <c r="BT48" s="141" t="s">
        <v>385</v>
      </c>
      <c r="BU48" s="141">
        <v>1996</v>
      </c>
    </row>
    <row r="49" spans="1:73" s="141" customFormat="1" ht="15" customHeight="1">
      <c r="A49" s="137"/>
      <c r="B49" s="137"/>
      <c r="P49" s="198"/>
      <c r="Q49" s="198"/>
      <c r="R49" s="198"/>
      <c r="S49" s="198"/>
      <c r="T49" s="198"/>
      <c r="U49" s="198"/>
      <c r="V49" s="182"/>
      <c r="W49" s="182"/>
      <c r="X49" s="182"/>
      <c r="AF49" s="143"/>
      <c r="AG49" s="144"/>
      <c r="AH49" s="144"/>
      <c r="AI49" s="145"/>
      <c r="AJ49" s="146"/>
      <c r="AK49" s="146"/>
      <c r="AL49" s="146"/>
      <c r="AM49" s="146"/>
      <c r="AN49" s="146"/>
      <c r="AO49" s="146"/>
      <c r="AP49" s="146"/>
      <c r="AQ49" s="146"/>
      <c r="AX49" s="141" t="s">
        <v>382</v>
      </c>
      <c r="AY49" s="141">
        <v>0.85</v>
      </c>
      <c r="BB49" s="141" t="s">
        <v>383</v>
      </c>
      <c r="BC49" s="141">
        <v>1995</v>
      </c>
      <c r="BD49" s="141">
        <v>1</v>
      </c>
      <c r="BE49" s="176">
        <v>1</v>
      </c>
      <c r="BF49" s="245">
        <v>4.9299999999999997E-2</v>
      </c>
      <c r="BG49" s="246">
        <v>4.9299999999999997E-2</v>
      </c>
      <c r="BH49" s="176">
        <f>(BF49+BG49)/2</f>
        <v>4.9299999999999997E-2</v>
      </c>
      <c r="BI49" s="237">
        <v>0.78700000000000003</v>
      </c>
      <c r="BJ49" s="238">
        <v>0.68200000000000005</v>
      </c>
      <c r="BK49" s="247">
        <v>0.94269999999999998</v>
      </c>
      <c r="BL49" s="248">
        <v>0.871</v>
      </c>
      <c r="BM49" s="176">
        <f>(BK49+BL49)/2</f>
        <v>0.90684999999999993</v>
      </c>
      <c r="BO49" s="141">
        <v>0.25</v>
      </c>
      <c r="BP49" s="141">
        <v>0.25</v>
      </c>
      <c r="BQ49" s="141">
        <v>0.75</v>
      </c>
      <c r="BR49" s="141">
        <v>0.75</v>
      </c>
      <c r="BT49" s="141" t="s">
        <v>387</v>
      </c>
      <c r="BU49" s="141">
        <v>1997</v>
      </c>
    </row>
    <row r="50" spans="1:73" s="141" customFormat="1" ht="15" customHeight="1">
      <c r="A50" s="137"/>
      <c r="B50" s="137"/>
      <c r="P50" s="199"/>
      <c r="R50" s="200"/>
      <c r="AF50" s="143"/>
      <c r="AG50" s="144"/>
      <c r="AH50" s="144"/>
      <c r="AI50" s="145"/>
      <c r="AJ50" s="146"/>
      <c r="AK50" s="146"/>
      <c r="AL50" s="146"/>
      <c r="AM50" s="146"/>
      <c r="AN50" s="146"/>
      <c r="AO50" s="146"/>
      <c r="AP50" s="146"/>
      <c r="AQ50" s="146"/>
      <c r="AX50" s="141" t="s">
        <v>384</v>
      </c>
      <c r="AY50" s="141">
        <v>0.85499999999999998</v>
      </c>
      <c r="BB50" s="141" t="s">
        <v>385</v>
      </c>
      <c r="BC50" s="141">
        <v>1996</v>
      </c>
      <c r="BD50" s="141">
        <v>1</v>
      </c>
      <c r="BE50" s="176">
        <v>1</v>
      </c>
      <c r="BF50" s="239">
        <v>3.8639999999999994E-2</v>
      </c>
      <c r="BG50" s="240">
        <v>3.8639999999999994E-2</v>
      </c>
      <c r="BH50" s="176">
        <f t="shared" ref="BH50:BH73" si="31">(BF50+BG50)/2</f>
        <v>3.8639999999999994E-2</v>
      </c>
      <c r="BI50" s="176">
        <f>BI49+(BI$59-BI$49)/10</f>
        <v>0.77900000000000003</v>
      </c>
      <c r="BJ50" s="176">
        <f>BJ49+(BJ$59-BJ$49)/10</f>
        <v>0.67910000000000004</v>
      </c>
      <c r="BK50" s="177">
        <v>0.95243</v>
      </c>
      <c r="BL50" s="178">
        <v>0.88790000000000002</v>
      </c>
      <c r="BM50" s="176">
        <f t="shared" ref="BM50:BM73" si="32">(BK50+BL50)/2</f>
        <v>0.92016500000000001</v>
      </c>
      <c r="BO50" s="141">
        <v>0.25</v>
      </c>
      <c r="BP50" s="141">
        <v>0.25</v>
      </c>
      <c r="BQ50" s="141">
        <v>0.75</v>
      </c>
      <c r="BR50" s="141">
        <v>0.75</v>
      </c>
      <c r="BT50" s="141" t="s">
        <v>389</v>
      </c>
      <c r="BU50" s="141">
        <v>1998</v>
      </c>
    </row>
    <row r="51" spans="1:73" s="141" customFormat="1" ht="15" customHeight="1">
      <c r="A51" s="137"/>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43"/>
      <c r="AG51" s="144"/>
      <c r="AH51" s="144"/>
      <c r="AI51" s="145"/>
      <c r="AJ51" s="146"/>
      <c r="AK51" s="146"/>
      <c r="AL51" s="146"/>
      <c r="AM51" s="146"/>
      <c r="AN51" s="146"/>
      <c r="AO51" s="146"/>
      <c r="AP51" s="146"/>
      <c r="AQ51" s="146"/>
      <c r="AX51" s="141" t="s">
        <v>386</v>
      </c>
      <c r="AY51" s="141">
        <v>0.86</v>
      </c>
      <c r="BB51" s="141" t="s">
        <v>387</v>
      </c>
      <c r="BC51" s="141">
        <v>1997</v>
      </c>
      <c r="BD51" s="141">
        <v>1</v>
      </c>
      <c r="BE51" s="176">
        <v>1</v>
      </c>
      <c r="BF51" s="239">
        <v>2.7979999999999994E-2</v>
      </c>
      <c r="BG51" s="240">
        <v>2.7979999999999994E-2</v>
      </c>
      <c r="BH51" s="176">
        <f t="shared" si="31"/>
        <v>2.7979999999999994E-2</v>
      </c>
      <c r="BI51" s="176">
        <f t="shared" ref="BI51:BI58" si="33">BI50+(BI$59-BI$49)/10</f>
        <v>0.77100000000000002</v>
      </c>
      <c r="BJ51" s="176">
        <f t="shared" ref="BJ51:BJ58" si="34">BJ50+(BJ$59-BJ$49)/10</f>
        <v>0.67620000000000002</v>
      </c>
      <c r="BK51" s="177">
        <v>0.96216000000000002</v>
      </c>
      <c r="BL51" s="178">
        <v>0.90480000000000005</v>
      </c>
      <c r="BM51" s="176">
        <f t="shared" si="32"/>
        <v>0.93348000000000009</v>
      </c>
      <c r="BT51" s="141" t="s">
        <v>391</v>
      </c>
      <c r="BU51" s="141">
        <v>1999</v>
      </c>
    </row>
    <row r="52" spans="1:73" s="141" customFormat="1" ht="15" customHeight="1">
      <c r="A52" s="137"/>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43"/>
      <c r="AG52" s="144"/>
      <c r="AH52" s="144"/>
      <c r="AI52" s="145"/>
      <c r="AJ52" s="146"/>
      <c r="AK52" s="146"/>
      <c r="AL52" s="146"/>
      <c r="AM52" s="146"/>
      <c r="AN52" s="146"/>
      <c r="AO52" s="146"/>
      <c r="AP52" s="146"/>
      <c r="AQ52" s="146"/>
      <c r="AX52" s="141" t="s">
        <v>388</v>
      </c>
      <c r="AY52" s="141">
        <v>0.86499999999999999</v>
      </c>
      <c r="BB52" s="141" t="s">
        <v>389</v>
      </c>
      <c r="BC52" s="141">
        <v>1998</v>
      </c>
      <c r="BD52" s="141">
        <v>1</v>
      </c>
      <c r="BE52" s="176">
        <v>1</v>
      </c>
      <c r="BF52" s="239">
        <v>1.7319999999999995E-2</v>
      </c>
      <c r="BG52" s="240">
        <v>1.7319999999999995E-2</v>
      </c>
      <c r="BH52" s="176">
        <f t="shared" si="31"/>
        <v>1.7319999999999995E-2</v>
      </c>
      <c r="BI52" s="176">
        <f t="shared" si="33"/>
        <v>0.76300000000000001</v>
      </c>
      <c r="BJ52" s="176">
        <f t="shared" si="34"/>
        <v>0.67330000000000001</v>
      </c>
      <c r="BK52" s="177">
        <v>0.97189000000000003</v>
      </c>
      <c r="BL52" s="178">
        <v>0.92170000000000007</v>
      </c>
      <c r="BM52" s="176">
        <f t="shared" si="32"/>
        <v>0.94679500000000005</v>
      </c>
      <c r="BT52" s="141" t="s">
        <v>393</v>
      </c>
      <c r="BU52" s="141">
        <v>2000</v>
      </c>
    </row>
    <row r="53" spans="1:73" s="141" customFormat="1" ht="15" customHeight="1">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43"/>
      <c r="AG53" s="144"/>
      <c r="AH53" s="144"/>
      <c r="AI53" s="145"/>
      <c r="AJ53" s="146"/>
      <c r="AK53" s="146"/>
      <c r="AL53" s="146"/>
      <c r="AM53" s="146"/>
      <c r="AN53" s="146"/>
      <c r="AO53" s="146"/>
      <c r="AP53" s="146"/>
      <c r="AQ53" s="146"/>
      <c r="AX53" s="141" t="s">
        <v>390</v>
      </c>
      <c r="AY53" s="141">
        <v>0.87</v>
      </c>
      <c r="BB53" s="141" t="s">
        <v>391</v>
      </c>
      <c r="BC53" s="141">
        <v>1999</v>
      </c>
      <c r="BD53" s="141">
        <v>1</v>
      </c>
      <c r="BE53" s="176">
        <v>1</v>
      </c>
      <c r="BF53" s="239">
        <v>6.6599999999999958E-3</v>
      </c>
      <c r="BG53" s="240">
        <v>6.6599999999999958E-3</v>
      </c>
      <c r="BH53" s="176">
        <f t="shared" si="31"/>
        <v>6.6599999999999958E-3</v>
      </c>
      <c r="BI53" s="176">
        <f t="shared" si="33"/>
        <v>0.755</v>
      </c>
      <c r="BJ53" s="176">
        <f t="shared" si="34"/>
        <v>0.6704</v>
      </c>
      <c r="BK53" s="177">
        <v>0.98162000000000005</v>
      </c>
      <c r="BL53" s="178">
        <v>0.9386000000000001</v>
      </c>
      <c r="BM53" s="176">
        <f t="shared" si="32"/>
        <v>0.96011000000000002</v>
      </c>
      <c r="BT53" s="141" t="s">
        <v>395</v>
      </c>
      <c r="BU53" s="141">
        <v>2001</v>
      </c>
    </row>
    <row r="54" spans="1:73" s="141" customFormat="1" ht="15" customHeight="1">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43"/>
      <c r="AG54" s="144"/>
      <c r="AH54" s="144"/>
      <c r="AI54" s="145"/>
      <c r="AJ54" s="146"/>
      <c r="AK54" s="146"/>
      <c r="AL54" s="146"/>
      <c r="AM54" s="146"/>
      <c r="AN54" s="146"/>
      <c r="AO54" s="146"/>
      <c r="AP54" s="146"/>
      <c r="AQ54" s="146"/>
      <c r="AX54" s="141" t="s">
        <v>392</v>
      </c>
      <c r="AY54" s="141">
        <v>0.875</v>
      </c>
      <c r="BB54" s="141" t="s">
        <v>393</v>
      </c>
      <c r="BC54" s="141">
        <v>2000</v>
      </c>
      <c r="BD54" s="141">
        <v>1</v>
      </c>
      <c r="BE54" s="176">
        <v>1</v>
      </c>
      <c r="BF54" s="239">
        <v>-4.0000000000000036E-3</v>
      </c>
      <c r="BG54" s="240">
        <v>-4.0000000000000036E-3</v>
      </c>
      <c r="BH54" s="176">
        <f t="shared" si="31"/>
        <v>-4.0000000000000036E-3</v>
      </c>
      <c r="BI54" s="176">
        <f t="shared" si="33"/>
        <v>0.747</v>
      </c>
      <c r="BJ54" s="176">
        <f t="shared" si="34"/>
        <v>0.66749999999999998</v>
      </c>
      <c r="BK54" s="177">
        <v>0.99135000000000006</v>
      </c>
      <c r="BL54" s="178">
        <v>0.95550000000000013</v>
      </c>
      <c r="BM54" s="176">
        <f t="shared" si="32"/>
        <v>0.9734250000000001</v>
      </c>
      <c r="BT54" s="141" t="s">
        <v>396</v>
      </c>
      <c r="BU54" s="141">
        <v>2002</v>
      </c>
    </row>
    <row r="55" spans="1:73" s="141" customFormat="1" ht="15" customHeight="1">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43"/>
      <c r="AG55" s="144"/>
      <c r="AH55" s="144"/>
      <c r="AI55" s="145"/>
      <c r="AJ55" s="146"/>
      <c r="AK55" s="146"/>
      <c r="AL55" s="146"/>
      <c r="AM55" s="146"/>
      <c r="AN55" s="146"/>
      <c r="AO55" s="146"/>
      <c r="AP55" s="146"/>
      <c r="AQ55" s="146"/>
      <c r="AX55" s="141" t="s">
        <v>394</v>
      </c>
      <c r="BB55" s="141" t="s">
        <v>395</v>
      </c>
      <c r="BC55" s="141">
        <v>2001</v>
      </c>
      <c r="BD55" s="141">
        <v>1</v>
      </c>
      <c r="BE55" s="176">
        <v>1</v>
      </c>
      <c r="BF55" s="239">
        <v>-1.4660000000000003E-2</v>
      </c>
      <c r="BG55" s="240">
        <v>-1.4660000000000003E-2</v>
      </c>
      <c r="BH55" s="176">
        <f t="shared" si="31"/>
        <v>-1.4660000000000003E-2</v>
      </c>
      <c r="BI55" s="176">
        <f t="shared" si="33"/>
        <v>0.73899999999999999</v>
      </c>
      <c r="BJ55" s="176">
        <f t="shared" si="34"/>
        <v>0.66459999999999997</v>
      </c>
      <c r="BK55" s="177">
        <v>1.00108</v>
      </c>
      <c r="BL55" s="178">
        <v>0.97240000000000015</v>
      </c>
      <c r="BM55" s="176">
        <f t="shared" si="32"/>
        <v>0.98674000000000006</v>
      </c>
      <c r="BT55" s="141" t="s">
        <v>397</v>
      </c>
      <c r="BU55" s="141">
        <v>2003</v>
      </c>
    </row>
    <row r="56" spans="1:73" s="141" customFormat="1" ht="15" customHeight="1">
      <c r="A56" s="137"/>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43"/>
      <c r="AG56" s="144"/>
      <c r="AH56" s="144"/>
      <c r="AI56" s="145"/>
      <c r="AJ56" s="146"/>
      <c r="AK56" s="146"/>
      <c r="AL56" s="146"/>
      <c r="AM56" s="146"/>
      <c r="AN56" s="146"/>
      <c r="AO56" s="146"/>
      <c r="AP56" s="146"/>
      <c r="AQ56" s="146"/>
      <c r="AX56" s="141" t="s">
        <v>383</v>
      </c>
      <c r="AY56" s="141">
        <v>0.88</v>
      </c>
      <c r="BB56" s="141" t="s">
        <v>396</v>
      </c>
      <c r="BC56" s="141">
        <v>2002</v>
      </c>
      <c r="BD56" s="141">
        <v>1</v>
      </c>
      <c r="BE56" s="176">
        <v>1</v>
      </c>
      <c r="BF56" s="239">
        <v>-2.5320000000000002E-2</v>
      </c>
      <c r="BG56" s="240">
        <v>-2.5320000000000002E-2</v>
      </c>
      <c r="BH56" s="176">
        <f t="shared" si="31"/>
        <v>-2.5320000000000002E-2</v>
      </c>
      <c r="BI56" s="176">
        <f t="shared" si="33"/>
        <v>0.73099999999999998</v>
      </c>
      <c r="BJ56" s="176">
        <f t="shared" si="34"/>
        <v>0.66169999999999995</v>
      </c>
      <c r="BK56" s="177">
        <v>1.01081</v>
      </c>
      <c r="BL56" s="178">
        <v>0.98930000000000018</v>
      </c>
      <c r="BM56" s="176">
        <f t="shared" si="32"/>
        <v>1.0000550000000001</v>
      </c>
      <c r="BT56" s="141" t="s">
        <v>398</v>
      </c>
      <c r="BU56" s="141">
        <v>2004</v>
      </c>
    </row>
    <row r="57" spans="1:73" s="141" customFormat="1" ht="15" customHeight="1">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43"/>
      <c r="AG57" s="144"/>
      <c r="AH57" s="144"/>
      <c r="AI57" s="145"/>
      <c r="AJ57" s="146"/>
      <c r="AK57" s="146"/>
      <c r="AL57" s="146"/>
      <c r="AM57" s="146"/>
      <c r="AN57" s="146"/>
      <c r="AO57" s="146"/>
      <c r="AP57" s="146"/>
      <c r="AQ57" s="146"/>
      <c r="AX57" s="141" t="s">
        <v>385</v>
      </c>
      <c r="AY57" s="141">
        <v>0.88500000000000001</v>
      </c>
      <c r="BB57" s="141" t="s">
        <v>397</v>
      </c>
      <c r="BC57" s="141">
        <v>2003</v>
      </c>
      <c r="BD57" s="141">
        <v>1</v>
      </c>
      <c r="BE57" s="176">
        <v>1</v>
      </c>
      <c r="BF57" s="239">
        <v>-3.5979999999999998E-2</v>
      </c>
      <c r="BG57" s="240">
        <v>-3.5979999999999998E-2</v>
      </c>
      <c r="BH57" s="176">
        <f t="shared" si="31"/>
        <v>-3.5979999999999998E-2</v>
      </c>
      <c r="BI57" s="176">
        <f t="shared" si="33"/>
        <v>0.72299999999999998</v>
      </c>
      <c r="BJ57" s="176">
        <f t="shared" si="34"/>
        <v>0.65879999999999994</v>
      </c>
      <c r="BK57" s="177">
        <v>1.02054</v>
      </c>
      <c r="BL57" s="178">
        <v>1.0062000000000002</v>
      </c>
      <c r="BM57" s="176">
        <f t="shared" si="32"/>
        <v>1.0133700000000001</v>
      </c>
      <c r="BT57" s="141" t="s">
        <v>399</v>
      </c>
      <c r="BU57" s="141">
        <v>2005</v>
      </c>
    </row>
    <row r="58" spans="1:73" s="141" customFormat="1" ht="15" customHeight="1">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43"/>
      <c r="AG58" s="144"/>
      <c r="AH58" s="144"/>
      <c r="AI58" s="145"/>
      <c r="AJ58" s="146"/>
      <c r="AK58" s="146"/>
      <c r="AL58" s="146"/>
      <c r="AM58" s="146"/>
      <c r="AN58" s="146"/>
      <c r="AO58" s="146"/>
      <c r="AP58" s="146"/>
      <c r="AQ58" s="146"/>
      <c r="AX58" s="141" t="s">
        <v>387</v>
      </c>
      <c r="AY58" s="141">
        <v>0.89</v>
      </c>
      <c r="BB58" s="141" t="s">
        <v>398</v>
      </c>
      <c r="BC58" s="141">
        <v>2004</v>
      </c>
      <c r="BD58" s="141">
        <v>1</v>
      </c>
      <c r="BE58" s="176">
        <v>1</v>
      </c>
      <c r="BF58" s="239">
        <v>-4.6640000000000001E-2</v>
      </c>
      <c r="BG58" s="240">
        <v>-4.6640000000000001E-2</v>
      </c>
      <c r="BH58" s="176">
        <f t="shared" si="31"/>
        <v>-4.6640000000000001E-2</v>
      </c>
      <c r="BI58" s="176">
        <f t="shared" si="33"/>
        <v>0.71499999999999997</v>
      </c>
      <c r="BJ58" s="176">
        <f t="shared" si="34"/>
        <v>0.65589999999999993</v>
      </c>
      <c r="BK58" s="177">
        <v>1.03027</v>
      </c>
      <c r="BL58" s="178">
        <v>1.0231000000000001</v>
      </c>
      <c r="BM58" s="176">
        <f t="shared" si="32"/>
        <v>1.0266850000000001</v>
      </c>
      <c r="BT58" s="141" t="s">
        <v>400</v>
      </c>
      <c r="BU58" s="141">
        <v>2006</v>
      </c>
    </row>
    <row r="59" spans="1:73" s="141" customFormat="1" ht="15" customHeight="1">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43"/>
      <c r="AG59" s="144"/>
      <c r="AH59" s="144"/>
      <c r="AI59" s="145"/>
      <c r="AJ59" s="146"/>
      <c r="AK59" s="146"/>
      <c r="AL59" s="146"/>
      <c r="AM59" s="146"/>
      <c r="AN59" s="146"/>
      <c r="AO59" s="146"/>
      <c r="AP59" s="146"/>
      <c r="AQ59" s="146"/>
      <c r="AX59" s="141" t="s">
        <v>389</v>
      </c>
      <c r="AY59" s="141">
        <v>0.89500000000000002</v>
      </c>
      <c r="BB59" s="141" t="s">
        <v>399</v>
      </c>
      <c r="BC59" s="141">
        <v>2005</v>
      </c>
      <c r="BD59" s="141">
        <v>1</v>
      </c>
      <c r="BE59" s="176">
        <v>1</v>
      </c>
      <c r="BF59" s="245">
        <v>-5.7299999999999997E-2</v>
      </c>
      <c r="BG59" s="246">
        <v>-5.7299999999999997E-2</v>
      </c>
      <c r="BH59" s="176">
        <f t="shared" si="31"/>
        <v>-5.7299999999999997E-2</v>
      </c>
      <c r="BI59" s="237">
        <v>0.70699999999999996</v>
      </c>
      <c r="BJ59" s="237">
        <v>0.65300000000000002</v>
      </c>
      <c r="BK59" s="247">
        <v>1.04</v>
      </c>
      <c r="BL59" s="248">
        <v>1.04</v>
      </c>
      <c r="BM59" s="176">
        <f t="shared" si="32"/>
        <v>1.04</v>
      </c>
      <c r="BT59" s="141" t="s">
        <v>401</v>
      </c>
      <c r="BU59" s="141">
        <v>2007</v>
      </c>
    </row>
    <row r="60" spans="1:73" s="141" customFormat="1" ht="15" customHeight="1">
      <c r="A60" s="137"/>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43"/>
      <c r="AG60" s="144"/>
      <c r="AH60" s="144"/>
      <c r="AI60" s="145"/>
      <c r="AJ60" s="146"/>
      <c r="AK60" s="146"/>
      <c r="AL60" s="146"/>
      <c r="AM60" s="146"/>
      <c r="AN60" s="146"/>
      <c r="AO60" s="146"/>
      <c r="AP60" s="146"/>
      <c r="AQ60" s="146"/>
      <c r="AX60" s="141" t="s">
        <v>391</v>
      </c>
      <c r="AY60" s="141">
        <v>0.9</v>
      </c>
      <c r="BB60" s="141" t="s">
        <v>400</v>
      </c>
      <c r="BC60" s="141">
        <v>2006</v>
      </c>
      <c r="BD60" s="141">
        <v>1</v>
      </c>
      <c r="BE60" s="176">
        <v>1</v>
      </c>
      <c r="BF60" s="239">
        <v>-9.6439999999999998E-2</v>
      </c>
      <c r="BG60" s="240">
        <v>-7.1639999999999995E-2</v>
      </c>
      <c r="BH60" s="176">
        <f t="shared" si="31"/>
        <v>-8.4040000000000004E-2</v>
      </c>
      <c r="BI60" s="176">
        <f>BI59+(BI$64-BI$59)/5</f>
        <v>0.75359999999999994</v>
      </c>
      <c r="BJ60" s="176">
        <f>BJ59+(BJ$64-BJ$59)/5</f>
        <v>0.65300000000000002</v>
      </c>
      <c r="BK60" s="177">
        <v>1.0826</v>
      </c>
      <c r="BL60" s="178">
        <v>1.0501400000000001</v>
      </c>
      <c r="BM60" s="176">
        <f t="shared" si="32"/>
        <v>1.06637</v>
      </c>
      <c r="BT60" s="141" t="s">
        <v>402</v>
      </c>
      <c r="BU60" s="141">
        <v>2008</v>
      </c>
    </row>
    <row r="61" spans="1:73" s="141" customFormat="1" ht="15" customHeight="1">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43"/>
      <c r="AG61" s="144"/>
      <c r="AH61" s="144"/>
      <c r="AI61" s="145"/>
      <c r="AJ61" s="146"/>
      <c r="AK61" s="146"/>
      <c r="AL61" s="146"/>
      <c r="AM61" s="146"/>
      <c r="AN61" s="146"/>
      <c r="AO61" s="146"/>
      <c r="AP61" s="146"/>
      <c r="AQ61" s="146"/>
      <c r="AX61" s="141" t="s">
        <v>393</v>
      </c>
      <c r="AY61" s="141">
        <v>0.90500000000000003</v>
      </c>
      <c r="BB61" s="141" t="s">
        <v>401</v>
      </c>
      <c r="BC61" s="141">
        <v>2007</v>
      </c>
      <c r="BD61" s="141">
        <v>1</v>
      </c>
      <c r="BE61" s="176">
        <v>1</v>
      </c>
      <c r="BF61" s="239">
        <v>-0.13558000000000001</v>
      </c>
      <c r="BG61" s="240">
        <v>-8.5980000000000001E-2</v>
      </c>
      <c r="BH61" s="176">
        <f t="shared" si="31"/>
        <v>-0.11078</v>
      </c>
      <c r="BI61" s="176">
        <f t="shared" ref="BI61:BI63" si="35">BI60+(BI$64-BI$59)/5</f>
        <v>0.80019999999999991</v>
      </c>
      <c r="BJ61" s="176">
        <f t="shared" ref="BJ61:BJ63" si="36">BJ60+(BJ$64-BJ$59)/5</f>
        <v>0.65300000000000002</v>
      </c>
      <c r="BK61" s="177">
        <v>1.1252</v>
      </c>
      <c r="BL61" s="178">
        <v>1.0602800000000001</v>
      </c>
      <c r="BM61" s="176">
        <f t="shared" si="32"/>
        <v>1.09274</v>
      </c>
      <c r="BT61" s="141" t="s">
        <v>403</v>
      </c>
      <c r="BU61" s="141">
        <v>2009</v>
      </c>
    </row>
    <row r="62" spans="1:73" s="141" customFormat="1" ht="15" customHeight="1">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43"/>
      <c r="AG62" s="144"/>
      <c r="AH62" s="144"/>
      <c r="AI62" s="145"/>
      <c r="AJ62" s="146"/>
      <c r="AK62" s="146"/>
      <c r="AL62" s="146"/>
      <c r="AM62" s="146"/>
      <c r="AN62" s="146"/>
      <c r="AO62" s="146"/>
      <c r="AP62" s="146"/>
      <c r="AQ62" s="146"/>
      <c r="AX62" s="141" t="s">
        <v>395</v>
      </c>
      <c r="AY62" s="141">
        <v>0.91</v>
      </c>
      <c r="BB62" s="141" t="s">
        <v>402</v>
      </c>
      <c r="BC62" s="137">
        <v>2008</v>
      </c>
      <c r="BD62" s="141">
        <v>1</v>
      </c>
      <c r="BE62" s="176">
        <v>1</v>
      </c>
      <c r="BF62" s="239">
        <v>-0.17472000000000001</v>
      </c>
      <c r="BG62" s="240">
        <v>-0.10032000000000001</v>
      </c>
      <c r="BH62" s="176">
        <f t="shared" si="31"/>
        <v>-0.13752</v>
      </c>
      <c r="BI62" s="201">
        <f t="shared" si="35"/>
        <v>0.84679999999999989</v>
      </c>
      <c r="BJ62" s="201">
        <f t="shared" si="36"/>
        <v>0.65300000000000002</v>
      </c>
      <c r="BK62" s="177">
        <v>1.1677999999999999</v>
      </c>
      <c r="BL62" s="178">
        <v>1.0704200000000001</v>
      </c>
      <c r="BM62" s="176">
        <f t="shared" si="32"/>
        <v>1.11911</v>
      </c>
      <c r="BT62" s="141" t="s">
        <v>404</v>
      </c>
      <c r="BU62" s="141">
        <v>2010</v>
      </c>
    </row>
    <row r="63" spans="1:73" s="141" customFormat="1" ht="15" customHeight="1">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43"/>
      <c r="AG63" s="144"/>
      <c r="AH63" s="144"/>
      <c r="AI63" s="145"/>
      <c r="AJ63" s="146"/>
      <c r="AK63" s="146"/>
      <c r="AL63" s="146"/>
      <c r="AM63" s="146"/>
      <c r="AN63" s="146"/>
      <c r="AO63" s="146"/>
      <c r="AP63" s="146"/>
      <c r="AQ63" s="146"/>
      <c r="AX63" s="141" t="s">
        <v>396</v>
      </c>
      <c r="AY63" s="141">
        <v>0.91500000000000004</v>
      </c>
      <c r="BB63" s="141" t="s">
        <v>403</v>
      </c>
      <c r="BC63" s="137">
        <v>2009</v>
      </c>
      <c r="BD63" s="141">
        <v>1</v>
      </c>
      <c r="BE63" s="176">
        <v>1</v>
      </c>
      <c r="BF63" s="239">
        <v>-0.21386000000000002</v>
      </c>
      <c r="BG63" s="240">
        <v>-0.11466000000000001</v>
      </c>
      <c r="BH63" s="176">
        <f t="shared" si="31"/>
        <v>-0.16426000000000002</v>
      </c>
      <c r="BI63" s="201">
        <f t="shared" si="35"/>
        <v>0.89339999999999986</v>
      </c>
      <c r="BJ63" s="201">
        <f t="shared" si="36"/>
        <v>0.65300000000000002</v>
      </c>
      <c r="BK63" s="177">
        <v>1.2103999999999999</v>
      </c>
      <c r="BL63" s="178">
        <v>1.0805600000000002</v>
      </c>
      <c r="BM63" s="176">
        <f t="shared" si="32"/>
        <v>1.1454800000000001</v>
      </c>
      <c r="BT63" s="141" t="s">
        <v>405</v>
      </c>
      <c r="BU63" s="141">
        <v>2011</v>
      </c>
    </row>
    <row r="64" spans="1:73" s="141" customFormat="1" ht="15" customHeight="1">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43"/>
      <c r="AG64" s="144"/>
      <c r="AH64" s="144"/>
      <c r="AI64" s="145"/>
      <c r="AJ64" s="146"/>
      <c r="AK64" s="146"/>
      <c r="AL64" s="146"/>
      <c r="AM64" s="146"/>
      <c r="AN64" s="146"/>
      <c r="AO64" s="146"/>
      <c r="AP64" s="146"/>
      <c r="AQ64" s="146"/>
      <c r="AX64" s="141" t="s">
        <v>397</v>
      </c>
      <c r="AY64" s="141">
        <v>0.92</v>
      </c>
      <c r="BB64" s="141" t="s">
        <v>404</v>
      </c>
      <c r="BC64" s="137">
        <v>2010</v>
      </c>
      <c r="BD64" s="141">
        <v>1</v>
      </c>
      <c r="BE64" s="176">
        <v>1</v>
      </c>
      <c r="BF64" s="245">
        <v>-0.253</v>
      </c>
      <c r="BG64" s="246">
        <v>-0.129</v>
      </c>
      <c r="BH64" s="176">
        <f t="shared" si="31"/>
        <v>-0.191</v>
      </c>
      <c r="BI64" s="236">
        <v>0.94</v>
      </c>
      <c r="BJ64" s="236">
        <v>0.65300000000000002</v>
      </c>
      <c r="BK64" s="247">
        <v>1.2529999999999999</v>
      </c>
      <c r="BL64" s="248">
        <v>1.0907</v>
      </c>
      <c r="BM64" s="176">
        <f t="shared" si="32"/>
        <v>1.1718500000000001</v>
      </c>
      <c r="BT64" s="141" t="s">
        <v>406</v>
      </c>
      <c r="BU64" s="141">
        <v>2012</v>
      </c>
    </row>
    <row r="65" spans="1:73" s="141" customFormat="1" ht="15" customHeight="1">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43"/>
      <c r="AG65" s="144"/>
      <c r="AH65" s="144"/>
      <c r="AI65" s="145"/>
      <c r="AJ65" s="146"/>
      <c r="AK65" s="146"/>
      <c r="AL65" s="146"/>
      <c r="AM65" s="146"/>
      <c r="AN65" s="146"/>
      <c r="AO65" s="146"/>
      <c r="AP65" s="146"/>
      <c r="AQ65" s="146"/>
      <c r="AX65" s="141" t="s">
        <v>398</v>
      </c>
      <c r="AY65" s="141">
        <v>0.92500000000000004</v>
      </c>
      <c r="BB65" s="141" t="s">
        <v>405</v>
      </c>
      <c r="BC65" s="137">
        <v>2011</v>
      </c>
      <c r="BD65" s="141">
        <v>1</v>
      </c>
      <c r="BE65" s="176">
        <v>1</v>
      </c>
      <c r="BF65" s="239">
        <v>-0.57380000000000009</v>
      </c>
      <c r="BG65" s="240">
        <v>-0.24825999999999998</v>
      </c>
      <c r="BH65" s="176">
        <f t="shared" si="31"/>
        <v>-0.41103000000000001</v>
      </c>
      <c r="BI65" s="201">
        <f>BI64+(BI$69-BI$64)/5</f>
        <v>1.1805999999999999</v>
      </c>
      <c r="BJ65" s="201">
        <f>BJ64+(BJ$69-BJ$64)/5</f>
        <v>0.78120000000000001</v>
      </c>
      <c r="BK65" s="177">
        <v>1.5773999999999999</v>
      </c>
      <c r="BL65" s="178">
        <v>1.2176199999999999</v>
      </c>
      <c r="BM65" s="176">
        <f t="shared" si="32"/>
        <v>1.39751</v>
      </c>
      <c r="BT65" s="141" t="s">
        <v>407</v>
      </c>
      <c r="BU65" s="141">
        <v>2013</v>
      </c>
    </row>
    <row r="66" spans="1:73" s="141" customFormat="1" ht="15" customHeight="1">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207"/>
      <c r="AG66" s="137"/>
      <c r="AH66" s="137"/>
      <c r="AI66" s="208"/>
      <c r="AJ66" s="137"/>
      <c r="AK66" s="137"/>
      <c r="AL66" s="137"/>
      <c r="AM66" s="137"/>
      <c r="AN66" s="137"/>
      <c r="AO66" s="137"/>
      <c r="AP66" s="137"/>
      <c r="AQ66" s="137"/>
      <c r="AR66" s="137"/>
      <c r="AS66" s="137"/>
      <c r="AT66" s="137"/>
      <c r="AX66" s="141" t="s">
        <v>399</v>
      </c>
      <c r="AY66" s="141">
        <v>0.93</v>
      </c>
      <c r="BB66" s="141" t="s">
        <v>406</v>
      </c>
      <c r="BC66" s="137">
        <v>2012</v>
      </c>
      <c r="BD66" s="141">
        <v>1</v>
      </c>
      <c r="BE66" s="176">
        <v>1</v>
      </c>
      <c r="BF66" s="239">
        <v>-0.89460000000000006</v>
      </c>
      <c r="BG66" s="240">
        <v>-0.36751999999999996</v>
      </c>
      <c r="BH66" s="176">
        <f t="shared" si="31"/>
        <v>-0.63105999999999995</v>
      </c>
      <c r="BI66" s="201">
        <f t="shared" ref="BI66:BI68" si="37">BI65+(BI$69-BI$64)/5</f>
        <v>1.4211999999999998</v>
      </c>
      <c r="BJ66" s="201">
        <f t="shared" ref="BJ66:BJ68" si="38">BJ65+(BJ$69-BJ$64)/5</f>
        <v>0.90939999999999999</v>
      </c>
      <c r="BK66" s="177">
        <v>1.9017999999999999</v>
      </c>
      <c r="BL66" s="178">
        <v>1.3445399999999998</v>
      </c>
      <c r="BM66" s="176">
        <f t="shared" si="32"/>
        <v>1.62317</v>
      </c>
      <c r="BT66" s="141" t="s">
        <v>408</v>
      </c>
      <c r="BU66" s="141">
        <v>2014</v>
      </c>
    </row>
    <row r="67" spans="1:73" s="141" customFormat="1" ht="15" customHeight="1">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210"/>
      <c r="AG67" s="137"/>
      <c r="AH67" s="137"/>
      <c r="AI67" s="137"/>
      <c r="AJ67" s="137"/>
      <c r="AK67" s="137"/>
      <c r="AL67" s="137"/>
      <c r="AM67" s="137"/>
      <c r="AN67" s="137"/>
      <c r="AO67" s="137"/>
      <c r="AP67" s="137"/>
      <c r="AQ67" s="137"/>
      <c r="AR67" s="137"/>
      <c r="AS67" s="137"/>
      <c r="AT67" s="137"/>
      <c r="AX67" s="141" t="s">
        <v>400</v>
      </c>
      <c r="AY67" s="141">
        <v>0.93500000000000005</v>
      </c>
      <c r="BB67" s="141" t="s">
        <v>407</v>
      </c>
      <c r="BC67" s="137">
        <v>2013</v>
      </c>
      <c r="BD67" s="141">
        <v>1</v>
      </c>
      <c r="BE67" s="176">
        <v>1</v>
      </c>
      <c r="BF67" s="239">
        <v>-1.2154</v>
      </c>
      <c r="BG67" s="240">
        <v>-0.48677999999999993</v>
      </c>
      <c r="BH67" s="176">
        <f t="shared" si="31"/>
        <v>-0.85109000000000001</v>
      </c>
      <c r="BI67" s="201">
        <f t="shared" si="37"/>
        <v>1.6617999999999997</v>
      </c>
      <c r="BJ67" s="201">
        <f t="shared" si="38"/>
        <v>1.0376000000000001</v>
      </c>
      <c r="BK67" s="177">
        <v>2.2262</v>
      </c>
      <c r="BL67" s="178">
        <v>1.4714599999999998</v>
      </c>
      <c r="BM67" s="176">
        <f t="shared" si="32"/>
        <v>1.84883</v>
      </c>
      <c r="BT67" s="141" t="s">
        <v>409</v>
      </c>
      <c r="BU67" s="141">
        <v>2015</v>
      </c>
    </row>
    <row r="68" spans="1:73" s="141" customFormat="1" ht="15" customHeight="1">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210"/>
      <c r="AG68" s="137"/>
      <c r="AH68" s="137"/>
      <c r="AI68" s="137"/>
      <c r="AJ68" s="137"/>
      <c r="AK68" s="137"/>
      <c r="AL68" s="137"/>
      <c r="AM68" s="137"/>
      <c r="AN68" s="137"/>
      <c r="AO68" s="137"/>
      <c r="AP68" s="137"/>
      <c r="AQ68" s="137"/>
      <c r="AR68" s="137"/>
      <c r="AS68" s="137"/>
      <c r="AT68" s="137"/>
      <c r="AX68" s="141" t="s">
        <v>401</v>
      </c>
      <c r="AY68" s="141">
        <v>0.94</v>
      </c>
      <c r="BB68" s="141" t="s">
        <v>408</v>
      </c>
      <c r="BC68" s="137">
        <v>2014</v>
      </c>
      <c r="BD68" s="141">
        <v>1</v>
      </c>
      <c r="BE68" s="176">
        <v>1</v>
      </c>
      <c r="BF68" s="239">
        <v>-1.5362</v>
      </c>
      <c r="BG68" s="240">
        <v>-0.60603999999999991</v>
      </c>
      <c r="BH68" s="176">
        <f t="shared" si="31"/>
        <v>-1.0711200000000001</v>
      </c>
      <c r="BI68" s="201">
        <f t="shared" si="37"/>
        <v>1.9023999999999996</v>
      </c>
      <c r="BJ68" s="201">
        <f t="shared" si="38"/>
        <v>1.1658000000000002</v>
      </c>
      <c r="BK68" s="177">
        <v>2.5506000000000002</v>
      </c>
      <c r="BL68" s="178">
        <v>1.5983799999999997</v>
      </c>
      <c r="BM68" s="176">
        <f t="shared" si="32"/>
        <v>2.0744899999999999</v>
      </c>
      <c r="BT68" s="141" t="s">
        <v>410</v>
      </c>
      <c r="BU68" s="141">
        <v>2016</v>
      </c>
    </row>
    <row r="69" spans="1:73" s="141" customFormat="1" ht="15" customHeight="1">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210"/>
      <c r="AG69" s="137"/>
      <c r="AH69" s="137"/>
      <c r="AI69" s="137"/>
      <c r="AJ69" s="137"/>
      <c r="AK69" s="137"/>
      <c r="AL69" s="137"/>
      <c r="AM69" s="137"/>
      <c r="AN69" s="137"/>
      <c r="AO69" s="137"/>
      <c r="AP69" s="137"/>
      <c r="AQ69" s="137"/>
      <c r="AR69" s="137"/>
      <c r="AS69" s="137"/>
      <c r="AT69" s="137"/>
      <c r="AX69" s="141" t="s">
        <v>402</v>
      </c>
      <c r="AY69" s="141">
        <v>0.94499999999999995</v>
      </c>
      <c r="BB69" s="141" t="s">
        <v>409</v>
      </c>
      <c r="BC69" s="137">
        <v>2015</v>
      </c>
      <c r="BD69" s="141">
        <v>1</v>
      </c>
      <c r="BE69" s="176">
        <v>1</v>
      </c>
      <c r="BF69" s="245">
        <v>-1.857</v>
      </c>
      <c r="BG69" s="246">
        <v>-0.72529999999999994</v>
      </c>
      <c r="BH69" s="176">
        <f t="shared" si="31"/>
        <v>-1.29115</v>
      </c>
      <c r="BI69" s="236">
        <v>2.1429999999999998</v>
      </c>
      <c r="BJ69" s="236">
        <v>1.294</v>
      </c>
      <c r="BK69" s="247">
        <v>2.875</v>
      </c>
      <c r="BL69" s="248">
        <v>1.7253000000000001</v>
      </c>
      <c r="BM69" s="176">
        <f t="shared" si="32"/>
        <v>2.3001499999999999</v>
      </c>
      <c r="BT69" s="141" t="s">
        <v>411</v>
      </c>
      <c r="BU69" s="141">
        <v>2017</v>
      </c>
    </row>
    <row r="70" spans="1:73" s="141" customFormat="1" ht="15" customHeight="1">
      <c r="A70" s="137"/>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40"/>
      <c r="AG70" s="137"/>
      <c r="AH70" s="137"/>
      <c r="AI70" s="137"/>
      <c r="AJ70" s="137"/>
      <c r="AK70" s="137"/>
      <c r="AL70" s="137"/>
      <c r="AM70" s="137"/>
      <c r="AN70" s="137"/>
      <c r="AO70" s="137"/>
      <c r="AP70" s="137"/>
      <c r="AQ70" s="137"/>
      <c r="AR70" s="137"/>
      <c r="AS70" s="137"/>
      <c r="AT70" s="137"/>
      <c r="AX70" s="141" t="s">
        <v>403</v>
      </c>
      <c r="AY70" s="141">
        <v>0.95</v>
      </c>
      <c r="BB70" s="202" t="s">
        <v>394</v>
      </c>
      <c r="BC70" s="202">
        <v>2009</v>
      </c>
      <c r="BD70" s="141">
        <v>1</v>
      </c>
      <c r="BE70" s="176">
        <v>1</v>
      </c>
      <c r="BF70" s="241"/>
      <c r="BG70" s="242"/>
      <c r="BH70" s="176">
        <f t="shared" si="31"/>
        <v>0</v>
      </c>
      <c r="BI70" s="202"/>
      <c r="BJ70" s="202"/>
      <c r="BK70" s="203"/>
      <c r="BL70" s="204"/>
      <c r="BM70" s="176">
        <f t="shared" si="32"/>
        <v>0</v>
      </c>
      <c r="BT70" s="141" t="s">
        <v>412</v>
      </c>
      <c r="BU70" s="141">
        <v>2018</v>
      </c>
    </row>
    <row r="71" spans="1:73" s="141" customFormat="1" ht="15" customHeight="1">
      <c r="A71" s="137"/>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210"/>
      <c r="AG71" s="137"/>
      <c r="AH71" s="137"/>
      <c r="AI71" s="137"/>
      <c r="AJ71" s="137"/>
      <c r="AK71" s="137"/>
      <c r="AL71" s="137"/>
      <c r="AM71" s="137"/>
      <c r="AN71" s="137"/>
      <c r="AO71" s="137"/>
      <c r="AP71" s="137"/>
      <c r="AQ71" s="137"/>
      <c r="AR71" s="137"/>
      <c r="AS71" s="137"/>
      <c r="AT71" s="137"/>
      <c r="AX71" s="141" t="s">
        <v>404</v>
      </c>
      <c r="AY71" s="141">
        <v>0.95499999999999996</v>
      </c>
      <c r="BC71" s="137">
        <v>2016</v>
      </c>
      <c r="BD71" s="141">
        <v>1</v>
      </c>
      <c r="BE71" s="176">
        <v>1</v>
      </c>
      <c r="BF71" s="239"/>
      <c r="BG71" s="240"/>
      <c r="BH71" s="176">
        <f t="shared" si="31"/>
        <v>0</v>
      </c>
      <c r="BI71" s="201"/>
      <c r="BJ71" s="201"/>
      <c r="BK71" s="177"/>
      <c r="BL71" s="178"/>
      <c r="BM71" s="176">
        <f t="shared" si="32"/>
        <v>0</v>
      </c>
      <c r="BU71" s="141">
        <v>2019</v>
      </c>
    </row>
    <row r="72" spans="1:73" ht="15" customHeight="1">
      <c r="AF72" s="211"/>
      <c r="AU72" s="141"/>
      <c r="AV72" s="141"/>
      <c r="AW72" s="141"/>
      <c r="AX72" s="141" t="s">
        <v>405</v>
      </c>
      <c r="AY72" s="141">
        <v>0.96</v>
      </c>
      <c r="AZ72" s="141"/>
      <c r="BA72" s="141"/>
      <c r="BB72" s="141"/>
      <c r="BC72" s="137">
        <v>2017</v>
      </c>
      <c r="BD72" s="141">
        <v>1</v>
      </c>
      <c r="BE72" s="176">
        <v>1</v>
      </c>
      <c r="BF72" s="239"/>
      <c r="BG72" s="240"/>
      <c r="BH72" s="176">
        <f t="shared" si="31"/>
        <v>0</v>
      </c>
      <c r="BI72" s="201"/>
      <c r="BJ72" s="201"/>
      <c r="BK72" s="177"/>
      <c r="BL72" s="178"/>
      <c r="BM72" s="176">
        <f t="shared" si="32"/>
        <v>0</v>
      </c>
      <c r="BN72" s="141"/>
      <c r="BO72" s="141"/>
      <c r="BP72" s="141"/>
      <c r="BQ72" s="141"/>
      <c r="BR72" s="141"/>
      <c r="BS72" s="141"/>
      <c r="BT72" s="141"/>
      <c r="BU72" s="141">
        <v>2020</v>
      </c>
    </row>
    <row r="73" spans="1:73">
      <c r="AF73" s="211"/>
      <c r="AU73" s="141"/>
      <c r="AV73" s="141"/>
      <c r="AW73" s="141"/>
      <c r="AX73" s="141" t="s">
        <v>406</v>
      </c>
      <c r="AY73" s="141">
        <v>0.96499999999999997</v>
      </c>
      <c r="AZ73" s="141"/>
      <c r="BA73" s="141"/>
      <c r="BB73" s="141"/>
      <c r="BC73" s="137">
        <v>2018</v>
      </c>
      <c r="BD73" s="141">
        <v>1</v>
      </c>
      <c r="BE73" s="176">
        <v>1</v>
      </c>
      <c r="BF73" s="243"/>
      <c r="BG73" s="244"/>
      <c r="BH73" s="176">
        <f t="shared" si="31"/>
        <v>0</v>
      </c>
      <c r="BI73" s="201"/>
      <c r="BJ73" s="201"/>
      <c r="BK73" s="205"/>
      <c r="BL73" s="206"/>
      <c r="BM73" s="176">
        <f t="shared" si="32"/>
        <v>0</v>
      </c>
      <c r="BN73" s="141"/>
      <c r="BO73" s="141"/>
      <c r="BP73" s="141"/>
      <c r="BQ73" s="141"/>
      <c r="BR73" s="141"/>
      <c r="BS73" s="141"/>
      <c r="BT73" s="141"/>
      <c r="BU73" s="141"/>
    </row>
    <row r="74" spans="1:73" ht="16.5" customHeight="1">
      <c r="AU74" s="141"/>
      <c r="AV74" s="141"/>
      <c r="AW74" s="141"/>
      <c r="AX74" s="141" t="s">
        <v>407</v>
      </c>
      <c r="AY74" s="141">
        <v>0.97</v>
      </c>
      <c r="AZ74" s="141"/>
      <c r="BA74" s="141"/>
      <c r="BB74" s="141"/>
      <c r="BL74" s="141"/>
      <c r="BM74" s="141"/>
      <c r="BN74" s="141"/>
      <c r="BO74" s="141"/>
      <c r="BP74" s="141"/>
      <c r="BQ74" s="141"/>
      <c r="BR74" s="141"/>
      <c r="BS74" s="141"/>
      <c r="BT74" s="141"/>
      <c r="BU74" s="141"/>
    </row>
    <row r="75" spans="1:73" ht="13.5" customHeight="1">
      <c r="AF75" s="210"/>
      <c r="AU75" s="141"/>
      <c r="AV75" s="141"/>
      <c r="AW75" s="141"/>
      <c r="AX75" s="141" t="s">
        <v>408</v>
      </c>
      <c r="AY75" s="141">
        <v>0.97499999999999998</v>
      </c>
      <c r="AZ75" s="141"/>
      <c r="BA75" s="141"/>
      <c r="BB75" s="141"/>
      <c r="BL75" s="141"/>
      <c r="BM75" s="141"/>
      <c r="BN75" s="141"/>
      <c r="BO75" s="141"/>
      <c r="BP75" s="141"/>
      <c r="BQ75" s="141"/>
      <c r="BR75" s="141"/>
      <c r="BS75" s="141"/>
      <c r="BT75" s="141"/>
      <c r="BU75" s="141"/>
    </row>
    <row r="76" spans="1:73" ht="13.5" customHeight="1">
      <c r="AF76" s="212"/>
      <c r="AU76" s="141"/>
      <c r="AV76" s="141"/>
      <c r="AX76" s="137" t="s">
        <v>409</v>
      </c>
      <c r="AY76" s="137">
        <v>0.98</v>
      </c>
    </row>
    <row r="77" spans="1:73" ht="13.5" customHeight="1">
      <c r="AF77" s="212"/>
      <c r="AU77" s="141"/>
      <c r="AX77" s="137" t="s">
        <v>410</v>
      </c>
      <c r="AY77" s="137">
        <v>0.98499999999999999</v>
      </c>
    </row>
    <row r="78" spans="1:73" ht="13.5" customHeight="1">
      <c r="AU78" s="209"/>
      <c r="AX78" s="137" t="s">
        <v>411</v>
      </c>
      <c r="AY78" s="137">
        <v>0.99</v>
      </c>
    </row>
    <row r="79" spans="1:73" ht="13.5" customHeight="1">
      <c r="AX79" s="137" t="s">
        <v>412</v>
      </c>
      <c r="AY79" s="137">
        <v>0.995</v>
      </c>
    </row>
    <row r="80" spans="1:73" ht="13.5" customHeight="1"/>
    <row r="81" spans="50:51" ht="13.5" customHeight="1"/>
    <row r="82" spans="50:51" ht="13.5" customHeight="1"/>
    <row r="83" spans="50:51" ht="13.5" customHeight="1">
      <c r="AX83" s="137" t="s">
        <v>413</v>
      </c>
      <c r="AY83" s="137">
        <v>0.70499999999999996</v>
      </c>
    </row>
    <row r="84" spans="50:51" ht="13.5" customHeight="1"/>
    <row r="85" spans="50:51" ht="13.5" customHeight="1"/>
    <row r="87" spans="50:51" ht="13.5" customHeight="1"/>
    <row r="88" spans="50:51" ht="14.25" customHeight="1"/>
    <row r="95" spans="50:51">
      <c r="AX95" s="137" t="s">
        <v>414</v>
      </c>
      <c r="AY95" s="137">
        <v>1</v>
      </c>
    </row>
  </sheetData>
  <sheetProtection algorithmName="SHA-512" hashValue="lCA7X1DQdaAa4BFrVfJuBbtAgAIH84qBKwrJtu5fPrCig7wRbJ0zQcLgasP+IpkSU0AhHx8yTgVPoQMZlJ5MZg==" saltValue="HyaZiPNWGKs6L2HjWKCjcQ==" spinCount="100000" sheet="1" objects="1" scenarios="1" formatCells="0"/>
  <mergeCells count="34">
    <mergeCell ref="F5:G5"/>
    <mergeCell ref="H5:I5"/>
    <mergeCell ref="J5:K5"/>
    <mergeCell ref="H3:I3"/>
    <mergeCell ref="J3:K3"/>
    <mergeCell ref="F4:G4"/>
    <mergeCell ref="H4:I4"/>
    <mergeCell ref="J4:K4"/>
    <mergeCell ref="H7:I7"/>
    <mergeCell ref="A22:A24"/>
    <mergeCell ref="AC22:AE23"/>
    <mergeCell ref="C19:E19"/>
    <mergeCell ref="H19:I19"/>
    <mergeCell ref="H20:I20"/>
    <mergeCell ref="F19:G19"/>
    <mergeCell ref="K20:L20"/>
    <mergeCell ref="M19:N19"/>
    <mergeCell ref="M20:N20"/>
    <mergeCell ref="X1:AE1"/>
    <mergeCell ref="R3:AE3"/>
    <mergeCell ref="Q21:R21"/>
    <mergeCell ref="B4:D4"/>
    <mergeCell ref="B6:D6"/>
    <mergeCell ref="B3:D3"/>
    <mergeCell ref="F3:G3"/>
    <mergeCell ref="P3:Q3"/>
    <mergeCell ref="P5:AE10"/>
    <mergeCell ref="F6:G6"/>
    <mergeCell ref="B7:D7"/>
    <mergeCell ref="B5:D5"/>
    <mergeCell ref="H6:I6"/>
    <mergeCell ref="J6:K6"/>
    <mergeCell ref="J7:K7"/>
    <mergeCell ref="F7:G7"/>
  </mergeCells>
  <phoneticPr fontId="3"/>
  <conditionalFormatting sqref="A21">
    <cfRule type="expression" dxfId="78" priority="13">
      <formula>$AH$25&lt;&gt;2</formula>
    </cfRule>
  </conditionalFormatting>
  <conditionalFormatting sqref="A21">
    <cfRule type="expression" dxfId="77" priority="12">
      <formula>$AH$25=2</formula>
    </cfRule>
  </conditionalFormatting>
  <conditionalFormatting sqref="N4:N8 J8 F7:F8 H7:H8 L4:L8">
    <cfRule type="expression" dxfId="76" priority="11">
      <formula>#REF!="なし"</formula>
    </cfRule>
  </conditionalFormatting>
  <conditionalFormatting sqref="C26 AC29:AD37 AC28 M26:N26 P28:Y37 B28:N37">
    <cfRule type="expression" dxfId="75" priority="8">
      <formula>$E$1="なし"</formula>
    </cfRule>
  </conditionalFormatting>
  <conditionalFormatting sqref="Z26:AA26 Z28:AA37">
    <cfRule type="expression" dxfId="74" priority="7">
      <formula>$E$1="なし"</formula>
    </cfRule>
  </conditionalFormatting>
  <conditionalFormatting sqref="P5:P10 S5:T10 W5:AE10">
    <cfRule type="expression" dxfId="73" priority="64">
      <formula>OR(E27&lt;R27,I27&lt;V27)</formula>
    </cfRule>
  </conditionalFormatting>
  <conditionalFormatting sqref="Q5:Q10">
    <cfRule type="expression" dxfId="72" priority="71">
      <formula>OR(F27&lt;T27,J27&lt;X27)</formula>
    </cfRule>
  </conditionalFormatting>
  <conditionalFormatting sqref="R5:R10">
    <cfRule type="expression" dxfId="71" priority="80">
      <formula>OR(G27&lt;S27,K27&lt;W27)</formula>
    </cfRule>
  </conditionalFormatting>
  <conditionalFormatting sqref="U5:U10">
    <cfRule type="expression" dxfId="70" priority="82">
      <formula>OR(J27&lt;X27,N27&lt;AA27)</formula>
    </cfRule>
  </conditionalFormatting>
  <conditionalFormatting sqref="V5:V10">
    <cfRule type="expression" dxfId="69" priority="84">
      <formula>OR(K27&lt;W27,O27&lt;AB27)</formula>
    </cfRule>
  </conditionalFormatting>
  <conditionalFormatting sqref="R27">
    <cfRule type="expression" dxfId="68" priority="2">
      <formula>$R$27-$E$27&gt;0</formula>
    </cfRule>
  </conditionalFormatting>
  <conditionalFormatting sqref="V27">
    <cfRule type="expression" dxfId="67" priority="1">
      <formula>$V$27-$I$27&gt;0</formula>
    </cfRule>
  </conditionalFormatting>
  <conditionalFormatting sqref="H20:I20 M20:N20">
    <cfRule type="expression" dxfId="66" priority="101">
      <formula>$AJ$9=5</formula>
    </cfRule>
  </conditionalFormatting>
  <dataValidations count="5">
    <dataValidation type="list" allowBlank="1" showInputMessage="1" showErrorMessage="1" error="対象は2008年までです。それ以降は対象となりません。" sqref="C28:C37" xr:uid="{F25F8331-82DF-442F-B57A-BFEBD9F247DA}">
      <formula1>$BB$49:$BB$69</formula1>
    </dataValidation>
    <dataValidation type="list" allowBlank="1" showInputMessage="1" showErrorMessage="1" sqref="C26" xr:uid="{BD5A7ACA-0258-4056-B494-7E1FEA95C486}">
      <formula1>$AX$55:$AX$79</formula1>
    </dataValidation>
    <dataValidation type="whole" allowBlank="1" showInputMessage="1" showErrorMessage="1" sqref="Q26" xr:uid="{54F7A4A6-BF19-4194-B2E1-138822FC0E06}">
      <formula1>0</formula1>
      <formula2>D26</formula2>
    </dataValidation>
    <dataValidation type="decimal" allowBlank="1" showInputMessage="1" showErrorMessage="1" error="最大24時間までの数値記入" sqref="Q21:R21" xr:uid="{145C75DF-0CCF-4D15-A0AE-6B81C110123F}">
      <formula1>1</formula1>
      <formula2>24</formula2>
    </dataValidation>
    <dataValidation type="list" allowBlank="1" showInputMessage="1" showErrorMessage="1" sqref="C19:E19" xr:uid="{AFAAB097-D445-4F07-A7E9-E92600D740D6}">
      <formula1>$AJ$4:$AJ$8</formula1>
    </dataValidation>
  </dataValidations>
  <printOptions horizontalCentered="1"/>
  <pageMargins left="0.27559055118110237" right="0.19685039370078741" top="0.74803149606299213" bottom="0.55118110236220474" header="0.31496062992125984" footer="0.31496062992125984"/>
  <pageSetup paperSize="9" scale="67" orientation="landscape" r:id="rId1"/>
  <headerFooter>
    <oddHeader>&amp;L様式第1号（別紙）</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893A6-0A66-44E0-B7AA-D7042270EEBE}">
  <sheetPr>
    <tabColor rgb="FF00B0F0"/>
    <pageSetUpPr fitToPage="1"/>
  </sheetPr>
  <dimension ref="A1:AJ90"/>
  <sheetViews>
    <sheetView view="pageBreakPreview" zoomScale="85" zoomScaleNormal="85" zoomScaleSheetLayoutView="85" workbookViewId="0">
      <selection activeCell="J23" sqref="J23:K23"/>
    </sheetView>
  </sheetViews>
  <sheetFormatPr defaultRowHeight="13.5"/>
  <cols>
    <col min="1" max="1" width="3.625" style="72" customWidth="1"/>
    <col min="2" max="2" width="4.75" style="72" customWidth="1"/>
    <col min="3" max="3" width="5.75" style="72" customWidth="1"/>
    <col min="4" max="4" width="4.625" style="72" customWidth="1"/>
    <col min="5" max="5" width="3.125" style="72" hidden="1" customWidth="1"/>
    <col min="6" max="6" width="8.25" style="72" customWidth="1"/>
    <col min="7" max="7" width="11.5" style="72" customWidth="1"/>
    <col min="8" max="8" width="9.5" style="72" customWidth="1"/>
    <col min="9" max="9" width="9.125" style="72" customWidth="1"/>
    <col min="10" max="11" width="9" style="72"/>
    <col min="12" max="12" width="8.25" style="72" customWidth="1"/>
    <col min="13" max="14" width="9" style="72"/>
    <col min="15" max="15" width="12.125" style="72" customWidth="1"/>
    <col min="16" max="16" width="8.375" style="72" customWidth="1"/>
    <col min="17" max="17" width="15.75" style="72" customWidth="1"/>
    <col min="18" max="18" width="7.875" style="72" customWidth="1"/>
    <col min="19" max="22" width="9" style="72"/>
    <col min="23" max="28" width="9" style="72" hidden="1" customWidth="1"/>
    <col min="29" max="29" width="9" style="72" customWidth="1"/>
    <col min="30" max="16384" width="9" style="72"/>
  </cols>
  <sheetData>
    <row r="1" spans="1:36" ht="30">
      <c r="A1" s="69" t="s">
        <v>229</v>
      </c>
      <c r="B1" s="70"/>
      <c r="C1" s="70"/>
      <c r="D1" s="70"/>
      <c r="E1" s="70"/>
      <c r="F1" s="70"/>
      <c r="G1" s="70"/>
      <c r="H1" s="70"/>
      <c r="I1" s="70"/>
      <c r="J1" s="14"/>
      <c r="K1" s="3"/>
      <c r="L1" s="14"/>
      <c r="M1" s="4"/>
      <c r="N1" s="14"/>
      <c r="O1" s="14"/>
      <c r="P1" s="71"/>
      <c r="Q1" s="980">
        <f>CO２削減量算定シート!O7</f>
        <v>0</v>
      </c>
      <c r="R1" s="981"/>
      <c r="S1" s="981"/>
      <c r="T1" s="981"/>
      <c r="U1" s="981"/>
      <c r="V1" s="982"/>
      <c r="W1" s="70"/>
      <c r="X1" s="70"/>
      <c r="Y1" s="70"/>
      <c r="Z1" s="70"/>
      <c r="AA1" s="70"/>
      <c r="AB1" s="70"/>
      <c r="AC1" s="70"/>
      <c r="AD1" s="70"/>
      <c r="AE1" s="70"/>
      <c r="AF1" s="70"/>
      <c r="AG1" s="70"/>
      <c r="AH1" s="70"/>
      <c r="AI1" s="70"/>
      <c r="AJ1" s="70"/>
    </row>
    <row r="2" spans="1:36" ht="18.75">
      <c r="A2" s="109" t="s">
        <v>312</v>
      </c>
      <c r="B2" s="70"/>
      <c r="C2" s="70"/>
      <c r="D2" s="70"/>
      <c r="E2" s="70"/>
      <c r="F2" s="70"/>
      <c r="G2" s="70"/>
      <c r="H2" s="70"/>
      <c r="I2" s="70"/>
      <c r="J2" s="70"/>
      <c r="K2" s="73"/>
      <c r="L2" s="70"/>
      <c r="M2" s="70"/>
      <c r="N2" s="109" t="s">
        <v>314</v>
      </c>
      <c r="P2" s="499" t="s">
        <v>728</v>
      </c>
      <c r="Q2" s="109"/>
      <c r="R2" s="137"/>
      <c r="S2" s="108"/>
      <c r="T2" s="137"/>
      <c r="U2" s="70"/>
      <c r="V2" s="70"/>
      <c r="W2" s="70"/>
      <c r="X2" s="70"/>
      <c r="Y2" s="70"/>
    </row>
    <row r="3" spans="1:36" ht="16.5" customHeight="1">
      <c r="A3" s="70"/>
      <c r="B3" s="950" t="s">
        <v>0</v>
      </c>
      <c r="C3" s="985"/>
      <c r="D3" s="985"/>
      <c r="E3" s="985"/>
      <c r="F3" s="951"/>
      <c r="G3" s="65" t="s">
        <v>1</v>
      </c>
      <c r="H3" s="65" t="s">
        <v>2</v>
      </c>
      <c r="I3" s="65" t="s">
        <v>3</v>
      </c>
      <c r="J3" s="65" t="s">
        <v>4</v>
      </c>
      <c r="K3" s="113" t="s">
        <v>5</v>
      </c>
      <c r="M3" s="74"/>
      <c r="N3" s="20" t="s">
        <v>11</v>
      </c>
      <c r="O3" s="16"/>
      <c r="P3" s="931" t="str">
        <f>IF(U17="","",IF(I17-P17&lt;0,"定格出力が増加しています。下蘭に事由を記載してください。",""))</f>
        <v/>
      </c>
      <c r="Q3" s="932"/>
      <c r="R3" s="932"/>
      <c r="S3" s="932"/>
      <c r="T3" s="932"/>
      <c r="U3" s="932"/>
      <c r="V3" s="933"/>
    </row>
    <row r="4" spans="1:36" ht="16.5" customHeight="1">
      <c r="A4" s="70"/>
      <c r="B4" s="986" t="s">
        <v>7</v>
      </c>
      <c r="C4" s="987"/>
      <c r="D4" s="987"/>
      <c r="E4" s="987"/>
      <c r="F4" s="988"/>
      <c r="G4" s="65" t="s">
        <v>8</v>
      </c>
      <c r="H4" s="432">
        <f>M17</f>
        <v>0</v>
      </c>
      <c r="I4" s="432">
        <f>S17</f>
        <v>0</v>
      </c>
      <c r="J4" s="432">
        <f>H4-I4</f>
        <v>0</v>
      </c>
      <c r="K4" s="433">
        <f>IFERROR(J4/H4,0)</f>
        <v>0</v>
      </c>
      <c r="M4" s="74"/>
      <c r="N4" s="19" t="s">
        <v>6</v>
      </c>
      <c r="O4" s="111"/>
      <c r="P4" s="111"/>
      <c r="Q4" s="111"/>
      <c r="R4" s="111"/>
      <c r="S4" s="111"/>
      <c r="T4" s="111"/>
      <c r="U4" s="111"/>
      <c r="V4" s="112"/>
    </row>
    <row r="5" spans="1:36" ht="16.5" customHeight="1">
      <c r="A5" s="70"/>
      <c r="B5" s="986" t="s">
        <v>9</v>
      </c>
      <c r="C5" s="987"/>
      <c r="D5" s="987"/>
      <c r="E5" s="987"/>
      <c r="F5" s="988"/>
      <c r="G5" s="123" t="s">
        <v>10</v>
      </c>
      <c r="H5" s="434">
        <f>N17</f>
        <v>0</v>
      </c>
      <c r="I5" s="434">
        <f>T17</f>
        <v>0</v>
      </c>
      <c r="J5" s="434">
        <f>H5-I5</f>
        <v>0</v>
      </c>
      <c r="K5" s="433">
        <f>IFERROR(J5/H5,0)</f>
        <v>0</v>
      </c>
      <c r="M5" s="74"/>
      <c r="N5" s="934"/>
      <c r="O5" s="935"/>
      <c r="P5" s="935"/>
      <c r="Q5" s="935"/>
      <c r="R5" s="935"/>
      <c r="S5" s="935"/>
      <c r="T5" s="935"/>
      <c r="U5" s="935"/>
      <c r="V5" s="936"/>
    </row>
    <row r="6" spans="1:36" ht="16.5" customHeight="1">
      <c r="A6" s="70"/>
      <c r="B6" s="926" t="s">
        <v>12</v>
      </c>
      <c r="C6" s="927"/>
      <c r="D6" s="927"/>
      <c r="E6" s="927"/>
      <c r="F6" s="928"/>
      <c r="G6" s="132" t="s">
        <v>13</v>
      </c>
      <c r="H6" s="435">
        <f>H4*'CO₂係数 '!$C$33*0.0000258</f>
        <v>0</v>
      </c>
      <c r="I6" s="435">
        <f>I4*'CO₂係数 '!$C$33*0.0000258</f>
        <v>0</v>
      </c>
      <c r="J6" s="436">
        <f>H6-I6</f>
        <v>0</v>
      </c>
      <c r="K6" s="437">
        <f>IFERROR(J6/H6,0)</f>
        <v>0</v>
      </c>
      <c r="M6" s="74"/>
      <c r="N6" s="937"/>
      <c r="O6" s="938"/>
      <c r="P6" s="938"/>
      <c r="Q6" s="938"/>
      <c r="R6" s="938"/>
      <c r="S6" s="938"/>
      <c r="T6" s="938"/>
      <c r="U6" s="938"/>
      <c r="V6" s="939"/>
    </row>
    <row r="7" spans="1:36" ht="16.5" customHeight="1">
      <c r="A7" s="70"/>
      <c r="B7" s="295"/>
      <c r="C7" s="295"/>
      <c r="D7" s="295"/>
      <c r="E7" s="295"/>
      <c r="F7" s="295"/>
      <c r="G7" s="296"/>
      <c r="H7" s="296"/>
      <c r="I7" s="297"/>
      <c r="J7" s="297"/>
      <c r="K7" s="297"/>
      <c r="M7" s="70"/>
      <c r="N7" s="937"/>
      <c r="O7" s="938"/>
      <c r="P7" s="938"/>
      <c r="Q7" s="938"/>
      <c r="R7" s="938"/>
      <c r="S7" s="938"/>
      <c r="T7" s="938"/>
      <c r="U7" s="938"/>
      <c r="V7" s="939"/>
    </row>
    <row r="8" spans="1:36" ht="21.75" customHeight="1">
      <c r="A8" s="107" t="s">
        <v>313</v>
      </c>
      <c r="B8" s="70"/>
      <c r="C8" s="70"/>
      <c r="D8" s="70"/>
      <c r="E8" s="70"/>
      <c r="F8" s="70"/>
      <c r="G8" s="73"/>
      <c r="H8" s="73"/>
      <c r="I8" s="73"/>
      <c r="J8" s="70"/>
      <c r="K8" s="70"/>
      <c r="L8" s="70"/>
      <c r="M8" s="70"/>
      <c r="N8" s="937"/>
      <c r="O8" s="938"/>
      <c r="P8" s="938"/>
      <c r="Q8" s="938"/>
      <c r="R8" s="938"/>
      <c r="S8" s="938"/>
      <c r="T8" s="938"/>
      <c r="U8" s="938"/>
      <c r="V8" s="939"/>
    </row>
    <row r="9" spans="1:36" ht="18" customHeight="1">
      <c r="A9" s="70"/>
      <c r="B9" s="70"/>
      <c r="C9" s="70"/>
      <c r="D9" s="70"/>
      <c r="E9" s="70"/>
      <c r="F9" s="70"/>
      <c r="G9" s="70"/>
      <c r="H9" s="70"/>
      <c r="I9" s="70"/>
      <c r="J9" s="70"/>
      <c r="K9" s="73"/>
      <c r="L9" s="70"/>
      <c r="M9" s="70"/>
      <c r="N9" s="937"/>
      <c r="O9" s="938"/>
      <c r="P9" s="938"/>
      <c r="Q9" s="938"/>
      <c r="R9" s="938"/>
      <c r="S9" s="938"/>
      <c r="T9" s="938"/>
      <c r="U9" s="938"/>
      <c r="V9" s="939"/>
      <c r="W9" s="70"/>
      <c r="X9" s="70"/>
    </row>
    <row r="10" spans="1:36" ht="18.75">
      <c r="A10" s="70"/>
      <c r="B10" s="75"/>
      <c r="C10" s="75"/>
      <c r="D10" s="75"/>
      <c r="E10" s="70"/>
      <c r="F10" s="70"/>
      <c r="G10" s="70"/>
      <c r="H10" s="70"/>
      <c r="I10" s="70"/>
      <c r="J10" s="70"/>
      <c r="K10" s="73"/>
      <c r="L10" s="70"/>
      <c r="M10" s="70"/>
      <c r="N10" s="940"/>
      <c r="O10" s="941"/>
      <c r="P10" s="941"/>
      <c r="Q10" s="941"/>
      <c r="R10" s="941"/>
      <c r="S10" s="941"/>
      <c r="T10" s="941"/>
      <c r="U10" s="941"/>
      <c r="V10" s="942"/>
      <c r="W10" s="70"/>
      <c r="X10" s="70"/>
    </row>
    <row r="11" spans="1:36" ht="18.75">
      <c r="A11" s="70"/>
      <c r="B11" s="75"/>
      <c r="C11" s="75"/>
      <c r="D11" s="75"/>
      <c r="E11" s="70"/>
      <c r="F11" s="70"/>
      <c r="G11" s="70"/>
      <c r="H11" s="70"/>
      <c r="I11" s="70"/>
      <c r="J11" s="70"/>
      <c r="K11" s="73"/>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row>
    <row r="12" spans="1:36" ht="25.5" customHeight="1">
      <c r="B12" s="75"/>
      <c r="C12" s="75"/>
      <c r="D12" s="75"/>
      <c r="E12" s="70"/>
      <c r="F12" s="70"/>
      <c r="G12" s="70"/>
      <c r="H12" s="11"/>
      <c r="J12" s="70"/>
      <c r="K12" s="73"/>
      <c r="L12" s="70" t="s">
        <v>303</v>
      </c>
      <c r="M12" s="70"/>
      <c r="O12" s="70"/>
      <c r="P12" s="70"/>
      <c r="Q12" s="70"/>
      <c r="R12" s="70"/>
      <c r="S12" s="70"/>
      <c r="T12" s="70"/>
      <c r="U12" s="76"/>
      <c r="V12" s="70"/>
      <c r="W12" s="70"/>
      <c r="X12" s="70"/>
      <c r="Y12" s="70"/>
      <c r="Z12" s="70"/>
      <c r="AA12" s="70"/>
      <c r="AB12" s="70"/>
      <c r="AC12" s="70"/>
      <c r="AD12" s="70"/>
      <c r="AE12" s="70"/>
      <c r="AF12" s="70"/>
      <c r="AG12" s="70"/>
      <c r="AH12" s="70"/>
      <c r="AI12" s="70"/>
      <c r="AJ12" s="70"/>
    </row>
    <row r="13" spans="1:36">
      <c r="A13" s="70"/>
      <c r="B13" s="947" t="s">
        <v>0</v>
      </c>
      <c r="C13" s="989" t="s">
        <v>266</v>
      </c>
      <c r="D13" s="990"/>
      <c r="E13" s="990"/>
      <c r="F13" s="991"/>
      <c r="G13" s="116" t="s">
        <v>2</v>
      </c>
      <c r="H13" s="115"/>
      <c r="I13" s="115"/>
      <c r="J13" s="115"/>
      <c r="K13" s="115"/>
      <c r="L13" s="115"/>
      <c r="M13" s="115"/>
      <c r="N13" s="115"/>
      <c r="O13" s="116" t="s">
        <v>3</v>
      </c>
      <c r="P13" s="115"/>
      <c r="Q13" s="115"/>
      <c r="R13" s="115"/>
      <c r="S13" s="115"/>
      <c r="T13" s="115"/>
      <c r="U13" s="116" t="s">
        <v>14</v>
      </c>
      <c r="V13" s="124"/>
    </row>
    <row r="14" spans="1:36" ht="36.75" customHeight="1">
      <c r="A14" s="70"/>
      <c r="B14" s="949"/>
      <c r="C14" s="233" t="s">
        <v>795</v>
      </c>
      <c r="D14" s="567" t="s">
        <v>791</v>
      </c>
      <c r="E14" s="117" t="s">
        <v>317</v>
      </c>
      <c r="F14" s="62" t="s">
        <v>269</v>
      </c>
      <c r="G14" s="118" t="s">
        <v>15</v>
      </c>
      <c r="H14" s="389" t="s">
        <v>618</v>
      </c>
      <c r="I14" s="21" t="s">
        <v>318</v>
      </c>
      <c r="J14" s="1000" t="s">
        <v>264</v>
      </c>
      <c r="K14" s="1001"/>
      <c r="L14" s="21" t="s">
        <v>842</v>
      </c>
      <c r="M14" s="21" t="s">
        <v>319</v>
      </c>
      <c r="N14" s="21" t="s">
        <v>320</v>
      </c>
      <c r="O14" s="118" t="s">
        <v>15</v>
      </c>
      <c r="P14" s="21" t="s">
        <v>307</v>
      </c>
      <c r="Q14" s="21" t="s">
        <v>264</v>
      </c>
      <c r="R14" s="21" t="s">
        <v>843</v>
      </c>
      <c r="S14" s="21" t="s">
        <v>308</v>
      </c>
      <c r="T14" s="62" t="s">
        <v>309</v>
      </c>
      <c r="U14" s="119" t="s">
        <v>321</v>
      </c>
      <c r="V14" s="21" t="s">
        <v>322</v>
      </c>
    </row>
    <row r="15" spans="1:36">
      <c r="A15" s="70"/>
      <c r="B15" s="18" t="s">
        <v>270</v>
      </c>
      <c r="C15" s="125" t="s">
        <v>612</v>
      </c>
      <c r="D15" s="125" t="s">
        <v>792</v>
      </c>
      <c r="E15" s="63" t="s">
        <v>22</v>
      </c>
      <c r="F15" s="64" t="s">
        <v>268</v>
      </c>
      <c r="G15" s="120"/>
      <c r="H15" s="449" t="s">
        <v>634</v>
      </c>
      <c r="I15" s="63" t="s">
        <v>19</v>
      </c>
      <c r="J15" s="1004" t="s">
        <v>306</v>
      </c>
      <c r="K15" s="1005"/>
      <c r="L15" s="63" t="s">
        <v>305</v>
      </c>
      <c r="M15" s="63" t="s">
        <v>8</v>
      </c>
      <c r="N15" s="63" t="s">
        <v>267</v>
      </c>
      <c r="O15" s="121"/>
      <c r="P15" s="63" t="s">
        <v>19</v>
      </c>
      <c r="Q15" s="56" t="s">
        <v>306</v>
      </c>
      <c r="R15" s="63" t="s">
        <v>305</v>
      </c>
      <c r="S15" s="9" t="s">
        <v>10</v>
      </c>
      <c r="T15" s="67" t="s">
        <v>10</v>
      </c>
      <c r="U15" s="122" t="s">
        <v>8</v>
      </c>
      <c r="V15" s="9" t="s">
        <v>10</v>
      </c>
      <c r="X15" s="72" t="s">
        <v>635</v>
      </c>
      <c r="Y15" s="72" t="s">
        <v>636</v>
      </c>
      <c r="Z15" s="72" t="s">
        <v>638</v>
      </c>
    </row>
    <row r="16" spans="1:36" ht="18.75">
      <c r="A16" s="70"/>
      <c r="B16" s="114" t="s">
        <v>323</v>
      </c>
      <c r="C16" s="620">
        <v>200</v>
      </c>
      <c r="D16" s="620">
        <v>10</v>
      </c>
      <c r="E16" s="621">
        <v>2000</v>
      </c>
      <c r="F16" s="622">
        <v>0.6</v>
      </c>
      <c r="G16" s="623" t="s">
        <v>263</v>
      </c>
      <c r="H16" s="624">
        <v>2008</v>
      </c>
      <c r="I16" s="620">
        <v>7.5</v>
      </c>
      <c r="J16" s="1006" t="s">
        <v>278</v>
      </c>
      <c r="K16" s="1007"/>
      <c r="L16" s="625">
        <f>IF(OR(J16="",F16=""),"",IF(X16&lt;&gt;5,INDEX(cmp_mode,X16,MATCH(F16,$G$52:$N$52,1))+(INDEX(cmp_mode,X16,MATCH(F16,$G$52:$N$52,1)+1)-INDEX(cmp_mode,X16,MATCH(F16,$G$52:$N$52,1)))*(F16-INDEX($G$52:$N$52,1,MATCH(F16,$G$52:$N$52,1)))/0.2,-0.5*F16^2+1.23*F16+0.26))</f>
        <v>0.87999999999999989</v>
      </c>
      <c r="M16" s="626">
        <f t="shared" ref="M16" si="0">IFERROR(I16*L16*E16,"")</f>
        <v>13200</v>
      </c>
      <c r="N16" s="627">
        <f>IFERROR(M16*'CO₂係数 '!$I$33,"")</f>
        <v>6.5339999999999998</v>
      </c>
      <c r="O16" s="623" t="s">
        <v>265</v>
      </c>
      <c r="P16" s="621">
        <v>7.5</v>
      </c>
      <c r="Q16" s="628" t="s">
        <v>283</v>
      </c>
      <c r="R16" s="629">
        <f>IF(OR(F16="",Q16=""),"",IF(Y16&lt;&gt;5,INDEX(cmp_mode,Y16,MATCH(AA16,$G$52:$N$52,1))+(INDEX(cmp_mode,Y16,MATCH(AA16,$G$52:$N$52,1)+1)-INDEX(cmp_mode,Y16,MATCH(AA16,$G$52:$N$52,1)))*(AA16-INDEX($G$52:$N$52,1,MATCH(AA16,$G$52:$N$52,1)))/0.2,-0.5*AA16^2+1.23*AA16+0.26))</f>
        <v>0.6</v>
      </c>
      <c r="S16" s="557">
        <f t="shared" ref="S16:S27" si="1">IFERROR(P16*R16*E16,"")</f>
        <v>9000</v>
      </c>
      <c r="T16" s="630">
        <f>IFERROR(S16*'CO₂係数 '!$I$33,"")</f>
        <v>4.4550000000000001</v>
      </c>
      <c r="U16" s="631">
        <f t="shared" ref="U16:U27" si="2">IFERROR(M16-S16,"")</f>
        <v>4200</v>
      </c>
      <c r="V16" s="632">
        <f t="shared" ref="V16:V27" si="3">IFERROR(N16-T16,"")</f>
        <v>2.0789999999999997</v>
      </c>
      <c r="X16" s="72">
        <f>MATCH(J16,$C$31:$C$37,0)</f>
        <v>4</v>
      </c>
      <c r="Y16" s="72">
        <f>MATCH(Q16,$C$31:$C$37,0)</f>
        <v>7</v>
      </c>
      <c r="Z16" s="72">
        <f>IF(AND(I18&lt;&gt;0,P18="",P19=""),(F16*I16+F18*I18+F19*I19)/P16,IF(AND(I18&lt;&gt;0,P18=""),(F16*I16+F18*I18)/P16,F16))</f>
        <v>0.6</v>
      </c>
      <c r="AA16" s="72">
        <f>IF(Z16&gt;1,1,Z16)</f>
        <v>0.6</v>
      </c>
    </row>
    <row r="17" spans="1:27" ht="14.25" thickBot="1">
      <c r="A17" s="70"/>
      <c r="B17" s="714" t="s">
        <v>903</v>
      </c>
      <c r="C17" s="758"/>
      <c r="D17" s="758"/>
      <c r="E17" s="722"/>
      <c r="F17" s="759"/>
      <c r="G17" s="760"/>
      <c r="H17" s="758"/>
      <c r="I17" s="722">
        <f>_xlfn.AGGREGATE(9,7,I18:I27)</f>
        <v>0</v>
      </c>
      <c r="J17" s="992"/>
      <c r="K17" s="993"/>
      <c r="L17" s="761"/>
      <c r="M17" s="722">
        <f>_xlfn.AGGREGATE(9,7,M18:M27)</f>
        <v>0</v>
      </c>
      <c r="N17" s="724">
        <f>_xlfn.AGGREGATE(9,7,N18:N27)</f>
        <v>0</v>
      </c>
      <c r="O17" s="760"/>
      <c r="P17" s="722">
        <f>_xlfn.AGGREGATE(9,7,P18:P27)</f>
        <v>0</v>
      </c>
      <c r="Q17" s="758"/>
      <c r="R17" s="761"/>
      <c r="S17" s="723">
        <f>_xlfn.AGGREGATE(9,7,S18:S27)</f>
        <v>0</v>
      </c>
      <c r="T17" s="725">
        <f>_xlfn.AGGREGATE(9,7,T18:T27)</f>
        <v>0</v>
      </c>
      <c r="U17" s="726">
        <f>_xlfn.AGGREGATE(9,7,U18:U27)</f>
        <v>0</v>
      </c>
      <c r="V17" s="723">
        <f>_xlfn.AGGREGATE(9,7,V18:V27)</f>
        <v>0</v>
      </c>
    </row>
    <row r="18" spans="1:27">
      <c r="A18" s="70"/>
      <c r="B18" s="683">
        <v>1</v>
      </c>
      <c r="C18" s="706"/>
      <c r="D18" s="706"/>
      <c r="E18" s="881">
        <f t="shared" ref="E18:E20" si="4">C18*D18</f>
        <v>0</v>
      </c>
      <c r="F18" s="707"/>
      <c r="G18" s="708"/>
      <c r="H18" s="709"/>
      <c r="I18" s="710"/>
      <c r="J18" s="1008"/>
      <c r="K18" s="1009"/>
      <c r="L18" s="882" t="str">
        <f t="shared" ref="L18:L27" si="5">IF(OR(J18="",F18=""),"",IF(X18&lt;&gt;5,INDEX(cmp_mode,X18,MATCH(F18,$G$52:$N$52,1))+(INDEX(cmp_mode,X18,MATCH(F18,$G$52:$N$52,1)+1)-INDEX(cmp_mode,X18,MATCH(F18,$G$52:$N$52,1)))*(F18-INDEX($G$52:$N$52,1,MATCH(F18,$G$52:$N$52,1)))/0.2,-0.5*F18^2+1.23*F18+0.26))</f>
        <v/>
      </c>
      <c r="M18" s="883">
        <f>IFERROR(I18*L18*E18,0)</f>
        <v>0</v>
      </c>
      <c r="N18" s="883">
        <f>IFERROR(M18*'CO₂係数 '!$I$33,0)</f>
        <v>0</v>
      </c>
      <c r="O18" s="711"/>
      <c r="P18" s="710"/>
      <c r="Q18" s="712"/>
      <c r="R18" s="884" t="str">
        <f t="shared" ref="R18:R27" si="6">IF(OR(F18="",Q18=""),"",IF(Y18&lt;&gt;5,INDEX(cmp_mode,Y18,MATCH(AA18,$G$52:$N$52,1))+(INDEX(cmp_mode,Y18,MATCH(AA18,$G$52:$N$52,1)+1)-INDEX(cmp_mode,Y18,MATCH(AA18,$G$52:$N$52,1)))*(AA18-INDEX($G$52:$N$52,1,MATCH(AA18,$G$52:$N$52,1)))/0.2,-0.5*AA18^2+1.23*AA18+0.26))</f>
        <v/>
      </c>
      <c r="S18" s="885" t="str">
        <f t="shared" si="1"/>
        <v/>
      </c>
      <c r="T18" s="886" t="str">
        <f>IFERROR(S18*'CO₂係数 '!$I$33,"")</f>
        <v/>
      </c>
      <c r="U18" s="887" t="str">
        <f t="shared" si="2"/>
        <v/>
      </c>
      <c r="V18" s="888" t="str">
        <f t="shared" si="3"/>
        <v/>
      </c>
      <c r="X18" s="72" t="e">
        <f t="shared" ref="X18:X27" si="7">MATCH(J18,$C$31:$C$37,0)</f>
        <v>#N/A</v>
      </c>
      <c r="Y18" s="72" t="e">
        <f t="shared" ref="Y18:Y27" si="8">MATCH(Q18,$C$31:$C$37,0)</f>
        <v>#N/A</v>
      </c>
      <c r="Z18" s="72">
        <f>IF(AND(I19&lt;&gt;0,P19="",P20=""),(F18*I18+F19*I19+F20*I20)/P18,IF(AND(I19&lt;&gt;0,P19=""),(F18*I18+F19*I19)/P18,F18))</f>
        <v>0</v>
      </c>
      <c r="AA18" s="72">
        <f>IF(Z18&gt;1,1,Z18)</f>
        <v>0</v>
      </c>
    </row>
    <row r="19" spans="1:27">
      <c r="A19" s="70"/>
      <c r="B19" s="16">
        <v>2</v>
      </c>
      <c r="C19" s="660"/>
      <c r="D19" s="660"/>
      <c r="E19" s="889">
        <f t="shared" si="4"/>
        <v>0</v>
      </c>
      <c r="F19" s="658"/>
      <c r="G19" s="633"/>
      <c r="H19" s="634"/>
      <c r="I19" s="659"/>
      <c r="J19" s="983"/>
      <c r="K19" s="984"/>
      <c r="L19" s="890" t="str">
        <f t="shared" si="5"/>
        <v/>
      </c>
      <c r="M19" s="891">
        <f t="shared" ref="M19:M27" si="9">IFERROR(I19*L19*E19,0)</f>
        <v>0</v>
      </c>
      <c r="N19" s="891">
        <f>IFERROR(M19*'CO₂係数 '!$I$33,0)</f>
        <v>0</v>
      </c>
      <c r="O19" s="635"/>
      <c r="P19" s="660"/>
      <c r="Q19" s="636"/>
      <c r="R19" s="892" t="str">
        <f t="shared" si="6"/>
        <v/>
      </c>
      <c r="S19" s="893" t="str">
        <f t="shared" si="1"/>
        <v/>
      </c>
      <c r="T19" s="894" t="str">
        <f>IFERROR(S19*'CO₂係数 '!$I$33,"")</f>
        <v/>
      </c>
      <c r="U19" s="895" t="str">
        <f t="shared" si="2"/>
        <v/>
      </c>
      <c r="V19" s="896" t="str">
        <f t="shared" si="3"/>
        <v/>
      </c>
      <c r="X19" s="72" t="e">
        <f t="shared" si="7"/>
        <v>#N/A</v>
      </c>
      <c r="Y19" s="72" t="e">
        <f t="shared" si="8"/>
        <v>#N/A</v>
      </c>
      <c r="Z19" s="72">
        <f t="shared" ref="Z19:Z25" si="10">IF(AND(I20&lt;&gt;0,P20="",P21=""),(F19*I19+F20*I20+F21*I21)/P19,IF(AND(I20&lt;&gt;0,P20=""),(F19*I19+F20*I20)/P19,F19))</f>
        <v>0</v>
      </c>
      <c r="AA19" s="72">
        <f t="shared" ref="AA19:AA26" si="11">IF(Z19&gt;1,1,Z19)</f>
        <v>0</v>
      </c>
    </row>
    <row r="20" spans="1:27">
      <c r="A20" s="70"/>
      <c r="B20" s="16">
        <v>3</v>
      </c>
      <c r="C20" s="660"/>
      <c r="D20" s="660"/>
      <c r="E20" s="889">
        <f t="shared" si="4"/>
        <v>0</v>
      </c>
      <c r="F20" s="658"/>
      <c r="G20" s="633"/>
      <c r="H20" s="634"/>
      <c r="I20" s="659"/>
      <c r="J20" s="983"/>
      <c r="K20" s="984"/>
      <c r="L20" s="890" t="str">
        <f t="shared" si="5"/>
        <v/>
      </c>
      <c r="M20" s="891">
        <f t="shared" si="9"/>
        <v>0</v>
      </c>
      <c r="N20" s="891">
        <f>IFERROR(M20*'CO₂係数 '!$I$33,0)</f>
        <v>0</v>
      </c>
      <c r="O20" s="635"/>
      <c r="P20" s="660"/>
      <c r="Q20" s="636"/>
      <c r="R20" s="892" t="str">
        <f t="shared" si="6"/>
        <v/>
      </c>
      <c r="S20" s="893" t="str">
        <f t="shared" si="1"/>
        <v/>
      </c>
      <c r="T20" s="894" t="str">
        <f>IFERROR(S20*'CO₂係数 '!$I$33,"")</f>
        <v/>
      </c>
      <c r="U20" s="895" t="str">
        <f t="shared" si="2"/>
        <v/>
      </c>
      <c r="V20" s="896" t="str">
        <f t="shared" si="3"/>
        <v/>
      </c>
      <c r="X20" s="72" t="e">
        <f t="shared" si="7"/>
        <v>#N/A</v>
      </c>
      <c r="Y20" s="72" t="e">
        <f t="shared" si="8"/>
        <v>#N/A</v>
      </c>
      <c r="Z20" s="72">
        <f t="shared" si="10"/>
        <v>0</v>
      </c>
      <c r="AA20" s="72">
        <f t="shared" si="11"/>
        <v>0</v>
      </c>
    </row>
    <row r="21" spans="1:27">
      <c r="A21" s="70"/>
      <c r="B21" s="16">
        <v>4</v>
      </c>
      <c r="C21" s="660"/>
      <c r="D21" s="660"/>
      <c r="E21" s="889">
        <f t="shared" ref="E21:E27" si="12">C21*D21</f>
        <v>0</v>
      </c>
      <c r="F21" s="658"/>
      <c r="G21" s="633"/>
      <c r="H21" s="634"/>
      <c r="I21" s="659"/>
      <c r="J21" s="983"/>
      <c r="K21" s="984"/>
      <c r="L21" s="890" t="str">
        <f t="shared" si="5"/>
        <v/>
      </c>
      <c r="M21" s="891">
        <f t="shared" si="9"/>
        <v>0</v>
      </c>
      <c r="N21" s="891">
        <f>IFERROR(M21*'CO₂係数 '!$I$33,0)</f>
        <v>0</v>
      </c>
      <c r="O21" s="635"/>
      <c r="P21" s="660"/>
      <c r="Q21" s="636"/>
      <c r="R21" s="892" t="str">
        <f t="shared" si="6"/>
        <v/>
      </c>
      <c r="S21" s="893" t="str">
        <f t="shared" si="1"/>
        <v/>
      </c>
      <c r="T21" s="894" t="str">
        <f>IFERROR(S21*'CO₂係数 '!$I$33,"")</f>
        <v/>
      </c>
      <c r="U21" s="895" t="str">
        <f t="shared" si="2"/>
        <v/>
      </c>
      <c r="V21" s="896" t="str">
        <f t="shared" si="3"/>
        <v/>
      </c>
      <c r="X21" s="72" t="e">
        <f t="shared" si="7"/>
        <v>#N/A</v>
      </c>
      <c r="Y21" s="72" t="e">
        <f t="shared" si="8"/>
        <v>#N/A</v>
      </c>
      <c r="Z21" s="72">
        <f t="shared" si="10"/>
        <v>0</v>
      </c>
      <c r="AA21" s="72">
        <f t="shared" si="11"/>
        <v>0</v>
      </c>
    </row>
    <row r="22" spans="1:27">
      <c r="A22" s="70"/>
      <c r="B22" s="16">
        <v>5</v>
      </c>
      <c r="C22" s="660"/>
      <c r="D22" s="660"/>
      <c r="E22" s="889">
        <f t="shared" si="12"/>
        <v>0</v>
      </c>
      <c r="F22" s="658"/>
      <c r="G22" s="633"/>
      <c r="H22" s="634"/>
      <c r="I22" s="659"/>
      <c r="J22" s="983"/>
      <c r="K22" s="984"/>
      <c r="L22" s="890" t="str">
        <f t="shared" si="5"/>
        <v/>
      </c>
      <c r="M22" s="891">
        <f t="shared" si="9"/>
        <v>0</v>
      </c>
      <c r="N22" s="891">
        <f>IFERROR(M22*'CO₂係数 '!$I$33,0)</f>
        <v>0</v>
      </c>
      <c r="O22" s="635"/>
      <c r="P22" s="660"/>
      <c r="Q22" s="636"/>
      <c r="R22" s="892" t="str">
        <f t="shared" si="6"/>
        <v/>
      </c>
      <c r="S22" s="893" t="str">
        <f t="shared" si="1"/>
        <v/>
      </c>
      <c r="T22" s="894" t="str">
        <f>IFERROR(S22*'CO₂係数 '!$I$33,"")</f>
        <v/>
      </c>
      <c r="U22" s="895" t="str">
        <f t="shared" si="2"/>
        <v/>
      </c>
      <c r="V22" s="896" t="str">
        <f t="shared" si="3"/>
        <v/>
      </c>
      <c r="X22" s="72" t="e">
        <f t="shared" si="7"/>
        <v>#N/A</v>
      </c>
      <c r="Y22" s="72" t="e">
        <f t="shared" si="8"/>
        <v>#N/A</v>
      </c>
      <c r="Z22" s="72">
        <f t="shared" si="10"/>
        <v>0</v>
      </c>
      <c r="AA22" s="72">
        <f t="shared" si="11"/>
        <v>0</v>
      </c>
    </row>
    <row r="23" spans="1:27">
      <c r="A23" s="70"/>
      <c r="B23" s="16">
        <v>6</v>
      </c>
      <c r="C23" s="660"/>
      <c r="D23" s="660"/>
      <c r="E23" s="889">
        <f t="shared" si="12"/>
        <v>0</v>
      </c>
      <c r="F23" s="658"/>
      <c r="G23" s="633"/>
      <c r="H23" s="634"/>
      <c r="I23" s="659"/>
      <c r="J23" s="983"/>
      <c r="K23" s="984"/>
      <c r="L23" s="890" t="str">
        <f t="shared" si="5"/>
        <v/>
      </c>
      <c r="M23" s="891">
        <f t="shared" si="9"/>
        <v>0</v>
      </c>
      <c r="N23" s="891">
        <f>IFERROR(M23*'CO₂係数 '!$I$33,0)</f>
        <v>0</v>
      </c>
      <c r="O23" s="635"/>
      <c r="P23" s="660"/>
      <c r="Q23" s="636"/>
      <c r="R23" s="892" t="str">
        <f t="shared" si="6"/>
        <v/>
      </c>
      <c r="S23" s="893" t="str">
        <f t="shared" si="1"/>
        <v/>
      </c>
      <c r="T23" s="894" t="str">
        <f>IFERROR(S23*'CO₂係数 '!$I$33,"")</f>
        <v/>
      </c>
      <c r="U23" s="895" t="str">
        <f t="shared" si="2"/>
        <v/>
      </c>
      <c r="V23" s="896" t="str">
        <f t="shared" si="3"/>
        <v/>
      </c>
      <c r="X23" s="72" t="e">
        <f t="shared" si="7"/>
        <v>#N/A</v>
      </c>
      <c r="Y23" s="72" t="e">
        <f t="shared" si="8"/>
        <v>#N/A</v>
      </c>
      <c r="Z23" s="72">
        <f t="shared" si="10"/>
        <v>0</v>
      </c>
      <c r="AA23" s="72">
        <f t="shared" si="11"/>
        <v>0</v>
      </c>
    </row>
    <row r="24" spans="1:27">
      <c r="A24" s="70"/>
      <c r="B24" s="16">
        <v>7</v>
      </c>
      <c r="C24" s="660"/>
      <c r="D24" s="660"/>
      <c r="E24" s="889">
        <f t="shared" si="12"/>
        <v>0</v>
      </c>
      <c r="F24" s="658"/>
      <c r="G24" s="633"/>
      <c r="H24" s="634"/>
      <c r="I24" s="659"/>
      <c r="J24" s="983"/>
      <c r="K24" s="984"/>
      <c r="L24" s="890" t="str">
        <f t="shared" si="5"/>
        <v/>
      </c>
      <c r="M24" s="891">
        <f t="shared" si="9"/>
        <v>0</v>
      </c>
      <c r="N24" s="891">
        <f>IFERROR(M24*'CO₂係数 '!$I$33,0)</f>
        <v>0</v>
      </c>
      <c r="O24" s="635"/>
      <c r="P24" s="660"/>
      <c r="Q24" s="636"/>
      <c r="R24" s="892" t="str">
        <f t="shared" si="6"/>
        <v/>
      </c>
      <c r="S24" s="893" t="str">
        <f t="shared" si="1"/>
        <v/>
      </c>
      <c r="T24" s="894" t="str">
        <f>IFERROR(S24*'CO₂係数 '!$I$33,"")</f>
        <v/>
      </c>
      <c r="U24" s="895" t="str">
        <f t="shared" si="2"/>
        <v/>
      </c>
      <c r="V24" s="896" t="str">
        <f t="shared" si="3"/>
        <v/>
      </c>
      <c r="X24" s="72" t="e">
        <f t="shared" si="7"/>
        <v>#N/A</v>
      </c>
      <c r="Y24" s="72" t="e">
        <f t="shared" si="8"/>
        <v>#N/A</v>
      </c>
      <c r="Z24" s="72">
        <f t="shared" si="10"/>
        <v>0</v>
      </c>
      <c r="AA24" s="72">
        <f t="shared" si="11"/>
        <v>0</v>
      </c>
    </row>
    <row r="25" spans="1:27">
      <c r="A25" s="70"/>
      <c r="B25" s="16">
        <v>8</v>
      </c>
      <c r="C25" s="660"/>
      <c r="D25" s="660"/>
      <c r="E25" s="889">
        <f t="shared" si="12"/>
        <v>0</v>
      </c>
      <c r="F25" s="658"/>
      <c r="G25" s="633"/>
      <c r="H25" s="634"/>
      <c r="I25" s="659"/>
      <c r="J25" s="983"/>
      <c r="K25" s="984"/>
      <c r="L25" s="890" t="str">
        <f t="shared" si="5"/>
        <v/>
      </c>
      <c r="M25" s="891">
        <f t="shared" si="9"/>
        <v>0</v>
      </c>
      <c r="N25" s="891">
        <f>IFERROR(M25*'CO₂係数 '!$I$33,0)</f>
        <v>0</v>
      </c>
      <c r="O25" s="635"/>
      <c r="P25" s="660"/>
      <c r="Q25" s="636"/>
      <c r="R25" s="892" t="str">
        <f t="shared" si="6"/>
        <v/>
      </c>
      <c r="S25" s="893" t="str">
        <f t="shared" si="1"/>
        <v/>
      </c>
      <c r="T25" s="894" t="str">
        <f>IFERROR(S25*'CO₂係数 '!$I$33,"")</f>
        <v/>
      </c>
      <c r="U25" s="895" t="str">
        <f t="shared" si="2"/>
        <v/>
      </c>
      <c r="V25" s="896" t="str">
        <f t="shared" si="3"/>
        <v/>
      </c>
      <c r="X25" s="72" t="e">
        <f t="shared" si="7"/>
        <v>#N/A</v>
      </c>
      <c r="Y25" s="72" t="e">
        <f t="shared" si="8"/>
        <v>#N/A</v>
      </c>
      <c r="Z25" s="72">
        <f t="shared" si="10"/>
        <v>0</v>
      </c>
      <c r="AA25" s="72">
        <f t="shared" si="11"/>
        <v>0</v>
      </c>
    </row>
    <row r="26" spans="1:27">
      <c r="A26" s="70"/>
      <c r="B26" s="16">
        <v>9</v>
      </c>
      <c r="C26" s="660"/>
      <c r="D26" s="660"/>
      <c r="E26" s="889">
        <f t="shared" si="12"/>
        <v>0</v>
      </c>
      <c r="F26" s="658"/>
      <c r="G26" s="633"/>
      <c r="H26" s="634"/>
      <c r="I26" s="659"/>
      <c r="J26" s="983"/>
      <c r="K26" s="984"/>
      <c r="L26" s="890" t="str">
        <f t="shared" si="5"/>
        <v/>
      </c>
      <c r="M26" s="891">
        <f t="shared" si="9"/>
        <v>0</v>
      </c>
      <c r="N26" s="891">
        <f>IFERROR(M26*'CO₂係数 '!$I$33,0)</f>
        <v>0</v>
      </c>
      <c r="O26" s="635"/>
      <c r="P26" s="660"/>
      <c r="Q26" s="636"/>
      <c r="R26" s="892" t="str">
        <f t="shared" si="6"/>
        <v/>
      </c>
      <c r="S26" s="893" t="str">
        <f t="shared" si="1"/>
        <v/>
      </c>
      <c r="T26" s="894" t="str">
        <f>IFERROR(S26*'CO₂係数 '!$I$33,"")</f>
        <v/>
      </c>
      <c r="U26" s="895" t="str">
        <f t="shared" si="2"/>
        <v/>
      </c>
      <c r="V26" s="896" t="str">
        <f t="shared" si="3"/>
        <v/>
      </c>
      <c r="X26" s="72" t="e">
        <f t="shared" si="7"/>
        <v>#N/A</v>
      </c>
      <c r="Y26" s="72" t="e">
        <f t="shared" si="8"/>
        <v>#N/A</v>
      </c>
      <c r="Z26" s="72">
        <f>IF(AND(I27&lt;&gt;0,P27="",P17=""),(F26*I26+F27*I27+I17*#REF!)/P26,IF(AND(I27&lt;&gt;0,P27=""),(F26*I26+F27*I27)/P26,F26))</f>
        <v>0</v>
      </c>
      <c r="AA26" s="72">
        <f t="shared" si="11"/>
        <v>0</v>
      </c>
    </row>
    <row r="27" spans="1:27">
      <c r="A27" s="70"/>
      <c r="B27" s="16">
        <v>10</v>
      </c>
      <c r="C27" s="660"/>
      <c r="D27" s="660"/>
      <c r="E27" s="889">
        <f t="shared" si="12"/>
        <v>0</v>
      </c>
      <c r="F27" s="658"/>
      <c r="G27" s="633"/>
      <c r="H27" s="634"/>
      <c r="I27" s="659"/>
      <c r="J27" s="983"/>
      <c r="K27" s="984"/>
      <c r="L27" s="890" t="str">
        <f t="shared" si="5"/>
        <v/>
      </c>
      <c r="M27" s="891">
        <f t="shared" si="9"/>
        <v>0</v>
      </c>
      <c r="N27" s="891">
        <f>IFERROR(M27*'CO₂係数 '!$I$33,0)</f>
        <v>0</v>
      </c>
      <c r="O27" s="635"/>
      <c r="P27" s="660"/>
      <c r="Q27" s="636"/>
      <c r="R27" s="892" t="str">
        <f t="shared" si="6"/>
        <v/>
      </c>
      <c r="S27" s="893" t="str">
        <f t="shared" si="1"/>
        <v/>
      </c>
      <c r="T27" s="894" t="str">
        <f>IFERROR(S27*'CO₂係数 '!$I$33,"")</f>
        <v/>
      </c>
      <c r="U27" s="895" t="str">
        <f t="shared" si="2"/>
        <v/>
      </c>
      <c r="V27" s="896" t="str">
        <f t="shared" si="3"/>
        <v/>
      </c>
      <c r="X27" s="72" t="e">
        <f t="shared" si="7"/>
        <v>#N/A</v>
      </c>
      <c r="Y27" s="72" t="e">
        <f t="shared" si="8"/>
        <v>#N/A</v>
      </c>
      <c r="Z27" s="72">
        <f>IF(AND(I17&lt;&gt;0,P17="",P28=""),(F27*I27+F17*I17+I28*#REF!)/P27,IF(AND(I17&lt;&gt;0,P17=""),(F27*I27+F17*I17)/P27,F27))</f>
        <v>0</v>
      </c>
      <c r="AA27" s="72">
        <f t="shared" ref="AA27" si="13">IF(Z27&gt;1,1,Z27)</f>
        <v>0</v>
      </c>
    </row>
    <row r="29" spans="1:27" ht="18" customHeight="1">
      <c r="A29" s="110" t="s">
        <v>316</v>
      </c>
    </row>
    <row r="30" spans="1:27" ht="24" customHeight="1">
      <c r="B30" s="1002" t="s">
        <v>311</v>
      </c>
      <c r="C30" s="1003"/>
      <c r="D30" s="1003"/>
      <c r="E30" s="998"/>
      <c r="F30" s="998"/>
      <c r="G30" s="998"/>
      <c r="H30" s="997" t="s">
        <v>310</v>
      </c>
      <c r="I30" s="998"/>
      <c r="J30" s="998"/>
      <c r="K30" s="998"/>
      <c r="L30" s="998"/>
      <c r="M30" s="998"/>
      <c r="N30" s="998"/>
      <c r="O30" s="999"/>
    </row>
    <row r="31" spans="1:27" ht="20.25" customHeight="1">
      <c r="B31" s="500" t="s">
        <v>290</v>
      </c>
      <c r="C31" s="501" t="s">
        <v>304</v>
      </c>
      <c r="D31" s="501"/>
      <c r="E31" s="501"/>
      <c r="F31" s="501"/>
      <c r="G31" s="501"/>
      <c r="H31" s="506" t="s">
        <v>289</v>
      </c>
      <c r="I31" s="501"/>
      <c r="J31" s="501"/>
      <c r="K31" s="501"/>
      <c r="L31" s="501"/>
      <c r="M31" s="501"/>
      <c r="N31" s="501"/>
      <c r="O31" s="507"/>
    </row>
    <row r="32" spans="1:27" ht="20.25" customHeight="1">
      <c r="B32" s="502" t="s">
        <v>291</v>
      </c>
      <c r="C32" s="503" t="s">
        <v>274</v>
      </c>
      <c r="D32" s="503"/>
      <c r="E32" s="503"/>
      <c r="F32" s="503"/>
      <c r="G32" s="503"/>
      <c r="H32" s="508" t="s">
        <v>301</v>
      </c>
      <c r="I32" s="503"/>
      <c r="J32" s="503"/>
      <c r="K32" s="503"/>
      <c r="L32" s="503"/>
      <c r="M32" s="503"/>
      <c r="N32" s="503"/>
      <c r="O32" s="509"/>
    </row>
    <row r="33" spans="2:27" ht="20.25" customHeight="1">
      <c r="B33" s="502" t="s">
        <v>292</v>
      </c>
      <c r="C33" s="503" t="s">
        <v>276</v>
      </c>
      <c r="D33" s="503"/>
      <c r="E33" s="503"/>
      <c r="F33" s="503"/>
      <c r="G33" s="503"/>
      <c r="H33" s="508" t="s">
        <v>297</v>
      </c>
      <c r="I33" s="503"/>
      <c r="J33" s="503"/>
      <c r="K33" s="503"/>
      <c r="L33" s="503"/>
      <c r="M33" s="503"/>
      <c r="N33" s="503"/>
      <c r="O33" s="509"/>
    </row>
    <row r="34" spans="2:27" ht="20.25" customHeight="1">
      <c r="B34" s="502" t="s">
        <v>293</v>
      </c>
      <c r="C34" s="503" t="s">
        <v>278</v>
      </c>
      <c r="D34" s="503"/>
      <c r="E34" s="503"/>
      <c r="F34" s="503"/>
      <c r="G34" s="503"/>
      <c r="H34" s="508" t="s">
        <v>298</v>
      </c>
      <c r="I34" s="503"/>
      <c r="J34" s="503"/>
      <c r="K34" s="503"/>
      <c r="L34" s="503"/>
      <c r="M34" s="503"/>
      <c r="N34" s="503"/>
      <c r="O34" s="509"/>
    </row>
    <row r="35" spans="2:27" ht="20.25" customHeight="1">
      <c r="B35" s="502" t="s">
        <v>294</v>
      </c>
      <c r="C35" s="503" t="s">
        <v>280</v>
      </c>
      <c r="D35" s="503"/>
      <c r="E35" s="503"/>
      <c r="F35" s="503"/>
      <c r="G35" s="503"/>
      <c r="H35" s="994" t="s">
        <v>302</v>
      </c>
      <c r="I35" s="995"/>
      <c r="J35" s="995"/>
      <c r="K35" s="995"/>
      <c r="L35" s="995"/>
      <c r="M35" s="995"/>
      <c r="N35" s="995"/>
      <c r="O35" s="996"/>
    </row>
    <row r="36" spans="2:27" ht="20.25" customHeight="1">
      <c r="B36" s="502" t="s">
        <v>295</v>
      </c>
      <c r="C36" s="503" t="s">
        <v>281</v>
      </c>
      <c r="D36" s="503"/>
      <c r="E36" s="503"/>
      <c r="F36" s="503"/>
      <c r="G36" s="503"/>
      <c r="H36" s="508" t="s">
        <v>299</v>
      </c>
      <c r="I36" s="503"/>
      <c r="J36" s="503"/>
      <c r="K36" s="503"/>
      <c r="L36" s="503"/>
      <c r="M36" s="503"/>
      <c r="N36" s="503"/>
      <c r="O36" s="509"/>
    </row>
    <row r="37" spans="2:27" ht="20.25" customHeight="1">
      <c r="B37" s="504" t="s">
        <v>296</v>
      </c>
      <c r="C37" s="505" t="s">
        <v>283</v>
      </c>
      <c r="D37" s="505"/>
      <c r="E37" s="505"/>
      <c r="F37" s="505"/>
      <c r="G37" s="505"/>
      <c r="H37" s="510" t="s">
        <v>300</v>
      </c>
      <c r="I37" s="505"/>
      <c r="J37" s="505"/>
      <c r="K37" s="505"/>
      <c r="L37" s="505"/>
      <c r="M37" s="505"/>
      <c r="N37" s="505"/>
      <c r="O37" s="511"/>
    </row>
    <row r="38" spans="2:27" ht="27" customHeight="1"/>
    <row r="39" spans="2:27" ht="13.5" customHeight="1">
      <c r="B39" s="68"/>
      <c r="C39" s="68"/>
      <c r="D39" s="68"/>
      <c r="E39" s="78"/>
      <c r="F39" s="78"/>
      <c r="G39" s="68"/>
      <c r="H39" s="68"/>
      <c r="I39" s="68"/>
      <c r="J39" s="68"/>
      <c r="K39" s="68"/>
      <c r="L39" s="68"/>
      <c r="M39" s="68"/>
      <c r="N39" s="68"/>
      <c r="O39" s="68"/>
      <c r="P39" s="68"/>
      <c r="Q39" s="68"/>
      <c r="R39" s="68"/>
      <c r="S39" s="68"/>
      <c r="T39" s="68"/>
      <c r="U39" s="68"/>
      <c r="V39" s="68"/>
      <c r="W39" s="68"/>
      <c r="X39" s="68"/>
      <c r="Y39" s="68"/>
      <c r="Z39" s="68"/>
      <c r="AA39" s="68"/>
    </row>
    <row r="40" spans="2:27" ht="18.75">
      <c r="B40" s="68"/>
      <c r="C40" s="68"/>
      <c r="D40" s="68"/>
      <c r="E40" s="68"/>
      <c r="F40" s="79"/>
      <c r="G40" s="68"/>
      <c r="H40" s="68"/>
      <c r="I40" s="68"/>
      <c r="J40" s="68"/>
      <c r="K40" s="68"/>
      <c r="L40" s="68"/>
      <c r="M40" s="68"/>
      <c r="N40" s="68"/>
      <c r="O40" s="68"/>
      <c r="P40" s="68"/>
      <c r="Q40" s="68"/>
      <c r="R40" s="68"/>
      <c r="S40" s="68"/>
      <c r="T40" s="68"/>
      <c r="U40" s="68"/>
      <c r="V40" s="68"/>
      <c r="W40" s="68"/>
      <c r="X40" s="68"/>
      <c r="Y40" s="68"/>
      <c r="Z40" s="68"/>
      <c r="AA40" s="68"/>
    </row>
    <row r="41" spans="2:27" ht="18.75">
      <c r="B41" s="68"/>
      <c r="C41" s="68"/>
      <c r="D41" s="68"/>
      <c r="E41" s="68"/>
      <c r="F41" s="79"/>
      <c r="G41" s="68"/>
      <c r="H41" s="68"/>
      <c r="I41" s="68"/>
      <c r="J41" s="68"/>
      <c r="K41" s="68"/>
      <c r="L41" s="68"/>
      <c r="M41" s="68"/>
      <c r="N41" s="68"/>
      <c r="O41" s="68"/>
      <c r="P41" s="68"/>
      <c r="Q41" s="68"/>
      <c r="R41" s="68"/>
      <c r="S41" s="68"/>
      <c r="T41" s="68"/>
      <c r="U41" s="68"/>
      <c r="V41" s="68"/>
      <c r="W41" s="68"/>
      <c r="X41" s="68"/>
      <c r="Y41" s="68"/>
      <c r="Z41" s="68"/>
      <c r="AA41" s="68"/>
    </row>
    <row r="42" spans="2:27" ht="18.75">
      <c r="B42" s="78"/>
      <c r="C42" s="78"/>
      <c r="D42" s="78"/>
      <c r="E42" s="68"/>
      <c r="F42" s="79"/>
      <c r="G42" s="68"/>
      <c r="H42" s="68"/>
      <c r="I42" s="68"/>
      <c r="J42" s="68"/>
      <c r="K42" s="68"/>
      <c r="L42" s="68"/>
      <c r="M42" s="68"/>
      <c r="N42" s="68"/>
      <c r="O42" s="68"/>
      <c r="P42" s="68"/>
      <c r="Q42" s="68"/>
      <c r="R42" s="68"/>
      <c r="S42" s="68"/>
      <c r="T42" s="68"/>
      <c r="U42" s="68"/>
      <c r="V42" s="68"/>
      <c r="W42" s="68"/>
      <c r="X42" s="68"/>
      <c r="Y42" s="68"/>
      <c r="Z42" s="68"/>
      <c r="AA42" s="68"/>
    </row>
    <row r="43" spans="2:27" ht="18.75">
      <c r="B43" s="78"/>
      <c r="C43" s="78"/>
      <c r="D43" s="78"/>
      <c r="E43" s="78"/>
      <c r="F43" s="79"/>
      <c r="G43" s="68"/>
      <c r="H43" s="68"/>
      <c r="I43" s="68"/>
      <c r="J43" s="68"/>
      <c r="K43" s="68"/>
      <c r="L43" s="68"/>
      <c r="M43" s="68"/>
      <c r="N43" s="68"/>
      <c r="O43" s="68"/>
      <c r="P43" s="68"/>
      <c r="Q43" s="68"/>
      <c r="R43" s="68"/>
      <c r="S43" s="68"/>
      <c r="T43" s="68"/>
      <c r="U43" s="68"/>
      <c r="V43" s="68"/>
      <c r="W43" s="68"/>
      <c r="X43" s="68"/>
      <c r="Y43" s="68"/>
      <c r="Z43" s="68"/>
      <c r="AA43" s="68"/>
    </row>
    <row r="44" spans="2:27" ht="18.75">
      <c r="B44" s="78"/>
      <c r="C44" s="78"/>
      <c r="D44" s="78"/>
      <c r="E44" s="78"/>
      <c r="F44" s="79"/>
      <c r="G44" s="68"/>
      <c r="H44" s="68"/>
      <c r="I44" s="68"/>
      <c r="J44" s="68"/>
      <c r="K44" s="68"/>
      <c r="L44" s="68"/>
      <c r="M44" s="68"/>
      <c r="N44" s="68"/>
      <c r="O44" s="68"/>
      <c r="P44" s="68"/>
      <c r="Q44" s="68"/>
      <c r="R44" s="68"/>
      <c r="S44" s="68"/>
      <c r="T44" s="68"/>
      <c r="U44" s="68"/>
      <c r="V44" s="68"/>
      <c r="W44" s="68"/>
      <c r="X44" s="68"/>
      <c r="Y44" s="68"/>
      <c r="Z44" s="68"/>
      <c r="AA44" s="68"/>
    </row>
    <row r="45" spans="2:27" ht="18.75">
      <c r="B45" s="78"/>
      <c r="C45" s="78"/>
      <c r="D45" s="78"/>
      <c r="E45" s="78"/>
      <c r="F45" s="79"/>
      <c r="G45" s="68"/>
      <c r="H45" s="68"/>
      <c r="I45" s="68"/>
      <c r="J45" s="68"/>
      <c r="K45" s="68"/>
      <c r="L45" s="68"/>
      <c r="M45" s="68"/>
      <c r="N45" s="68"/>
      <c r="O45" s="68"/>
      <c r="P45" s="68"/>
      <c r="Q45" s="68"/>
      <c r="R45" s="68"/>
      <c r="S45" s="68"/>
      <c r="T45" s="68"/>
      <c r="U45" s="68"/>
      <c r="V45" s="68"/>
      <c r="W45" s="68"/>
      <c r="X45" s="68"/>
      <c r="Y45" s="68"/>
      <c r="Z45" s="68"/>
      <c r="AA45" s="68"/>
    </row>
    <row r="46" spans="2:27" ht="18.75">
      <c r="B46" s="78"/>
      <c r="C46" s="78"/>
      <c r="D46" s="78"/>
      <c r="E46" s="78"/>
      <c r="F46" s="79"/>
      <c r="G46" s="68"/>
      <c r="H46" s="68"/>
      <c r="I46" s="68"/>
      <c r="J46" s="68"/>
      <c r="K46" s="68"/>
      <c r="L46" s="68"/>
      <c r="M46" s="68"/>
      <c r="N46" s="68"/>
      <c r="O46" s="68"/>
      <c r="P46" s="68"/>
      <c r="Q46" s="68"/>
      <c r="R46" s="68"/>
      <c r="S46" s="68"/>
      <c r="T46" s="68"/>
      <c r="U46" s="68"/>
      <c r="V46" s="68"/>
      <c r="W46" s="68"/>
      <c r="X46" s="68"/>
      <c r="Y46" s="68"/>
      <c r="Z46" s="68"/>
      <c r="AA46" s="68"/>
    </row>
    <row r="47" spans="2:27" ht="18.75">
      <c r="B47" s="78"/>
      <c r="C47" s="78"/>
      <c r="D47" s="78"/>
      <c r="E47" s="68"/>
      <c r="F47" s="79"/>
      <c r="G47" s="68"/>
      <c r="H47" s="68"/>
      <c r="I47" s="68"/>
      <c r="J47" s="68"/>
      <c r="K47" s="68"/>
      <c r="L47" s="68"/>
      <c r="M47" s="68"/>
      <c r="N47" s="68"/>
      <c r="O47" s="68"/>
      <c r="P47" s="68"/>
      <c r="Q47" s="68"/>
      <c r="R47" s="68"/>
      <c r="S47" s="68"/>
      <c r="T47" s="68"/>
      <c r="U47" s="68"/>
      <c r="V47" s="68"/>
      <c r="W47" s="68"/>
      <c r="X47" s="68"/>
      <c r="Y47" s="68"/>
      <c r="Z47" s="68"/>
      <c r="AA47" s="68"/>
    </row>
    <row r="48" spans="2:27" ht="18.75">
      <c r="B48" s="78"/>
      <c r="C48" s="78"/>
      <c r="D48" s="78"/>
      <c r="E48" s="78"/>
      <c r="F48" s="79"/>
      <c r="G48" s="68"/>
      <c r="H48" s="68"/>
      <c r="I48" s="68"/>
      <c r="J48" s="68"/>
      <c r="K48" s="68"/>
      <c r="L48" s="68"/>
      <c r="M48" s="68"/>
      <c r="N48" s="68"/>
      <c r="O48" s="68"/>
      <c r="P48" s="68"/>
      <c r="Q48" s="68"/>
      <c r="R48" s="68"/>
      <c r="S48" s="68"/>
      <c r="T48" s="68"/>
      <c r="U48" s="68"/>
      <c r="V48" s="68"/>
      <c r="W48" s="68"/>
      <c r="X48" s="68"/>
      <c r="Y48" s="68"/>
      <c r="Z48" s="68"/>
      <c r="AA48" s="68"/>
    </row>
    <row r="49" spans="2:27" ht="18.75">
      <c r="B49" s="78"/>
      <c r="C49" s="78"/>
      <c r="D49" s="78"/>
      <c r="E49" s="78"/>
      <c r="F49" s="79"/>
      <c r="G49" s="68"/>
      <c r="H49" s="68"/>
      <c r="I49" s="68"/>
      <c r="J49" s="68"/>
      <c r="K49" s="68"/>
      <c r="L49" s="68"/>
      <c r="M49" s="68"/>
      <c r="N49" s="68"/>
      <c r="O49" s="68"/>
      <c r="P49" s="68"/>
      <c r="Q49" s="68"/>
      <c r="R49" s="68"/>
      <c r="S49" s="68"/>
      <c r="T49" s="68"/>
      <c r="U49" s="68"/>
      <c r="V49" s="68"/>
      <c r="W49" s="68"/>
      <c r="X49" s="68"/>
      <c r="Y49" s="68"/>
      <c r="Z49" s="68"/>
      <c r="AA49" s="68"/>
    </row>
    <row r="50" spans="2:27" ht="18.75" hidden="1">
      <c r="B50" s="68"/>
      <c r="C50" s="68"/>
      <c r="D50" s="68"/>
      <c r="E50" s="68"/>
      <c r="F50" s="68"/>
      <c r="G50" s="68"/>
      <c r="H50" s="68"/>
      <c r="I50" s="68"/>
      <c r="J50" s="68"/>
      <c r="K50" s="68"/>
      <c r="L50" s="68"/>
      <c r="M50" s="68"/>
      <c r="N50" s="68"/>
      <c r="O50" s="68"/>
      <c r="P50" s="68" t="s">
        <v>273</v>
      </c>
      <c r="Q50" s="68"/>
      <c r="R50" s="68"/>
      <c r="S50" s="68"/>
    </row>
    <row r="51" spans="2:27" ht="19.5" hidden="1" thickBot="1">
      <c r="B51" s="68"/>
      <c r="C51" s="68"/>
      <c r="D51" s="68"/>
      <c r="E51" s="68"/>
      <c r="G51" s="68">
        <v>1</v>
      </c>
      <c r="H51" s="68"/>
      <c r="I51" s="68"/>
      <c r="J51" s="68">
        <v>2</v>
      </c>
      <c r="K51" s="68">
        <v>3</v>
      </c>
      <c r="L51" s="68">
        <v>4</v>
      </c>
      <c r="M51" s="68">
        <v>5</v>
      </c>
      <c r="N51" s="68">
        <v>6</v>
      </c>
      <c r="O51" s="68"/>
      <c r="P51" s="68"/>
      <c r="Q51" s="68">
        <f>MATCH(Q52,$G$52:$N$52,1)</f>
        <v>5</v>
      </c>
      <c r="R51" s="68"/>
      <c r="S51" s="68"/>
    </row>
    <row r="52" spans="2:27" ht="18.75" hidden="1">
      <c r="B52" s="68"/>
      <c r="C52" s="68"/>
      <c r="D52" s="68"/>
      <c r="E52" s="68"/>
      <c r="F52" s="80" t="s">
        <v>272</v>
      </c>
      <c r="G52" s="81">
        <v>0</v>
      </c>
      <c r="H52" s="81"/>
      <c r="I52" s="81"/>
      <c r="J52" s="81">
        <v>0.2</v>
      </c>
      <c r="K52" s="81">
        <v>0.4</v>
      </c>
      <c r="L52" s="81">
        <v>0.6</v>
      </c>
      <c r="M52" s="81">
        <v>0.8</v>
      </c>
      <c r="N52" s="81">
        <v>1</v>
      </c>
      <c r="O52" s="81"/>
      <c r="P52" s="87">
        <v>0.5</v>
      </c>
      <c r="Q52" s="88">
        <f>P52</f>
        <v>0.5</v>
      </c>
      <c r="R52" s="88">
        <v>0</v>
      </c>
      <c r="S52" s="89">
        <f>P52</f>
        <v>0.5</v>
      </c>
    </row>
    <row r="53" spans="2:27" ht="18.75" hidden="1">
      <c r="B53" s="68"/>
      <c r="C53" s="68"/>
      <c r="D53" s="68"/>
      <c r="E53" s="68">
        <v>1</v>
      </c>
      <c r="F53" s="80">
        <f>E31</f>
        <v>0</v>
      </c>
      <c r="G53" s="81">
        <v>0</v>
      </c>
      <c r="H53" s="81"/>
      <c r="I53" s="81"/>
      <c r="J53" s="81">
        <v>0.2</v>
      </c>
      <c r="K53" s="81">
        <v>0.4</v>
      </c>
      <c r="L53" s="81">
        <v>0.6</v>
      </c>
      <c r="M53" s="81">
        <v>0.8</v>
      </c>
      <c r="N53" s="81">
        <v>1</v>
      </c>
      <c r="O53" s="81">
        <v>1</v>
      </c>
      <c r="P53" s="90">
        <v>0</v>
      </c>
      <c r="Q53" s="83">
        <f>INDEX($G53:$N53,1,Q$51)+(INDEX($G53:$N53,1,Q$51+1)-INDEX($G53:$N53,1,Q$51))*(Q$52-INDEX($G52:$N$52,1,Q$51))/0.2</f>
        <v>0.5</v>
      </c>
      <c r="R53" s="91">
        <f t="shared" ref="R53" si="14">Q53</f>
        <v>0.5</v>
      </c>
      <c r="S53" s="92">
        <f t="shared" ref="S53" si="15">Q53</f>
        <v>0.5</v>
      </c>
    </row>
    <row r="54" spans="2:27" ht="18.75" hidden="1">
      <c r="B54" s="68"/>
      <c r="C54" s="68"/>
      <c r="D54" s="68"/>
      <c r="E54" s="68">
        <v>2</v>
      </c>
      <c r="F54" s="80" t="s">
        <v>275</v>
      </c>
      <c r="G54" s="82">
        <v>0.7</v>
      </c>
      <c r="H54" s="82"/>
      <c r="I54" s="82"/>
      <c r="J54" s="82">
        <f>$G54+0.3*J52</f>
        <v>0.76</v>
      </c>
      <c r="K54" s="82">
        <f>$G54+0.3*K52</f>
        <v>0.82</v>
      </c>
      <c r="L54" s="82">
        <f t="shared" ref="L54" si="16">$G54+0.3*L52</f>
        <v>0.87999999999999989</v>
      </c>
      <c r="M54" s="82">
        <f>$G54+0.3*M52</f>
        <v>0.94</v>
      </c>
      <c r="N54" s="82">
        <v>1</v>
      </c>
      <c r="O54" s="82">
        <v>1</v>
      </c>
      <c r="P54" s="93">
        <v>0</v>
      </c>
      <c r="Q54" s="83">
        <f>INDEX($G54:$N54,1,Q$51)+(INDEX($G54:$N54,1,Q$51+1)-INDEX($G54:$N54,1,Q$51))*(Q$52-INDEX($G$52:$N53,1,Q$51))/0.2</f>
        <v>0.84999999999999987</v>
      </c>
      <c r="R54" s="84">
        <f t="shared" ref="R54:R59" si="17">Q54</f>
        <v>0.84999999999999987</v>
      </c>
      <c r="S54" s="94">
        <f t="shared" ref="S54:S59" si="18">Q54</f>
        <v>0.84999999999999987</v>
      </c>
    </row>
    <row r="55" spans="2:27" ht="18.75" hidden="1">
      <c r="B55" s="68"/>
      <c r="C55" s="68"/>
      <c r="D55" s="68"/>
      <c r="E55" s="68">
        <v>3</v>
      </c>
      <c r="F55" s="80" t="s">
        <v>277</v>
      </c>
      <c r="G55" s="82">
        <v>0.4</v>
      </c>
      <c r="H55" s="82"/>
      <c r="I55" s="82"/>
      <c r="J55" s="82">
        <f>(K55-G55)*0.5+G55</f>
        <v>0.61</v>
      </c>
      <c r="K55" s="82">
        <f t="shared" ref="K55:M56" si="19">K54</f>
        <v>0.82</v>
      </c>
      <c r="L55" s="82">
        <f t="shared" si="19"/>
        <v>0.87999999999999989</v>
      </c>
      <c r="M55" s="82">
        <f t="shared" si="19"/>
        <v>0.94</v>
      </c>
      <c r="N55" s="82">
        <v>1</v>
      </c>
      <c r="O55" s="82">
        <v>1</v>
      </c>
      <c r="P55" s="93">
        <v>0</v>
      </c>
      <c r="Q55" s="83">
        <f>INDEX($G55:$N55,1,Q$51)+(INDEX($G55:$N55,1,Q$51+1)-INDEX($G55:$N55,1,Q$51))*(Q$52-INDEX($G$52:$N54,1,Q$51))/0.2</f>
        <v>0.84999999999999987</v>
      </c>
      <c r="R55" s="84">
        <f t="shared" si="17"/>
        <v>0.84999999999999987</v>
      </c>
      <c r="S55" s="94">
        <f t="shared" si="18"/>
        <v>0.84999999999999987</v>
      </c>
    </row>
    <row r="56" spans="2:27" ht="18.75" hidden="1">
      <c r="B56" s="68"/>
      <c r="C56" s="68"/>
      <c r="D56" s="68"/>
      <c r="E56" s="68">
        <v>4</v>
      </c>
      <c r="F56" s="80" t="s">
        <v>279</v>
      </c>
      <c r="G56" s="82">
        <v>0</v>
      </c>
      <c r="H56" s="82"/>
      <c r="I56" s="82"/>
      <c r="J56" s="82">
        <f>(K56-G56)*0.5+G56</f>
        <v>0.41</v>
      </c>
      <c r="K56" s="82">
        <f t="shared" si="19"/>
        <v>0.82</v>
      </c>
      <c r="L56" s="82">
        <f t="shared" si="19"/>
        <v>0.87999999999999989</v>
      </c>
      <c r="M56" s="82">
        <f t="shared" si="19"/>
        <v>0.94</v>
      </c>
      <c r="N56" s="82">
        <v>1</v>
      </c>
      <c r="O56" s="82">
        <v>1</v>
      </c>
      <c r="P56" s="93">
        <v>0</v>
      </c>
      <c r="Q56" s="83">
        <f>INDEX($G56:$N56,1,Q$51)+(INDEX($G56:$N56,1,Q$51+1)-INDEX($G56:$N56,1,Q$51))*(Q$52-INDEX($G$52:$N55,1,Q$51))/0.2</f>
        <v>0.84999999999999987</v>
      </c>
      <c r="R56" s="84">
        <f t="shared" si="17"/>
        <v>0.84999999999999987</v>
      </c>
      <c r="S56" s="94">
        <f t="shared" si="18"/>
        <v>0.84999999999999987</v>
      </c>
    </row>
    <row r="57" spans="2:27" ht="18.75" hidden="1">
      <c r="B57" s="68"/>
      <c r="C57" s="68"/>
      <c r="D57" s="68"/>
      <c r="E57" s="68">
        <v>5</v>
      </c>
      <c r="F57" s="80" t="s">
        <v>280</v>
      </c>
      <c r="G57" s="82">
        <v>0.25</v>
      </c>
      <c r="H57" s="82"/>
      <c r="I57" s="82"/>
      <c r="J57" s="82">
        <v>0.5</v>
      </c>
      <c r="K57" s="82">
        <v>0.68</v>
      </c>
      <c r="L57" s="82">
        <v>0.81</v>
      </c>
      <c r="M57" s="82">
        <v>0.91</v>
      </c>
      <c r="N57" s="82">
        <v>1</v>
      </c>
      <c r="O57" s="82">
        <v>1</v>
      </c>
      <c r="P57" s="93">
        <v>0</v>
      </c>
      <c r="Q57" s="83">
        <f>-0.5*Q52^2+1.23*Q52+0.26</f>
        <v>0.75</v>
      </c>
      <c r="R57" s="84">
        <f t="shared" si="17"/>
        <v>0.75</v>
      </c>
      <c r="S57" s="94">
        <f t="shared" si="18"/>
        <v>0.75</v>
      </c>
    </row>
    <row r="58" spans="2:27" ht="18.75" hidden="1">
      <c r="B58" s="68"/>
      <c r="C58" s="68"/>
      <c r="D58" s="68"/>
      <c r="E58" s="68">
        <v>6</v>
      </c>
      <c r="F58" s="85" t="s">
        <v>282</v>
      </c>
      <c r="G58" s="86">
        <v>0.25</v>
      </c>
      <c r="H58" s="86"/>
      <c r="I58" s="86"/>
      <c r="J58" s="82">
        <f>(K58-G58)*0.5+G58</f>
        <v>0.435</v>
      </c>
      <c r="K58" s="82">
        <v>0.62</v>
      </c>
      <c r="L58" s="82">
        <v>0.65</v>
      </c>
      <c r="M58" s="82">
        <v>0.8</v>
      </c>
      <c r="N58" s="82">
        <v>1</v>
      </c>
      <c r="O58" s="82">
        <v>1</v>
      </c>
      <c r="P58" s="93">
        <v>0</v>
      </c>
      <c r="Q58" s="83">
        <f>INDEX($G58:$N58,1,Q$51)+(INDEX($G58:$N58,1,Q$51+1)-INDEX($G58:$N58,1,Q$51))*(Q$52-INDEX($G$52:$N57,1,Q$51))/0.2</f>
        <v>0.63500000000000001</v>
      </c>
      <c r="R58" s="84">
        <f t="shared" si="17"/>
        <v>0.63500000000000001</v>
      </c>
      <c r="S58" s="94">
        <f t="shared" si="18"/>
        <v>0.63500000000000001</v>
      </c>
    </row>
    <row r="59" spans="2:27" ht="19.5" hidden="1" thickBot="1">
      <c r="B59" s="68"/>
      <c r="C59" s="68"/>
      <c r="D59" s="68"/>
      <c r="E59" s="95">
        <v>7</v>
      </c>
      <c r="F59" s="85" t="s">
        <v>283</v>
      </c>
      <c r="G59" s="86">
        <v>0</v>
      </c>
      <c r="H59" s="86"/>
      <c r="I59" s="86"/>
      <c r="J59" s="82">
        <v>0.2</v>
      </c>
      <c r="K59" s="82">
        <v>0.4</v>
      </c>
      <c r="L59" s="82">
        <v>0.6</v>
      </c>
      <c r="M59" s="82">
        <v>0.8</v>
      </c>
      <c r="N59" s="82">
        <v>1</v>
      </c>
      <c r="O59" s="82">
        <v>1</v>
      </c>
      <c r="P59" s="96">
        <v>0</v>
      </c>
      <c r="Q59" s="83">
        <f>INDEX($G59:$N59,1,Q$51)+(INDEX($G59:$N59,1,Q$51+1)-INDEX($G59:$N59,1,Q$51))*(Q$52-INDEX($G$52:$N58,1,Q$51))/0.2</f>
        <v>0.5</v>
      </c>
      <c r="R59" s="97">
        <f t="shared" si="17"/>
        <v>0.5</v>
      </c>
      <c r="S59" s="98">
        <f t="shared" si="18"/>
        <v>0.5</v>
      </c>
    </row>
    <row r="60" spans="2:27" ht="18.75" hidden="1">
      <c r="B60" s="68"/>
      <c r="C60" s="68"/>
      <c r="D60" s="68"/>
      <c r="E60" s="68"/>
      <c r="F60" s="68"/>
      <c r="G60" s="68"/>
      <c r="H60" s="68"/>
      <c r="I60" s="68"/>
      <c r="J60" s="68"/>
      <c r="K60" s="68"/>
      <c r="L60" s="68"/>
      <c r="M60" s="68"/>
      <c r="N60" s="68"/>
      <c r="O60" s="68"/>
      <c r="P60" s="68"/>
      <c r="Q60" s="68"/>
      <c r="R60" s="68"/>
      <c r="S60" s="68"/>
    </row>
    <row r="61" spans="2:27" ht="18.75" hidden="1">
      <c r="B61" s="68"/>
      <c r="C61" s="68"/>
      <c r="D61" s="68"/>
      <c r="E61" s="68"/>
      <c r="F61" s="68"/>
      <c r="G61" s="68"/>
      <c r="H61" s="68"/>
      <c r="I61" s="68"/>
      <c r="J61" s="68"/>
      <c r="K61" s="68"/>
      <c r="L61" s="68"/>
      <c r="M61" s="68"/>
      <c r="N61" s="68"/>
      <c r="O61" s="68"/>
      <c r="P61" s="68"/>
      <c r="Q61" s="68"/>
      <c r="R61" s="68"/>
      <c r="S61" s="68"/>
    </row>
    <row r="62" spans="2:27" ht="18.75" hidden="1">
      <c r="B62" s="68"/>
      <c r="C62" s="68"/>
      <c r="D62" s="68"/>
      <c r="E62" s="68"/>
      <c r="F62" s="99" t="s">
        <v>284</v>
      </c>
      <c r="G62" s="68"/>
      <c r="H62" s="68"/>
      <c r="I62" s="68"/>
      <c r="J62" s="68" t="s">
        <v>285</v>
      </c>
      <c r="K62" s="68"/>
      <c r="L62" s="68"/>
      <c r="M62" s="68"/>
      <c r="N62" s="68"/>
      <c r="O62" s="68"/>
      <c r="P62" s="68"/>
      <c r="Q62" s="68"/>
      <c r="R62" s="68"/>
      <c r="S62" s="68"/>
    </row>
    <row r="63" spans="2:27" ht="18.75" hidden="1">
      <c r="B63" s="68"/>
      <c r="C63" s="68"/>
      <c r="D63" s="68"/>
      <c r="E63" s="68"/>
      <c r="F63" s="68"/>
      <c r="G63" s="68"/>
      <c r="H63" s="68"/>
      <c r="I63" s="68"/>
      <c r="J63" s="68" t="s">
        <v>286</v>
      </c>
      <c r="K63" s="68"/>
      <c r="L63" s="68"/>
      <c r="M63" s="68"/>
      <c r="N63" s="68"/>
      <c r="O63" s="68"/>
      <c r="P63" s="68"/>
      <c r="Q63" s="68"/>
      <c r="R63" s="68"/>
      <c r="S63" s="68"/>
      <c r="T63" s="68"/>
      <c r="U63" s="68"/>
      <c r="V63" s="68"/>
      <c r="W63" s="68"/>
      <c r="X63" s="68"/>
      <c r="Y63" s="68"/>
      <c r="Z63" s="68"/>
      <c r="AA63" s="68"/>
    </row>
    <row r="64" spans="2:27" ht="18.75" hidden="1">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row>
    <row r="65" spans="2:27" ht="18.75" hidden="1">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row>
    <row r="66" spans="2:27" ht="18.75" hidden="1">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row>
    <row r="67" spans="2:27" ht="18.75" hidden="1">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row>
    <row r="68" spans="2:27" ht="18.75" hidden="1">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row>
    <row r="69" spans="2:27" ht="18.75" hidden="1">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row>
    <row r="70" spans="2:27" ht="18.75" hidden="1">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row>
    <row r="71" spans="2:27" ht="18.75" hidden="1">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row>
    <row r="72" spans="2:27" ht="18.75" hidden="1">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row>
    <row r="73" spans="2:27" ht="18.75" hidden="1">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row>
    <row r="74" spans="2:27" ht="18.75" hidden="1">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row>
    <row r="75" spans="2:27" ht="18.75" hidden="1">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row>
    <row r="76" spans="2:27" ht="18.75" hidden="1">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row>
    <row r="77" spans="2:27" ht="18.75" hidden="1">
      <c r="B77" s="68"/>
      <c r="C77" s="68"/>
      <c r="D77" s="68"/>
      <c r="E77" s="68"/>
      <c r="F77" s="68"/>
      <c r="G77" s="68"/>
      <c r="H77" s="68"/>
      <c r="I77" s="68"/>
      <c r="J77" s="68"/>
      <c r="K77" s="100" t="s">
        <v>287</v>
      </c>
      <c r="L77" s="100" t="s">
        <v>271</v>
      </c>
      <c r="M77" s="100" t="s">
        <v>287</v>
      </c>
      <c r="N77" s="100" t="s">
        <v>271</v>
      </c>
      <c r="O77" s="68"/>
      <c r="P77" s="68"/>
      <c r="Q77" s="68"/>
      <c r="R77" s="68"/>
      <c r="S77" s="68"/>
      <c r="T77" s="68"/>
      <c r="U77" s="68"/>
      <c r="V77" s="68"/>
      <c r="W77" s="68"/>
      <c r="X77" s="68"/>
      <c r="Y77" s="68"/>
      <c r="Z77" s="68"/>
      <c r="AA77" s="68"/>
    </row>
    <row r="78" spans="2:27" ht="18.75" hidden="1">
      <c r="B78" s="68"/>
      <c r="C78" s="68"/>
      <c r="D78" s="68"/>
      <c r="E78" s="68"/>
      <c r="F78" s="68"/>
      <c r="G78" s="68"/>
      <c r="H78" s="68"/>
      <c r="I78" s="68"/>
      <c r="J78" s="68"/>
      <c r="K78" s="101" t="e">
        <f>#REF!</f>
        <v>#REF!</v>
      </c>
      <c r="L78" s="102">
        <v>0.8</v>
      </c>
      <c r="M78" s="100">
        <v>-15</v>
      </c>
      <c r="N78" s="77" t="e">
        <f>L79</f>
        <v>#REF!</v>
      </c>
      <c r="O78" s="68"/>
      <c r="P78" s="68"/>
      <c r="Q78" s="68"/>
      <c r="R78" s="68"/>
      <c r="S78" s="68"/>
      <c r="T78" s="68"/>
      <c r="U78" s="68"/>
      <c r="V78" s="68"/>
      <c r="W78" s="68"/>
      <c r="X78" s="68"/>
      <c r="Y78" s="68"/>
      <c r="Z78" s="68"/>
      <c r="AA78" s="68"/>
    </row>
    <row r="79" spans="2:27" ht="18.75" hidden="1">
      <c r="B79" s="68"/>
      <c r="C79" s="68"/>
      <c r="D79" s="68"/>
      <c r="E79" s="68"/>
      <c r="F79" s="68"/>
      <c r="G79" s="68"/>
      <c r="H79" s="68"/>
      <c r="I79" s="68"/>
      <c r="J79" s="68"/>
      <c r="K79" s="100" t="e">
        <f>K78</f>
        <v>#REF!</v>
      </c>
      <c r="L79" s="102" t="e">
        <f>0.9288*EXP(0.0047*K79)</f>
        <v>#REF!</v>
      </c>
      <c r="M79" s="100" t="e">
        <f>K78</f>
        <v>#REF!</v>
      </c>
      <c r="N79" s="77" t="e">
        <f>N78</f>
        <v>#REF!</v>
      </c>
      <c r="O79" s="68"/>
      <c r="P79" s="68"/>
      <c r="Q79" s="68"/>
      <c r="R79" s="68"/>
      <c r="S79" s="68"/>
      <c r="T79" s="68"/>
      <c r="U79" s="68"/>
      <c r="V79" s="68"/>
      <c r="W79" s="68"/>
      <c r="X79" s="68"/>
      <c r="Y79" s="68"/>
      <c r="Z79" s="68"/>
      <c r="AA79" s="68"/>
    </row>
    <row r="80" spans="2:27" ht="18.75" hidden="1">
      <c r="B80" s="68"/>
      <c r="C80" s="68"/>
      <c r="D80" s="68"/>
      <c r="E80" s="68"/>
      <c r="F80" s="68"/>
      <c r="G80" s="68"/>
      <c r="H80" s="68"/>
      <c r="I80" s="68"/>
      <c r="J80" s="68"/>
      <c r="K80" s="101" t="e">
        <f>#REF!</f>
        <v>#REF!</v>
      </c>
      <c r="L80" s="102">
        <v>0.8</v>
      </c>
      <c r="M80" s="100">
        <f>M78</f>
        <v>-15</v>
      </c>
      <c r="N80" s="77" t="e">
        <f>L81</f>
        <v>#REF!</v>
      </c>
      <c r="O80" s="68"/>
      <c r="P80" s="68"/>
      <c r="Q80" s="68"/>
      <c r="R80" s="68"/>
      <c r="S80" s="68"/>
      <c r="T80" s="68"/>
      <c r="U80" s="68"/>
      <c r="V80" s="68"/>
      <c r="W80" s="68"/>
      <c r="X80" s="68"/>
      <c r="Y80" s="68"/>
      <c r="Z80" s="68"/>
      <c r="AA80" s="68"/>
    </row>
    <row r="81" spans="2:27" ht="18.75" hidden="1">
      <c r="B81" s="68"/>
      <c r="C81" s="68"/>
      <c r="D81" s="68"/>
      <c r="E81" s="68"/>
      <c r="F81" s="68"/>
      <c r="G81" s="68"/>
      <c r="H81" s="68"/>
      <c r="I81" s="68"/>
      <c r="J81" s="68"/>
      <c r="K81" s="100" t="e">
        <f>K80</f>
        <v>#REF!</v>
      </c>
      <c r="L81" s="102" t="e">
        <f>0.9288*EXP(0.0047*K81)</f>
        <v>#REF!</v>
      </c>
      <c r="M81" s="100" t="e">
        <f>K80</f>
        <v>#REF!</v>
      </c>
      <c r="N81" s="77" t="e">
        <f>L81</f>
        <v>#REF!</v>
      </c>
      <c r="O81" s="68"/>
      <c r="P81" s="68"/>
      <c r="Q81" s="68"/>
      <c r="R81" s="68"/>
      <c r="S81" s="68"/>
      <c r="T81" s="68"/>
      <c r="U81" s="68"/>
      <c r="V81" s="68"/>
      <c r="W81" s="68"/>
      <c r="X81" s="68"/>
      <c r="Y81" s="68"/>
      <c r="Z81" s="68"/>
      <c r="AA81" s="68"/>
    </row>
    <row r="82" spans="2:27" ht="18.75" hidden="1">
      <c r="B82" s="68"/>
      <c r="C82" s="68"/>
      <c r="D82" s="68"/>
      <c r="E82" s="68"/>
      <c r="F82" s="68"/>
      <c r="G82" s="68"/>
      <c r="H82" s="68"/>
      <c r="I82" s="68"/>
      <c r="J82" s="68"/>
      <c r="K82" s="70"/>
      <c r="L82" s="70"/>
      <c r="M82" s="103" t="s">
        <v>288</v>
      </c>
      <c r="N82" s="104" t="e">
        <f>N78-N80</f>
        <v>#REF!</v>
      </c>
      <c r="O82" s="68"/>
      <c r="P82" s="68"/>
      <c r="Q82" s="68"/>
      <c r="R82" s="68"/>
      <c r="S82" s="68"/>
      <c r="T82" s="68"/>
      <c r="U82" s="68"/>
      <c r="V82" s="68"/>
      <c r="W82" s="68"/>
      <c r="X82" s="68"/>
      <c r="Y82" s="68"/>
      <c r="Z82" s="68"/>
      <c r="AA82" s="68"/>
    </row>
    <row r="83" spans="2:27" ht="18.75" hidden="1">
      <c r="B83" s="68"/>
      <c r="C83" s="68"/>
      <c r="D83" s="68"/>
      <c r="E83" s="68"/>
      <c r="F83" s="68"/>
      <c r="G83" s="68"/>
      <c r="H83" s="68"/>
      <c r="I83" s="68"/>
      <c r="J83" s="68"/>
      <c r="K83" s="100">
        <v>-20</v>
      </c>
      <c r="L83" s="105">
        <f>0.9288*EXP(0.0047*K83)</f>
        <v>0.84547062956922436</v>
      </c>
      <c r="M83" s="70"/>
      <c r="N83" s="70"/>
      <c r="O83" s="68"/>
      <c r="P83" s="68"/>
      <c r="Q83" s="68"/>
      <c r="R83" s="68"/>
      <c r="S83" s="68"/>
      <c r="T83" s="68"/>
      <c r="U83" s="68"/>
      <c r="V83" s="68"/>
      <c r="W83" s="68"/>
      <c r="X83" s="68"/>
      <c r="Y83" s="68"/>
      <c r="Z83" s="68"/>
      <c r="AA83" s="68"/>
    </row>
    <row r="84" spans="2:27" ht="18.75" hidden="1">
      <c r="B84" s="68"/>
      <c r="C84" s="68"/>
      <c r="D84" s="68"/>
      <c r="E84" s="68"/>
      <c r="F84" s="68"/>
      <c r="G84" s="68"/>
      <c r="H84" s="68"/>
      <c r="I84" s="68"/>
      <c r="J84" s="68"/>
      <c r="K84" s="100">
        <v>-10</v>
      </c>
      <c r="L84" s="105">
        <f t="shared" ref="L84:L90" si="20">0.9288*EXP(0.0047*K84)</f>
        <v>0.88615637488193666</v>
      </c>
      <c r="M84" s="70"/>
      <c r="N84" s="70"/>
      <c r="O84" s="68"/>
      <c r="P84" s="68"/>
      <c r="Q84" s="68"/>
      <c r="R84" s="68"/>
      <c r="S84" s="68"/>
      <c r="T84" s="68"/>
      <c r="U84" s="68"/>
      <c r="V84" s="68"/>
      <c r="W84" s="68"/>
      <c r="X84" s="68"/>
      <c r="Y84" s="68"/>
      <c r="Z84" s="68"/>
      <c r="AA84" s="68"/>
    </row>
    <row r="85" spans="2:27" ht="18.75" hidden="1">
      <c r="B85" s="68"/>
      <c r="C85" s="68"/>
      <c r="D85" s="68"/>
      <c r="E85" s="68"/>
      <c r="F85" s="68"/>
      <c r="G85" s="68"/>
      <c r="H85" s="68"/>
      <c r="I85" s="68"/>
      <c r="J85" s="68"/>
      <c r="K85" s="100">
        <v>0</v>
      </c>
      <c r="L85" s="105">
        <f t="shared" si="20"/>
        <v>0.92879999999999996</v>
      </c>
      <c r="M85" s="70"/>
      <c r="N85" s="70"/>
      <c r="O85" s="68"/>
      <c r="P85" s="68"/>
      <c r="Q85" s="68"/>
      <c r="R85" s="68"/>
      <c r="S85" s="68"/>
      <c r="T85" s="68"/>
      <c r="U85" s="68"/>
      <c r="V85" s="68"/>
      <c r="W85" s="68"/>
      <c r="X85" s="68"/>
      <c r="Y85" s="68"/>
      <c r="Z85" s="68"/>
      <c r="AA85" s="68"/>
    </row>
    <row r="86" spans="2:27" ht="18.75" hidden="1">
      <c r="B86" s="68"/>
      <c r="C86" s="68"/>
      <c r="D86" s="68"/>
      <c r="E86" s="68"/>
      <c r="F86" s="68"/>
      <c r="G86" s="68"/>
      <c r="H86" s="68"/>
      <c r="I86" s="68"/>
      <c r="J86" s="68"/>
      <c r="K86" s="100">
        <v>10</v>
      </c>
      <c r="L86" s="105">
        <f t="shared" si="20"/>
        <v>0.97349572203318413</v>
      </c>
      <c r="M86" s="70"/>
      <c r="N86" s="70"/>
      <c r="O86" s="68"/>
      <c r="P86" s="68"/>
      <c r="Q86" s="68"/>
      <c r="R86" s="68"/>
      <c r="S86" s="68"/>
      <c r="T86" s="68"/>
      <c r="U86" s="68"/>
      <c r="V86" s="68"/>
      <c r="W86" s="68"/>
      <c r="X86" s="68"/>
      <c r="Y86" s="68"/>
      <c r="Z86" s="68"/>
      <c r="AA86" s="68"/>
    </row>
    <row r="87" spans="2:27" ht="18.75" hidden="1">
      <c r="B87" s="68"/>
      <c r="C87" s="68"/>
      <c r="D87" s="68"/>
      <c r="E87" s="68"/>
      <c r="F87" s="68"/>
      <c r="G87" s="68"/>
      <c r="H87" s="68"/>
      <c r="I87" s="68"/>
      <c r="J87" s="68"/>
      <c r="K87" s="100">
        <v>20</v>
      </c>
      <c r="L87" s="105">
        <f t="shared" si="20"/>
        <v>1.0203422920078709</v>
      </c>
      <c r="M87" s="70"/>
      <c r="N87" s="70"/>
      <c r="O87" s="68"/>
      <c r="P87" s="68"/>
      <c r="Q87" s="68"/>
      <c r="R87" s="68"/>
      <c r="S87" s="68"/>
      <c r="T87" s="68"/>
      <c r="U87" s="68"/>
      <c r="V87" s="68"/>
      <c r="W87" s="68"/>
      <c r="X87" s="68"/>
      <c r="Y87" s="68"/>
      <c r="Z87" s="68"/>
      <c r="AA87" s="68"/>
    </row>
    <row r="88" spans="2:27" ht="18.75" hidden="1">
      <c r="B88" s="68"/>
      <c r="C88" s="68"/>
      <c r="D88" s="68"/>
      <c r="E88" s="68"/>
      <c r="F88" s="68"/>
      <c r="G88" s="68"/>
      <c r="H88" s="68"/>
      <c r="I88" s="68"/>
      <c r="J88" s="68"/>
      <c r="K88" s="100">
        <v>30</v>
      </c>
      <c r="L88" s="105">
        <f t="shared" si="20"/>
        <v>1.0694432130482303</v>
      </c>
      <c r="M88" s="70"/>
      <c r="N88" s="70"/>
      <c r="O88" s="68"/>
      <c r="P88" s="68"/>
      <c r="Q88" s="68"/>
      <c r="R88" s="68"/>
      <c r="S88" s="68"/>
      <c r="T88" s="68"/>
      <c r="U88" s="68"/>
      <c r="V88" s="68"/>
      <c r="W88" s="68"/>
      <c r="X88" s="68"/>
      <c r="Y88" s="68"/>
      <c r="Z88" s="68"/>
      <c r="AA88" s="68"/>
    </row>
    <row r="89" spans="2:27" ht="18.75" hidden="1">
      <c r="B89" s="68"/>
      <c r="C89" s="68"/>
      <c r="D89" s="68"/>
      <c r="E89" s="68"/>
      <c r="F89" s="68"/>
      <c r="G89" s="68"/>
      <c r="H89" s="68"/>
      <c r="I89" s="68"/>
      <c r="J89" s="68"/>
      <c r="K89" s="100">
        <v>40</v>
      </c>
      <c r="L89" s="105">
        <f t="shared" si="20"/>
        <v>1.1209069690567133</v>
      </c>
      <c r="M89" s="70"/>
      <c r="N89" s="70"/>
      <c r="O89" s="68"/>
      <c r="P89" s="68"/>
      <c r="Q89" s="68"/>
      <c r="R89" s="68"/>
      <c r="S89" s="68"/>
      <c r="T89" s="68"/>
      <c r="U89" s="68"/>
      <c r="V89" s="68"/>
      <c r="W89" s="68"/>
      <c r="X89" s="68"/>
      <c r="Y89" s="68"/>
      <c r="Z89" s="68"/>
      <c r="AA89" s="68"/>
    </row>
    <row r="90" spans="2:27" ht="18.75" hidden="1">
      <c r="B90" s="68"/>
      <c r="C90" s="68"/>
      <c r="D90" s="68"/>
      <c r="E90" s="68"/>
      <c r="F90" s="68"/>
      <c r="G90" s="68"/>
      <c r="H90" s="68"/>
      <c r="I90" s="68"/>
      <c r="J90" s="68"/>
      <c r="K90" s="100">
        <v>50</v>
      </c>
      <c r="L90" s="105">
        <f t="shared" si="20"/>
        <v>1.1748472643991097</v>
      </c>
      <c r="M90" s="70"/>
      <c r="N90" s="70"/>
      <c r="O90" s="68"/>
      <c r="P90" s="68"/>
      <c r="Q90" s="68"/>
      <c r="R90" s="68"/>
      <c r="S90" s="68"/>
      <c r="T90" s="68"/>
      <c r="U90" s="68"/>
      <c r="V90" s="68"/>
      <c r="W90" s="68"/>
      <c r="X90" s="68"/>
      <c r="Y90" s="68"/>
      <c r="Z90" s="68"/>
      <c r="AA90" s="68"/>
    </row>
  </sheetData>
  <sheetProtection algorithmName="SHA-512" hashValue="oU6CMuJjsXTCmagoWMDORnA8lNFL22KwuDfzFHGAHoxpEWVnUv97haVeSUprhO7vhV4sGhVnpE6XueiE4NdSnA==" saltValue="jZu/VilRs39kVCEKC8OaGQ==" spinCount="100000" sheet="1" objects="1" scenarios="1" formatCells="0"/>
  <dataConsolidate/>
  <mergeCells count="26">
    <mergeCell ref="H35:O35"/>
    <mergeCell ref="H30:O30"/>
    <mergeCell ref="J14:K14"/>
    <mergeCell ref="B30:G30"/>
    <mergeCell ref="J23:K23"/>
    <mergeCell ref="J22:K22"/>
    <mergeCell ref="J24:K24"/>
    <mergeCell ref="B13:B14"/>
    <mergeCell ref="J25:K25"/>
    <mergeCell ref="J26:K26"/>
    <mergeCell ref="J27:K27"/>
    <mergeCell ref="J15:K15"/>
    <mergeCell ref="J16:K16"/>
    <mergeCell ref="J18:K18"/>
    <mergeCell ref="J19:K19"/>
    <mergeCell ref="J20:K20"/>
    <mergeCell ref="Q1:V1"/>
    <mergeCell ref="J21:K21"/>
    <mergeCell ref="N5:V10"/>
    <mergeCell ref="P3:V3"/>
    <mergeCell ref="B3:F3"/>
    <mergeCell ref="B4:F4"/>
    <mergeCell ref="B5:F5"/>
    <mergeCell ref="B6:F6"/>
    <mergeCell ref="C13:F13"/>
    <mergeCell ref="J17:K17"/>
  </mergeCells>
  <phoneticPr fontId="3"/>
  <conditionalFormatting sqref="T18:T27">
    <cfRule type="expression" dxfId="65" priority="12">
      <formula>#REF!="なし"</formula>
    </cfRule>
  </conditionalFormatting>
  <conditionalFormatting sqref="I7:K7 H6:I6 K4:K6">
    <cfRule type="expression" dxfId="64" priority="11">
      <formula>$G$1="なし"</formula>
    </cfRule>
  </conditionalFormatting>
  <conditionalFormatting sqref="K6">
    <cfRule type="expression" dxfId="63" priority="8">
      <formula>$G$1="なし"</formula>
    </cfRule>
  </conditionalFormatting>
  <conditionalFormatting sqref="N6:V7">
    <cfRule type="expression" dxfId="62" priority="2">
      <formula>I28-P28&lt;0</formula>
    </cfRule>
  </conditionalFormatting>
  <conditionalFormatting sqref="N8:N10">
    <cfRule type="expression" dxfId="61" priority="89">
      <formula>H30-O30&lt;0</formula>
    </cfRule>
  </conditionalFormatting>
  <conditionalFormatting sqref="O8:V10">
    <cfRule type="expression" dxfId="60" priority="91">
      <formula>I30-Q30&lt;0</formula>
    </cfRule>
  </conditionalFormatting>
  <conditionalFormatting sqref="N5:V5">
    <cfRule type="expression" dxfId="59" priority="93">
      <formula>I17-P17&lt;0</formula>
    </cfRule>
  </conditionalFormatting>
  <conditionalFormatting sqref="P17">
    <cfRule type="expression" dxfId="58" priority="1">
      <formula>$P$17-$I$17&gt;0</formula>
    </cfRule>
  </conditionalFormatting>
  <dataValidations count="2">
    <dataValidation type="whole" allowBlank="1" showInputMessage="1" showErrorMessage="1" sqref="H18:H27" xr:uid="{BCDBE84F-6CAE-417F-9913-A3246C9394CC}">
      <formula1>1900</formula1>
      <formula2>2050</formula2>
    </dataValidation>
    <dataValidation type="list" allowBlank="1" showInputMessage="1" showErrorMessage="1" sqref="Q16:Q27 K18:K27 K16 J16 J18:J27" xr:uid="{4A229C4A-1F3A-4146-8431-7D41A4CED074}">
      <formula1>$C$31:$C$37</formula1>
    </dataValidation>
  </dataValidations>
  <pageMargins left="0.27559055118110237" right="0.19685039370078741" top="0.74803149606299213" bottom="0.55118110236220474" header="0.31496062992125984" footer="0.31496062992125984"/>
  <pageSetup paperSize="9" scale="78" orientation="landscape" r:id="rId1"/>
  <headerFooter>
    <oddHeader>&amp;L様式第1号（別紙）</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3F5AE-0E97-4AEB-8E80-534ADDCD7712}">
  <sheetPr>
    <tabColor rgb="FF00B0F0"/>
    <pageSetUpPr fitToPage="1"/>
  </sheetPr>
  <dimension ref="A1:CP88"/>
  <sheetViews>
    <sheetView view="pageBreakPreview" topLeftCell="A15" zoomScaleNormal="100" zoomScaleSheetLayoutView="100" workbookViewId="0">
      <selection activeCell="S17" sqref="S17"/>
    </sheetView>
  </sheetViews>
  <sheetFormatPr defaultColWidth="9" defaultRowHeight="18.75"/>
  <cols>
    <col min="1" max="1" width="3.25" style="137" customWidth="1"/>
    <col min="2" max="2" width="14.125" style="137" customWidth="1"/>
    <col min="3" max="3" width="5.625" style="137" customWidth="1"/>
    <col min="4" max="4" width="6.875" style="137" customWidth="1"/>
    <col min="5" max="5" width="4.875" style="137" customWidth="1"/>
    <col min="6" max="6" width="7.375" style="137" customWidth="1"/>
    <col min="7" max="7" width="6.375" style="137" customWidth="1"/>
    <col min="8" max="8" width="6.625" style="137" customWidth="1"/>
    <col min="9" max="9" width="4.75" style="137" customWidth="1"/>
    <col min="10" max="12" width="5.625" style="137" customWidth="1"/>
    <col min="13" max="13" width="6.375" style="137" hidden="1" customWidth="1"/>
    <col min="14" max="14" width="5.625" style="137" customWidth="1"/>
    <col min="15" max="15" width="8.375" style="137" customWidth="1"/>
    <col min="16" max="16" width="7.375" style="137" customWidth="1"/>
    <col min="17" max="17" width="5.875" style="137" customWidth="1"/>
    <col min="18" max="18" width="7.375" style="137" customWidth="1"/>
    <col min="19" max="19" width="4.125" style="137" customWidth="1"/>
    <col min="20" max="20" width="3.625" style="137" customWidth="1"/>
    <col min="21" max="21" width="14.25" style="137" customWidth="1"/>
    <col min="22" max="22" width="4.75" style="137" customWidth="1"/>
    <col min="23" max="26" width="5.625" style="137" customWidth="1"/>
    <col min="27" max="27" width="5" style="137" customWidth="1"/>
    <col min="28" max="28" width="5.625" style="137" customWidth="1"/>
    <col min="29" max="29" width="8" style="137" customWidth="1"/>
    <col min="30" max="30" width="5.375" style="137" customWidth="1"/>
    <col min="31" max="31" width="6.5" style="137" customWidth="1"/>
    <col min="32" max="32" width="9.25" style="137" customWidth="1"/>
    <col min="33" max="33" width="8" style="137" customWidth="1"/>
    <col min="34" max="34" width="7.375" style="137" hidden="1" customWidth="1"/>
    <col min="35" max="35" width="3.875" style="137" hidden="1" customWidth="1"/>
    <col min="36" max="36" width="5.625" style="137" hidden="1" customWidth="1"/>
    <col min="37" max="37" width="3.25" style="137" hidden="1" customWidth="1"/>
    <col min="38" max="40" width="9" style="137" hidden="1" customWidth="1"/>
    <col min="41" max="41" width="6.5" style="137" hidden="1" customWidth="1"/>
    <col min="42" max="43" width="6.875" style="137" hidden="1" customWidth="1"/>
    <col min="44" max="44" width="10.125" style="137" hidden="1" customWidth="1"/>
    <col min="45" max="45" width="8.375" style="137" hidden="1" customWidth="1"/>
    <col min="46" max="47" width="6.875" style="137" hidden="1" customWidth="1"/>
    <col min="48" max="48" width="6.125" style="137" hidden="1" customWidth="1"/>
    <col min="49" max="50" width="9" style="137" hidden="1" customWidth="1"/>
    <col min="51" max="51" width="9.5" style="137" hidden="1" customWidth="1"/>
    <col min="52" max="52" width="9" style="137" hidden="1" customWidth="1"/>
    <col min="53" max="53" width="13.625" style="137" hidden="1" customWidth="1"/>
    <col min="54" max="56" width="9" style="137" hidden="1" customWidth="1"/>
    <col min="57" max="61" width="9" style="141" hidden="1" customWidth="1"/>
    <col min="62" max="62" width="16.625" style="141" hidden="1" customWidth="1"/>
    <col min="63" max="63" width="9" style="141" hidden="1" customWidth="1"/>
    <col min="64" max="91" width="9" style="141" customWidth="1"/>
    <col min="92" max="94" width="9" style="141"/>
    <col min="95" max="16384" width="9" style="137"/>
  </cols>
  <sheetData>
    <row r="1" spans="1:94" ht="28.5" customHeight="1">
      <c r="A1" s="69" t="s">
        <v>582</v>
      </c>
      <c r="Y1" s="1010">
        <f>CO２削減量算定シート!O7</f>
        <v>0</v>
      </c>
      <c r="Z1" s="1011"/>
      <c r="AA1" s="1011"/>
      <c r="AB1" s="1011"/>
      <c r="AC1" s="1011"/>
      <c r="AD1" s="1011"/>
      <c r="AE1" s="1011"/>
      <c r="AF1" s="1011"/>
      <c r="AG1" s="1012"/>
      <c r="AU1" s="137" t="s">
        <v>575</v>
      </c>
      <c r="AV1" s="137" t="s">
        <v>576</v>
      </c>
      <c r="AZ1" s="59" t="s">
        <v>543</v>
      </c>
      <c r="BA1" s="59"/>
      <c r="BB1" s="59" t="s">
        <v>544</v>
      </c>
      <c r="BC1" s="59" t="s">
        <v>545</v>
      </c>
      <c r="BD1" s="59" t="s">
        <v>546</v>
      </c>
      <c r="BE1" s="59" t="s">
        <v>547</v>
      </c>
      <c r="BF1" s="59" t="s">
        <v>548</v>
      </c>
      <c r="BG1" s="153" t="s">
        <v>588</v>
      </c>
    </row>
    <row r="2" spans="1:94">
      <c r="A2" s="136" t="s">
        <v>312</v>
      </c>
      <c r="B2" s="1"/>
      <c r="C2" s="1"/>
      <c r="D2" s="1"/>
      <c r="E2" s="1"/>
      <c r="F2" s="1"/>
      <c r="G2" s="1"/>
      <c r="H2" s="6"/>
      <c r="I2" s="1"/>
      <c r="Q2" s="258"/>
      <c r="R2" s="109" t="s">
        <v>314</v>
      </c>
      <c r="S2" s="109"/>
      <c r="T2" s="109"/>
      <c r="V2" s="499" t="s">
        <v>728</v>
      </c>
      <c r="W2" s="109"/>
      <c r="Y2" s="108"/>
      <c r="AA2" s="70"/>
      <c r="AB2" s="70"/>
      <c r="AC2" s="70"/>
      <c r="AD2" s="70"/>
      <c r="AE2" s="70"/>
      <c r="AU2" s="137" t="s">
        <v>530</v>
      </c>
      <c r="AV2" s="137" t="s">
        <v>531</v>
      </c>
      <c r="AW2" s="137" t="s">
        <v>532</v>
      </c>
      <c r="AZ2" s="277" t="s">
        <v>549</v>
      </c>
      <c r="BA2" s="59" t="s">
        <v>599</v>
      </c>
      <c r="BB2" s="278">
        <v>45</v>
      </c>
      <c r="BC2" s="279">
        <v>40.799999999999997</v>
      </c>
      <c r="BD2" s="59" t="s">
        <v>550</v>
      </c>
      <c r="BE2" s="59" t="s">
        <v>551</v>
      </c>
      <c r="BF2" s="59" t="s">
        <v>592</v>
      </c>
      <c r="BG2" s="153">
        <v>2.2440000000000002</v>
      </c>
      <c r="BI2" s="153" t="s">
        <v>543</v>
      </c>
      <c r="BJ2" s="153"/>
    </row>
    <row r="3" spans="1:94" ht="20.100000000000001" customHeight="1">
      <c r="A3" s="1"/>
      <c r="B3" s="923" t="s">
        <v>0</v>
      </c>
      <c r="C3" s="924"/>
      <c r="D3" s="131" t="s">
        <v>598</v>
      </c>
      <c r="E3" s="950" t="s">
        <v>2</v>
      </c>
      <c r="F3" s="951"/>
      <c r="G3" s="950" t="s">
        <v>3</v>
      </c>
      <c r="H3" s="951"/>
      <c r="I3" s="950" t="s">
        <v>4</v>
      </c>
      <c r="J3" s="951"/>
      <c r="K3" s="217" t="s">
        <v>5</v>
      </c>
      <c r="R3" s="943" t="s">
        <v>11</v>
      </c>
      <c r="S3" s="1018"/>
      <c r="T3" s="1018"/>
      <c r="U3" s="944"/>
      <c r="V3" s="1015" t="str">
        <f>IF(AF26="","",IF(AH26&lt;0,"設備容量が増加していませんか？確認し、内容が増加しているのであれば、下蘭に事由を記載してください。",""))</f>
        <v/>
      </c>
      <c r="W3" s="1016"/>
      <c r="X3" s="1016"/>
      <c r="Y3" s="1016"/>
      <c r="Z3" s="1016"/>
      <c r="AA3" s="1016"/>
      <c r="AB3" s="1016"/>
      <c r="AC3" s="1016"/>
      <c r="AD3" s="1016"/>
      <c r="AE3" s="1016"/>
      <c r="AF3" s="1016"/>
      <c r="AG3" s="1017"/>
      <c r="AR3" s="250"/>
      <c r="AU3" s="137" t="s">
        <v>534</v>
      </c>
      <c r="AV3" s="137" t="s">
        <v>535</v>
      </c>
      <c r="AW3" s="137" t="s">
        <v>536</v>
      </c>
      <c r="AZ3" s="280"/>
      <c r="BA3" s="283" t="s">
        <v>573</v>
      </c>
      <c r="BB3" s="59">
        <v>50.8</v>
      </c>
      <c r="BC3" s="59">
        <v>45.8</v>
      </c>
      <c r="BD3" s="59" t="s">
        <v>552</v>
      </c>
      <c r="BE3" s="59" t="s">
        <v>553</v>
      </c>
      <c r="BF3" s="59" t="s">
        <v>554</v>
      </c>
      <c r="BG3" s="153">
        <v>2.9988999999999999</v>
      </c>
      <c r="BI3" s="345" t="s">
        <v>530</v>
      </c>
      <c r="BJ3" s="153" t="s">
        <v>599</v>
      </c>
      <c r="CC3" s="137"/>
      <c r="CD3" s="137"/>
      <c r="CE3" s="137"/>
      <c r="CF3" s="137"/>
      <c r="CG3" s="137"/>
      <c r="CH3" s="137"/>
      <c r="CI3" s="137"/>
      <c r="CJ3" s="137"/>
      <c r="CK3" s="137"/>
      <c r="CL3" s="137"/>
      <c r="CM3" s="137"/>
      <c r="CN3" s="137"/>
      <c r="CO3" s="137"/>
      <c r="CP3" s="137"/>
    </row>
    <row r="4" spans="1:94" ht="20.100000000000001" customHeight="1">
      <c r="A4" s="1"/>
      <c r="B4" s="923" t="s">
        <v>55</v>
      </c>
      <c r="C4" s="924"/>
      <c r="D4" s="558" t="str">
        <f>AF24</f>
        <v>/年</v>
      </c>
      <c r="E4" s="976">
        <f>P26</f>
        <v>0</v>
      </c>
      <c r="F4" s="977"/>
      <c r="G4" s="976">
        <f>AC26</f>
        <v>0</v>
      </c>
      <c r="H4" s="977"/>
      <c r="I4" s="976">
        <f>E4-G4</f>
        <v>0</v>
      </c>
      <c r="J4" s="977"/>
      <c r="K4" s="438">
        <f>IFERROR(I4/E4,0)</f>
        <v>0</v>
      </c>
      <c r="R4" s="19" t="s">
        <v>6</v>
      </c>
      <c r="S4" s="17"/>
      <c r="T4" s="17"/>
      <c r="U4" s="111"/>
      <c r="V4" s="111"/>
      <c r="W4" s="111"/>
      <c r="X4" s="111"/>
      <c r="Y4" s="111"/>
      <c r="Z4" s="111"/>
      <c r="AA4" s="111"/>
      <c r="AB4" s="111"/>
      <c r="AC4" s="111"/>
      <c r="AD4" s="111"/>
      <c r="AE4" s="111"/>
      <c r="AF4" s="111"/>
      <c r="AG4" s="112"/>
      <c r="AS4" s="252"/>
      <c r="AU4" s="137" t="s">
        <v>537</v>
      </c>
      <c r="AV4" s="137" t="s">
        <v>538</v>
      </c>
      <c r="AW4" s="137" t="s">
        <v>539</v>
      </c>
      <c r="AZ4" s="280"/>
      <c r="BA4" s="283" t="s">
        <v>574</v>
      </c>
      <c r="BB4" s="284">
        <f>50.8/0.482</f>
        <v>105.39419087136929</v>
      </c>
      <c r="BC4" s="285">
        <f>45.8/0.482</f>
        <v>95.020746887966808</v>
      </c>
      <c r="BD4" s="286" t="s">
        <v>509</v>
      </c>
      <c r="BE4" s="286" t="s">
        <v>590</v>
      </c>
      <c r="BF4" s="59" t="s">
        <v>592</v>
      </c>
      <c r="BG4" s="153">
        <v>6.22</v>
      </c>
      <c r="BI4" s="347"/>
      <c r="BJ4" s="153" t="s">
        <v>572</v>
      </c>
      <c r="CC4" s="137"/>
      <c r="CD4" s="137"/>
      <c r="CE4" s="137"/>
      <c r="CF4" s="137"/>
      <c r="CG4" s="137"/>
      <c r="CH4" s="137"/>
      <c r="CI4" s="137"/>
      <c r="CJ4" s="137"/>
      <c r="CK4" s="137"/>
      <c r="CL4" s="137"/>
      <c r="CM4" s="137"/>
      <c r="CN4" s="137"/>
      <c r="CO4" s="137"/>
      <c r="CP4" s="137"/>
    </row>
    <row r="5" spans="1:94" ht="20.100000000000001" customHeight="1">
      <c r="A5" s="1"/>
      <c r="B5" s="923" t="s">
        <v>9</v>
      </c>
      <c r="C5" s="925"/>
      <c r="D5" s="125" t="s">
        <v>484</v>
      </c>
      <c r="E5" s="958">
        <f>R26</f>
        <v>0</v>
      </c>
      <c r="F5" s="959"/>
      <c r="G5" s="958">
        <f>AE26</f>
        <v>0</v>
      </c>
      <c r="H5" s="959"/>
      <c r="I5" s="960">
        <f>E5-G5</f>
        <v>0</v>
      </c>
      <c r="J5" s="961"/>
      <c r="K5" s="438">
        <f>IFERROR(I5/E5,0)</f>
        <v>0</v>
      </c>
      <c r="R5" s="934"/>
      <c r="S5" s="935"/>
      <c r="T5" s="935"/>
      <c r="U5" s="935"/>
      <c r="V5" s="935"/>
      <c r="W5" s="935"/>
      <c r="X5" s="935"/>
      <c r="Y5" s="935"/>
      <c r="Z5" s="935"/>
      <c r="AA5" s="935"/>
      <c r="AB5" s="935"/>
      <c r="AC5" s="935"/>
      <c r="AD5" s="935"/>
      <c r="AE5" s="935"/>
      <c r="AF5" s="935"/>
      <c r="AG5" s="936"/>
      <c r="AS5" s="252"/>
      <c r="AU5" s="137" t="s">
        <v>577</v>
      </c>
      <c r="AV5" s="137" t="s">
        <v>531</v>
      </c>
      <c r="AW5" s="137" t="s">
        <v>532</v>
      </c>
      <c r="AZ5" s="280"/>
      <c r="BA5" s="59" t="s">
        <v>510</v>
      </c>
      <c r="BB5" s="59">
        <v>54.6</v>
      </c>
      <c r="BC5" s="59">
        <v>49.2</v>
      </c>
      <c r="BD5" s="59" t="s">
        <v>552</v>
      </c>
      <c r="BE5" s="59" t="s">
        <v>553</v>
      </c>
      <c r="BF5" s="59" t="s">
        <v>554</v>
      </c>
      <c r="BG5" s="153">
        <v>2.7027000000000001</v>
      </c>
      <c r="BI5" s="347"/>
      <c r="BJ5" s="153" t="s">
        <v>609</v>
      </c>
      <c r="CC5" s="137"/>
      <c r="CD5" s="137"/>
      <c r="CE5" s="137"/>
      <c r="CF5" s="137"/>
      <c r="CG5" s="137"/>
      <c r="CH5" s="137"/>
      <c r="CI5" s="137"/>
      <c r="CJ5" s="137"/>
      <c r="CK5" s="137"/>
      <c r="CL5" s="137"/>
      <c r="CM5" s="137"/>
      <c r="CN5" s="137"/>
      <c r="CO5" s="137"/>
      <c r="CP5" s="137"/>
    </row>
    <row r="6" spans="1:94" ht="20.100000000000001" customHeight="1">
      <c r="A6" s="1"/>
      <c r="B6" s="923" t="s">
        <v>12</v>
      </c>
      <c r="C6" s="925"/>
      <c r="D6" s="390" t="s">
        <v>13</v>
      </c>
      <c r="E6" s="960">
        <f>AN26</f>
        <v>0</v>
      </c>
      <c r="F6" s="961"/>
      <c r="G6" s="960">
        <f>AT26</f>
        <v>0</v>
      </c>
      <c r="H6" s="961"/>
      <c r="I6" s="960">
        <f>E6-G6</f>
        <v>0</v>
      </c>
      <c r="J6" s="961"/>
      <c r="K6" s="440">
        <f>IFERROR(I6/E6,0)</f>
        <v>0</v>
      </c>
      <c r="R6" s="937"/>
      <c r="S6" s="938"/>
      <c r="T6" s="938"/>
      <c r="U6" s="938"/>
      <c r="V6" s="938"/>
      <c r="W6" s="938"/>
      <c r="X6" s="938"/>
      <c r="Y6" s="938"/>
      <c r="Z6" s="938"/>
      <c r="AA6" s="938"/>
      <c r="AB6" s="938"/>
      <c r="AC6" s="938"/>
      <c r="AD6" s="938"/>
      <c r="AE6" s="938"/>
      <c r="AF6" s="938"/>
      <c r="AG6" s="939"/>
      <c r="AS6" s="252"/>
      <c r="AZ6" s="281"/>
      <c r="BA6" s="59" t="s">
        <v>571</v>
      </c>
      <c r="BB6" s="59">
        <f>W16</f>
        <v>0</v>
      </c>
      <c r="BC6" s="59">
        <f>W17</f>
        <v>0</v>
      </c>
      <c r="BD6" s="59" t="s">
        <v>531</v>
      </c>
      <c r="BE6" s="59" t="s">
        <v>533</v>
      </c>
      <c r="BF6" s="59" t="s">
        <v>554</v>
      </c>
      <c r="BG6" s="153">
        <f>W18</f>
        <v>0</v>
      </c>
      <c r="BI6" s="347"/>
      <c r="BJ6" s="153" t="s">
        <v>589</v>
      </c>
      <c r="CC6" s="137"/>
      <c r="CD6" s="137"/>
      <c r="CE6" s="137"/>
      <c r="CF6" s="137"/>
      <c r="CG6" s="137"/>
      <c r="CH6" s="137"/>
      <c r="CI6" s="137"/>
      <c r="CJ6" s="137"/>
      <c r="CK6" s="137"/>
      <c r="CL6" s="137"/>
      <c r="CM6" s="137"/>
      <c r="CN6" s="137"/>
      <c r="CO6" s="137"/>
      <c r="CP6" s="137"/>
    </row>
    <row r="7" spans="1:94" ht="20.100000000000001" customHeight="1">
      <c r="A7" s="1"/>
      <c r="B7" s="181"/>
      <c r="C7" s="181"/>
      <c r="D7" s="181"/>
      <c r="E7" s="181"/>
      <c r="F7" s="181"/>
      <c r="G7" s="181"/>
      <c r="H7" s="181"/>
      <c r="I7" s="181"/>
      <c r="J7" s="181"/>
      <c r="K7" s="181"/>
      <c r="M7" s="181"/>
      <c r="Q7" s="261"/>
      <c r="R7" s="937"/>
      <c r="S7" s="938"/>
      <c r="T7" s="938"/>
      <c r="U7" s="938"/>
      <c r="V7" s="938"/>
      <c r="W7" s="938"/>
      <c r="X7" s="938"/>
      <c r="Y7" s="938"/>
      <c r="Z7" s="938"/>
      <c r="AA7" s="938"/>
      <c r="AB7" s="938"/>
      <c r="AC7" s="938"/>
      <c r="AD7" s="938"/>
      <c r="AE7" s="938"/>
      <c r="AF7" s="938"/>
      <c r="AG7" s="939"/>
      <c r="AS7" s="252"/>
      <c r="AZ7" s="277" t="s">
        <v>555</v>
      </c>
      <c r="BA7" s="59" t="s">
        <v>556</v>
      </c>
      <c r="BB7" s="59">
        <v>36.700000000000003</v>
      </c>
      <c r="BC7" s="59">
        <v>34.200000000000003</v>
      </c>
      <c r="BD7" s="59" t="s">
        <v>557</v>
      </c>
      <c r="BE7" s="59" t="s">
        <v>558</v>
      </c>
      <c r="BF7" s="59" t="s">
        <v>559</v>
      </c>
      <c r="BG7" s="153">
        <v>2.4895</v>
      </c>
      <c r="BI7" s="345" t="s">
        <v>555</v>
      </c>
      <c r="BJ7" s="153" t="s">
        <v>556</v>
      </c>
      <c r="CC7" s="137"/>
      <c r="CD7" s="137"/>
      <c r="CE7" s="137"/>
      <c r="CF7" s="137"/>
      <c r="CG7" s="137"/>
      <c r="CH7" s="137"/>
      <c r="CI7" s="137"/>
      <c r="CJ7" s="137"/>
      <c r="CK7" s="137"/>
      <c r="CL7" s="137"/>
      <c r="CM7" s="137"/>
      <c r="CN7" s="137"/>
      <c r="CO7" s="137"/>
      <c r="CP7" s="137"/>
    </row>
    <row r="8" spans="1:94" ht="19.5" customHeight="1">
      <c r="B8" s="298"/>
      <c r="C8" s="298"/>
      <c r="D8" s="298"/>
      <c r="E8" s="294"/>
      <c r="F8" s="299"/>
      <c r="G8" s="299"/>
      <c r="H8" s="299"/>
      <c r="I8" s="299"/>
      <c r="J8" s="299"/>
      <c r="K8" s="299"/>
      <c r="L8" s="299"/>
      <c r="M8" s="299"/>
      <c r="N8" s="299"/>
      <c r="Q8" s="260"/>
      <c r="R8" s="937"/>
      <c r="S8" s="938"/>
      <c r="T8" s="938"/>
      <c r="U8" s="938"/>
      <c r="V8" s="938"/>
      <c r="W8" s="938"/>
      <c r="X8" s="938"/>
      <c r="Y8" s="938"/>
      <c r="Z8" s="938"/>
      <c r="AA8" s="938"/>
      <c r="AB8" s="938"/>
      <c r="AC8" s="938"/>
      <c r="AD8" s="938"/>
      <c r="AE8" s="938"/>
      <c r="AF8" s="938"/>
      <c r="AG8" s="939"/>
      <c r="AS8" s="252"/>
      <c r="AV8" s="59" t="s">
        <v>531</v>
      </c>
      <c r="AW8" s="141" t="s">
        <v>606</v>
      </c>
      <c r="AZ8" s="280"/>
      <c r="BA8" s="59" t="s">
        <v>560</v>
      </c>
      <c r="BB8" s="59">
        <v>37.700000000000003</v>
      </c>
      <c r="BC8" s="59">
        <v>35.1</v>
      </c>
      <c r="BD8" s="59" t="s">
        <v>557</v>
      </c>
      <c r="BE8" s="59" t="s">
        <v>558</v>
      </c>
      <c r="BF8" s="59" t="s">
        <v>559</v>
      </c>
      <c r="BG8" s="153">
        <v>2.585</v>
      </c>
      <c r="BI8" s="347"/>
      <c r="BJ8" s="153" t="s">
        <v>560</v>
      </c>
      <c r="CC8" s="137"/>
      <c r="CD8" s="137"/>
      <c r="CE8" s="137"/>
      <c r="CF8" s="137"/>
      <c r="CG8" s="137"/>
      <c r="CH8" s="137"/>
      <c r="CI8" s="137"/>
      <c r="CJ8" s="137"/>
      <c r="CK8" s="137"/>
      <c r="CL8" s="137"/>
      <c r="CM8" s="137"/>
      <c r="CN8" s="137"/>
      <c r="CO8" s="137"/>
      <c r="CP8" s="137"/>
    </row>
    <row r="9" spans="1:94" ht="20.25" customHeight="1">
      <c r="A9" s="109" t="s">
        <v>313</v>
      </c>
      <c r="R9" s="937"/>
      <c r="S9" s="938"/>
      <c r="T9" s="938"/>
      <c r="U9" s="938"/>
      <c r="V9" s="938"/>
      <c r="W9" s="938"/>
      <c r="X9" s="938"/>
      <c r="Y9" s="938"/>
      <c r="Z9" s="938"/>
      <c r="AA9" s="938"/>
      <c r="AB9" s="938"/>
      <c r="AC9" s="938"/>
      <c r="AD9" s="938"/>
      <c r="AE9" s="938"/>
      <c r="AF9" s="938"/>
      <c r="AG9" s="939"/>
      <c r="AV9" s="59" t="s">
        <v>557</v>
      </c>
      <c r="AW9" s="141" t="s">
        <v>608</v>
      </c>
      <c r="AZ9" s="280"/>
      <c r="BA9" s="59" t="s">
        <v>561</v>
      </c>
      <c r="BB9" s="59">
        <v>39.1</v>
      </c>
      <c r="BC9" s="59">
        <v>36.6</v>
      </c>
      <c r="BD9" s="59" t="s">
        <v>557</v>
      </c>
      <c r="BE9" s="59" t="s">
        <v>558</v>
      </c>
      <c r="BF9" s="59" t="s">
        <v>559</v>
      </c>
      <c r="BG9" s="153">
        <v>2.7096</v>
      </c>
      <c r="BI9" s="347"/>
      <c r="BJ9" s="153" t="s">
        <v>561</v>
      </c>
      <c r="CC9" s="137"/>
      <c r="CD9" s="137"/>
      <c r="CE9" s="137"/>
      <c r="CF9" s="137"/>
      <c r="CG9" s="137"/>
      <c r="CH9" s="137"/>
      <c r="CI9" s="137"/>
      <c r="CJ9" s="137"/>
      <c r="CK9" s="137"/>
      <c r="CL9" s="137"/>
      <c r="CM9" s="137"/>
      <c r="CN9" s="137"/>
      <c r="CO9" s="137"/>
      <c r="CP9" s="137"/>
    </row>
    <row r="10" spans="1:94" ht="20.25" customHeight="1">
      <c r="R10" s="940"/>
      <c r="S10" s="941"/>
      <c r="T10" s="941"/>
      <c r="U10" s="941"/>
      <c r="V10" s="941"/>
      <c r="W10" s="941"/>
      <c r="X10" s="941"/>
      <c r="Y10" s="941"/>
      <c r="Z10" s="941"/>
      <c r="AA10" s="941"/>
      <c r="AB10" s="941"/>
      <c r="AC10" s="941"/>
      <c r="AD10" s="941"/>
      <c r="AE10" s="941"/>
      <c r="AF10" s="941"/>
      <c r="AG10" s="942"/>
      <c r="AQ10" s="141"/>
      <c r="AR10" s="141"/>
      <c r="AS10" s="141"/>
      <c r="AV10" s="59" t="s">
        <v>565</v>
      </c>
      <c r="AW10" s="141" t="s">
        <v>607</v>
      </c>
      <c r="AZ10" s="280"/>
      <c r="BA10" s="59" t="s">
        <v>562</v>
      </c>
      <c r="BB10" s="59">
        <v>41.9</v>
      </c>
      <c r="BC10" s="59">
        <v>39.4</v>
      </c>
      <c r="BD10" s="59" t="s">
        <v>557</v>
      </c>
      <c r="BE10" s="59" t="s">
        <v>558</v>
      </c>
      <c r="BF10" s="59" t="s">
        <v>559</v>
      </c>
      <c r="BG10" s="153">
        <v>2.7955999999999999</v>
      </c>
      <c r="BI10" s="347"/>
      <c r="BJ10" s="153" t="s">
        <v>562</v>
      </c>
      <c r="CC10" s="137"/>
      <c r="CD10" s="137"/>
      <c r="CE10" s="137"/>
      <c r="CF10" s="137"/>
      <c r="CG10" s="137"/>
      <c r="CH10" s="137"/>
      <c r="CI10" s="137"/>
      <c r="CJ10" s="137"/>
      <c r="CK10" s="137"/>
      <c r="CL10" s="137"/>
      <c r="CM10" s="137"/>
      <c r="CN10" s="137"/>
      <c r="CO10" s="137"/>
      <c r="CP10" s="137"/>
    </row>
    <row r="11" spans="1:94" ht="20.25" customHeight="1">
      <c r="U11" s="257"/>
      <c r="V11" s="257"/>
      <c r="W11" s="257"/>
      <c r="X11" s="257"/>
      <c r="Y11" s="257"/>
      <c r="Z11" s="257"/>
      <c r="AA11" s="257"/>
      <c r="AB11" s="257"/>
      <c r="AC11" s="257"/>
      <c r="AD11" s="257"/>
      <c r="AE11" s="257"/>
      <c r="AF11" s="257"/>
      <c r="AG11" s="257"/>
      <c r="AH11" s="257"/>
      <c r="AZ11" s="280"/>
      <c r="BA11" s="59" t="s">
        <v>563</v>
      </c>
      <c r="BB11" s="59">
        <v>41.9</v>
      </c>
      <c r="BC11" s="59">
        <v>39.4</v>
      </c>
      <c r="BD11" s="59" t="s">
        <v>557</v>
      </c>
      <c r="BE11" s="59" t="s">
        <v>558</v>
      </c>
      <c r="BF11" s="59" t="s">
        <v>559</v>
      </c>
      <c r="BG11" s="153">
        <v>2.7955999999999999</v>
      </c>
      <c r="BI11" s="348"/>
      <c r="BJ11" s="153" t="s">
        <v>563</v>
      </c>
      <c r="CC11" s="137"/>
      <c r="CD11" s="137"/>
      <c r="CE11" s="137"/>
      <c r="CF11" s="137"/>
      <c r="CG11" s="137"/>
      <c r="CH11" s="137"/>
      <c r="CI11" s="137"/>
      <c r="CJ11" s="137"/>
      <c r="CK11" s="137"/>
      <c r="CL11" s="137"/>
      <c r="CM11" s="137"/>
      <c r="CN11" s="137"/>
      <c r="CO11" s="137"/>
      <c r="CP11" s="137"/>
    </row>
    <row r="12" spans="1:94" ht="12" customHeight="1">
      <c r="V12" s="184"/>
      <c r="W12" s="184"/>
      <c r="X12" s="184"/>
      <c r="Y12" s="257"/>
      <c r="Z12" s="257"/>
      <c r="AA12" s="257"/>
      <c r="AB12" s="257"/>
      <c r="AC12" s="257"/>
      <c r="AD12" s="257"/>
      <c r="AE12" s="257"/>
      <c r="AF12" s="257"/>
      <c r="AG12" s="257"/>
      <c r="AH12" s="257"/>
      <c r="AZ12" s="281"/>
      <c r="BA12" s="59" t="s">
        <v>569</v>
      </c>
      <c r="BB12" s="59">
        <f>W16</f>
        <v>0</v>
      </c>
      <c r="BC12" s="59">
        <f>W17</f>
        <v>0</v>
      </c>
      <c r="BD12" s="59" t="s">
        <v>557</v>
      </c>
      <c r="BE12" s="59" t="s">
        <v>558</v>
      </c>
      <c r="BF12" s="59" t="s">
        <v>559</v>
      </c>
      <c r="BG12" s="153">
        <f>W18</f>
        <v>0</v>
      </c>
      <c r="BI12" s="153" t="s">
        <v>564</v>
      </c>
      <c r="BJ12" s="153" t="s">
        <v>537</v>
      </c>
      <c r="CC12" s="137"/>
      <c r="CD12" s="137"/>
      <c r="CE12" s="137"/>
      <c r="CF12" s="137"/>
      <c r="CG12" s="137"/>
      <c r="CH12" s="137"/>
      <c r="CI12" s="137"/>
      <c r="CJ12" s="137"/>
      <c r="CK12" s="137"/>
      <c r="CL12" s="137"/>
      <c r="CM12" s="137"/>
      <c r="CN12" s="137"/>
      <c r="CO12" s="137"/>
      <c r="CP12" s="137"/>
    </row>
    <row r="13" spans="1:94" ht="20.25" customHeight="1">
      <c r="U13" s="137" t="s">
        <v>692</v>
      </c>
      <c r="V13" s="257"/>
      <c r="W13" s="257"/>
      <c r="X13" s="257"/>
      <c r="Y13" s="257"/>
      <c r="Z13" s="257"/>
      <c r="AA13" s="257"/>
      <c r="AB13" s="257"/>
      <c r="AC13" s="257"/>
      <c r="AD13" s="257"/>
      <c r="AE13" s="257"/>
      <c r="AF13" s="257"/>
      <c r="AG13" s="257"/>
      <c r="AH13" s="257"/>
      <c r="AZ13" s="277" t="s">
        <v>564</v>
      </c>
      <c r="BA13" s="59" t="s">
        <v>537</v>
      </c>
      <c r="BB13" s="282">
        <v>9.76</v>
      </c>
      <c r="BC13" s="59">
        <v>9.76</v>
      </c>
      <c r="BD13" s="59" t="s">
        <v>565</v>
      </c>
      <c r="BE13" s="346" t="s">
        <v>566</v>
      </c>
      <c r="BF13" s="59" t="s">
        <v>567</v>
      </c>
      <c r="BG13" s="153">
        <v>0.495</v>
      </c>
      <c r="BI13" s="345" t="s">
        <v>568</v>
      </c>
      <c r="BJ13" s="153" t="s">
        <v>541</v>
      </c>
      <c r="CC13" s="137"/>
      <c r="CD13" s="137"/>
      <c r="CE13" s="137"/>
      <c r="CF13" s="137"/>
      <c r="CG13" s="137"/>
      <c r="CH13" s="137"/>
      <c r="CI13" s="137"/>
      <c r="CJ13" s="137"/>
      <c r="CK13" s="137"/>
      <c r="CL13" s="137"/>
      <c r="CM13" s="137"/>
      <c r="CN13" s="137"/>
      <c r="CO13" s="137"/>
      <c r="CP13" s="137"/>
    </row>
    <row r="14" spans="1:94" ht="20.25" customHeight="1">
      <c r="U14" s="350" t="s">
        <v>578</v>
      </c>
      <c r="V14" s="1019"/>
      <c r="W14" s="1034"/>
      <c r="X14" s="1020"/>
      <c r="Y14" s="257"/>
      <c r="Z14" s="257"/>
      <c r="AA14" s="257"/>
      <c r="AB14" s="257"/>
      <c r="AC14" s="257"/>
      <c r="AD14" s="257"/>
      <c r="AE14" s="257"/>
      <c r="AF14" s="257"/>
      <c r="AG14" s="257"/>
      <c r="AH14" s="257"/>
      <c r="AZ14" s="281"/>
      <c r="BA14" s="59" t="s">
        <v>570</v>
      </c>
      <c r="BB14" s="59">
        <f>W16</f>
        <v>0</v>
      </c>
      <c r="BC14" s="59">
        <f>W17</f>
        <v>0</v>
      </c>
      <c r="BD14" s="59" t="s">
        <v>531</v>
      </c>
      <c r="BE14" s="59" t="s">
        <v>566</v>
      </c>
      <c r="BF14" s="59" t="s">
        <v>567</v>
      </c>
      <c r="BG14" s="153">
        <f>W18</f>
        <v>0</v>
      </c>
      <c r="BI14" s="348"/>
      <c r="BJ14" s="153" t="s">
        <v>542</v>
      </c>
    </row>
    <row r="15" spans="1:94" ht="20.25" customHeight="1">
      <c r="A15" s="214"/>
      <c r="B15" s="327"/>
      <c r="C15" s="328"/>
      <c r="D15" s="328"/>
      <c r="E15" s="328"/>
      <c r="F15" s="328"/>
      <c r="G15" s="328"/>
      <c r="H15" s="329"/>
      <c r="I15" s="329"/>
      <c r="J15" s="328"/>
      <c r="K15" s="328"/>
      <c r="L15" s="328"/>
      <c r="M15" s="254"/>
      <c r="N15" s="254"/>
      <c r="O15" s="254"/>
      <c r="P15" s="329"/>
      <c r="Q15" s="329"/>
      <c r="R15" s="254"/>
      <c r="S15" s="254"/>
      <c r="T15" s="254"/>
      <c r="U15" s="351" t="s">
        <v>605</v>
      </c>
      <c r="V15" s="355" t="s">
        <v>598</v>
      </c>
      <c r="W15" s="1019"/>
      <c r="X15" s="1020"/>
      <c r="Y15" s="215"/>
      <c r="Z15" s="215"/>
      <c r="AA15" s="215"/>
      <c r="AB15" s="215"/>
      <c r="AC15" s="216"/>
      <c r="AD15" s="216"/>
      <c r="AE15" s="216"/>
      <c r="AF15" s="216"/>
      <c r="AG15" s="216"/>
      <c r="AH15" s="216"/>
      <c r="AI15" s="216"/>
      <c r="AJ15" s="216"/>
      <c r="AZ15" s="277" t="s">
        <v>568</v>
      </c>
      <c r="BA15" s="59" t="s">
        <v>541</v>
      </c>
      <c r="BB15" s="59">
        <v>25.7</v>
      </c>
      <c r="BC15" s="59">
        <v>24.4</v>
      </c>
      <c r="BD15" s="59" t="s">
        <v>552</v>
      </c>
      <c r="BE15" s="59" t="s">
        <v>553</v>
      </c>
      <c r="BF15" s="59" t="s">
        <v>554</v>
      </c>
      <c r="BG15" s="153">
        <v>2.3275999999999999</v>
      </c>
    </row>
    <row r="16" spans="1:94" ht="20.25" customHeight="1">
      <c r="A16" s="214"/>
      <c r="B16" s="327"/>
      <c r="C16" s="328"/>
      <c r="D16" s="328"/>
      <c r="E16" s="328"/>
      <c r="F16" s="328"/>
      <c r="G16" s="328"/>
      <c r="H16" s="329"/>
      <c r="I16" s="329"/>
      <c r="J16" s="328"/>
      <c r="K16" s="328"/>
      <c r="L16" s="328"/>
      <c r="M16" s="254"/>
      <c r="N16" s="254"/>
      <c r="O16" s="254"/>
      <c r="P16" s="329"/>
      <c r="Q16" s="254"/>
      <c r="R16" s="262"/>
      <c r="S16" s="262"/>
      <c r="T16" s="262"/>
      <c r="U16" s="352" t="s">
        <v>602</v>
      </c>
      <c r="V16" s="431"/>
      <c r="W16" s="1021"/>
      <c r="X16" s="1022"/>
      <c r="Y16" s="215"/>
      <c r="Z16" s="215"/>
      <c r="AA16" s="215"/>
      <c r="AB16" s="215"/>
      <c r="AC16" s="216"/>
      <c r="AD16" s="216"/>
      <c r="AE16" s="216"/>
      <c r="AF16" s="216"/>
      <c r="AG16" s="216"/>
      <c r="AH16" s="216"/>
      <c r="AI16" s="216"/>
      <c r="AJ16" s="216"/>
      <c r="AZ16" s="280"/>
      <c r="BA16" s="59" t="s">
        <v>542</v>
      </c>
      <c r="BB16" s="59">
        <v>29.4</v>
      </c>
      <c r="BC16" s="59">
        <v>27.9</v>
      </c>
      <c r="BD16" s="59" t="s">
        <v>552</v>
      </c>
      <c r="BE16" s="59" t="s">
        <v>553</v>
      </c>
      <c r="BF16" s="59" t="s">
        <v>554</v>
      </c>
      <c r="BG16" s="153">
        <v>3.1692999999999998</v>
      </c>
    </row>
    <row r="17" spans="1:94" ht="21" customHeight="1">
      <c r="A17" s="140"/>
      <c r="B17" s="140"/>
      <c r="C17" s="182"/>
      <c r="D17" s="182"/>
      <c r="E17" s="328"/>
      <c r="F17" s="182"/>
      <c r="G17" s="182"/>
      <c r="H17" s="182"/>
      <c r="I17" s="182"/>
      <c r="J17" s="182"/>
      <c r="K17" s="182"/>
      <c r="L17" s="182"/>
      <c r="M17" s="182"/>
      <c r="N17" s="182"/>
      <c r="O17" s="182"/>
      <c r="P17" s="140"/>
      <c r="Q17" s="140"/>
      <c r="R17" s="140"/>
      <c r="S17" s="140"/>
      <c r="T17" s="140"/>
      <c r="U17" s="353" t="s">
        <v>603</v>
      </c>
      <c r="V17" s="431"/>
      <c r="W17" s="1019"/>
      <c r="X17" s="1020"/>
      <c r="Y17" s="182"/>
      <c r="Z17" s="182"/>
      <c r="AA17" s="182"/>
      <c r="AB17" s="182"/>
      <c r="AC17" s="182"/>
      <c r="AD17" s="182"/>
      <c r="AE17" s="182"/>
      <c r="AF17" s="182"/>
      <c r="AG17" s="182"/>
      <c r="AH17" s="213"/>
      <c r="AI17" s="138"/>
      <c r="AZ17" s="59" t="s">
        <v>540</v>
      </c>
      <c r="BA17" s="59" t="s">
        <v>681</v>
      </c>
      <c r="BB17" s="59">
        <f>W16</f>
        <v>0</v>
      </c>
      <c r="BC17" s="59">
        <f>W17</f>
        <v>0</v>
      </c>
      <c r="BD17" s="59" t="s">
        <v>553</v>
      </c>
      <c r="BE17" s="59" t="s">
        <v>554</v>
      </c>
      <c r="BF17" s="59" t="s">
        <v>554</v>
      </c>
      <c r="BG17" s="153">
        <f>W18</f>
        <v>0</v>
      </c>
      <c r="BH17" s="141" t="s">
        <v>606</v>
      </c>
    </row>
    <row r="18" spans="1:94" ht="21" customHeight="1">
      <c r="A18" s="140"/>
      <c r="B18" s="140"/>
      <c r="C18" s="183"/>
      <c r="D18" s="183"/>
      <c r="E18" s="183"/>
      <c r="F18" s="183"/>
      <c r="G18" s="183"/>
      <c r="H18" s="183"/>
      <c r="I18" s="182"/>
      <c r="J18" s="182"/>
      <c r="K18" s="182"/>
      <c r="L18" s="182"/>
      <c r="M18" s="182"/>
      <c r="N18" s="182"/>
      <c r="O18" s="833"/>
      <c r="P18" s="140"/>
      <c r="Q18" s="140"/>
      <c r="R18" s="140"/>
      <c r="S18" s="140"/>
      <c r="T18" s="140"/>
      <c r="U18" s="354" t="s">
        <v>604</v>
      </c>
      <c r="V18" s="430" t="str">
        <f>IFERROR(INDEX(AW8:AW10,MATCH(V16,AV8:AV10,0),1),"")</f>
        <v/>
      </c>
      <c r="W18" s="1023"/>
      <c r="X18" s="1024"/>
      <c r="Y18" s="184"/>
      <c r="Z18" s="184"/>
      <c r="AA18" s="1025"/>
      <c r="AB18" s="1025"/>
      <c r="AC18" s="182"/>
      <c r="AD18" s="182"/>
      <c r="AE18" s="182"/>
      <c r="AF18" s="182"/>
      <c r="AG18" s="182"/>
      <c r="AH18" s="141"/>
      <c r="BD18" s="141"/>
      <c r="CP18" s="137"/>
    </row>
    <row r="19" spans="1:94" s="141" customFormat="1" ht="15" customHeight="1">
      <c r="A19" s="140"/>
      <c r="B19" s="140"/>
      <c r="C19" s="140"/>
      <c r="D19" s="185"/>
      <c r="E19" s="185"/>
      <c r="F19" s="186"/>
      <c r="G19" s="186"/>
      <c r="H19" s="187"/>
      <c r="I19" s="187"/>
      <c r="J19" s="187"/>
      <c r="K19" s="187"/>
      <c r="L19" s="187"/>
      <c r="M19" s="187"/>
      <c r="N19" s="187"/>
      <c r="O19" s="833"/>
      <c r="P19" s="140"/>
      <c r="Q19" s="140"/>
      <c r="R19" s="140"/>
      <c r="S19" s="857" t="str">
        <f>IF(OR(COUNTIF(AH27:AH36,"○")&gt;0,SUM($T$27:$T$36)&lt;&gt;$AP$24),"按分比が指定通り記入されていますか？","")</f>
        <v/>
      </c>
      <c r="T19" s="140"/>
      <c r="V19" s="140"/>
      <c r="W19" s="140"/>
      <c r="X19" s="140"/>
      <c r="Y19" s="140"/>
      <c r="Z19" s="140"/>
      <c r="AA19" s="140"/>
      <c r="AB19" s="185"/>
      <c r="AC19" s="185"/>
      <c r="AD19" s="185"/>
      <c r="AE19" s="185"/>
      <c r="AF19" s="185"/>
      <c r="AG19" s="188"/>
      <c r="AH19" s="188"/>
      <c r="AI19" s="143"/>
      <c r="AJ19" s="144"/>
      <c r="AK19" s="144"/>
      <c r="AL19" s="145"/>
      <c r="AM19" s="145"/>
      <c r="AN19" s="146"/>
      <c r="AO19" s="146"/>
      <c r="AP19" s="146"/>
      <c r="AQ19" s="146"/>
      <c r="AR19" s="146"/>
      <c r="AS19" s="146"/>
      <c r="AT19" s="146"/>
      <c r="AU19" s="146"/>
      <c r="BI19" s="176"/>
      <c r="BJ19" s="235"/>
      <c r="BK19" s="235"/>
      <c r="BL19" s="176"/>
      <c r="BM19" s="176"/>
      <c r="BN19" s="176"/>
      <c r="BO19" s="176"/>
      <c r="BP19" s="176"/>
      <c r="BQ19" s="176"/>
      <c r="BZ19" s="171"/>
      <c r="CC19" s="266"/>
      <c r="CD19" s="266"/>
      <c r="CE19" s="266"/>
      <c r="CF19" s="266"/>
      <c r="CG19" s="268"/>
      <c r="CH19" s="268"/>
      <c r="CI19" s="268"/>
      <c r="CJ19" s="269"/>
      <c r="CK19" s="269"/>
      <c r="CL19" s="269"/>
    </row>
    <row r="20" spans="1:94" ht="18" customHeight="1">
      <c r="A20" s="139"/>
      <c r="B20" s="213"/>
      <c r="C20" s="213"/>
      <c r="E20" s="213"/>
      <c r="F20" s="213"/>
      <c r="G20" s="588"/>
      <c r="H20" s="213"/>
      <c r="I20" s="536" t="s">
        <v>906</v>
      </c>
      <c r="J20" s="811"/>
      <c r="K20" s="811"/>
      <c r="L20" s="811"/>
      <c r="M20" s="811"/>
      <c r="N20" s="811"/>
      <c r="O20" s="811"/>
      <c r="P20" s="811"/>
      <c r="Q20" s="811"/>
      <c r="R20" s="811"/>
      <c r="S20" s="536" t="s">
        <v>926</v>
      </c>
      <c r="T20" s="811"/>
      <c r="U20" s="811"/>
      <c r="V20" s="811"/>
      <c r="W20" s="811"/>
      <c r="X20" s="811"/>
      <c r="Y20" s="811"/>
      <c r="Z20" s="811"/>
      <c r="AA20" s="536" t="s">
        <v>906</v>
      </c>
      <c r="AB20" s="811"/>
      <c r="AC20" s="213"/>
      <c r="AD20" s="213"/>
      <c r="AE20" s="213"/>
      <c r="AF20" s="213"/>
      <c r="AG20" s="213"/>
      <c r="AH20" s="140"/>
      <c r="AJ20" s="140"/>
      <c r="BD20" s="141"/>
      <c r="CP20" s="137"/>
    </row>
    <row r="21" spans="1:94" ht="21" customHeight="1">
      <c r="A21" s="947" t="s">
        <v>0</v>
      </c>
      <c r="B21" s="220" t="s">
        <v>2</v>
      </c>
      <c r="C21" s="221"/>
      <c r="D21" s="221"/>
      <c r="E21" s="221"/>
      <c r="F21" s="221"/>
      <c r="G21" s="221"/>
      <c r="H21" s="221"/>
      <c r="I21" s="221"/>
      <c r="J21" s="221"/>
      <c r="K21" s="221"/>
      <c r="L21" s="221"/>
      <c r="M21" s="221"/>
      <c r="N21" s="221"/>
      <c r="O21" s="221"/>
      <c r="P21" s="222"/>
      <c r="Q21" s="222"/>
      <c r="R21" s="222"/>
      <c r="S21" s="222"/>
      <c r="T21" s="224" t="s">
        <v>47</v>
      </c>
      <c r="U21" s="225"/>
      <c r="V21" s="225"/>
      <c r="W21" s="225"/>
      <c r="X21" s="225"/>
      <c r="Y21" s="225"/>
      <c r="Z21" s="225"/>
      <c r="AA21" s="225"/>
      <c r="AB21" s="225"/>
      <c r="AC21" s="225"/>
      <c r="AD21" s="225"/>
      <c r="AE21" s="225"/>
      <c r="AF21" s="919" t="s">
        <v>14</v>
      </c>
      <c r="AG21" s="920"/>
      <c r="AH21" s="142"/>
      <c r="AI21" s="141"/>
      <c r="AJ21" s="141"/>
      <c r="AK21" s="137" t="s">
        <v>594</v>
      </c>
      <c r="AQ21" s="137" t="s">
        <v>595</v>
      </c>
      <c r="AV21" s="141"/>
      <c r="AW21" s="141"/>
      <c r="BD21" s="141"/>
      <c r="CP21" s="137"/>
    </row>
    <row r="22" spans="1:94" ht="15" customHeight="1">
      <c r="A22" s="948"/>
      <c r="B22" s="227"/>
      <c r="C22" s="228"/>
      <c r="D22" s="228"/>
      <c r="E22" s="228"/>
      <c r="F22" s="228"/>
      <c r="G22" s="228"/>
      <c r="H22" s="228"/>
      <c r="I22" s="228"/>
      <c r="J22" s="228"/>
      <c r="K22" s="333" t="s">
        <v>50</v>
      </c>
      <c r="L22" s="226"/>
      <c r="M22" s="226"/>
      <c r="N22" s="226"/>
      <c r="O22" s="226"/>
      <c r="P22" s="226"/>
      <c r="Q22" s="226"/>
      <c r="R22" s="226"/>
      <c r="S22" s="226"/>
      <c r="T22" s="227"/>
      <c r="U22" s="228"/>
      <c r="V22" s="228"/>
      <c r="W22" s="228"/>
      <c r="X22" s="228"/>
      <c r="Y22" s="228"/>
      <c r="Z22" s="228"/>
      <c r="AA22" s="228"/>
      <c r="AB22" s="228"/>
      <c r="AC22" s="333" t="s">
        <v>50</v>
      </c>
      <c r="AD22" s="226"/>
      <c r="AE22" s="223"/>
      <c r="AF22" s="921"/>
      <c r="AG22" s="922"/>
      <c r="AH22" s="142"/>
      <c r="AI22" s="141"/>
      <c r="AJ22" s="141"/>
      <c r="AV22" s="141"/>
      <c r="AW22" s="141"/>
      <c r="BD22" s="141"/>
      <c r="CP22" s="137"/>
    </row>
    <row r="23" spans="1:94" s="141" customFormat="1" ht="31.5" customHeight="1">
      <c r="A23" s="949"/>
      <c r="B23" s="232" t="s">
        <v>15</v>
      </c>
      <c r="C23" s="249" t="s">
        <v>578</v>
      </c>
      <c r="D23" s="249" t="s">
        <v>415</v>
      </c>
      <c r="E23" s="233" t="s">
        <v>423</v>
      </c>
      <c r="F23" s="249" t="s">
        <v>523</v>
      </c>
      <c r="G23" s="233" t="s">
        <v>524</v>
      </c>
      <c r="H23" s="249" t="s">
        <v>1</v>
      </c>
      <c r="I23" s="1013" t="s">
        <v>907</v>
      </c>
      <c r="J23" s="233" t="s">
        <v>525</v>
      </c>
      <c r="K23" s="233" t="s">
        <v>795</v>
      </c>
      <c r="L23" s="234" t="s">
        <v>791</v>
      </c>
      <c r="M23" s="233" t="s">
        <v>526</v>
      </c>
      <c r="N23" s="233" t="s">
        <v>583</v>
      </c>
      <c r="O23" s="249" t="s">
        <v>593</v>
      </c>
      <c r="P23" s="249" t="s">
        <v>527</v>
      </c>
      <c r="Q23" s="249" t="s">
        <v>1</v>
      </c>
      <c r="R23" s="233" t="s">
        <v>513</v>
      </c>
      <c r="S23" s="1026" t="s">
        <v>920</v>
      </c>
      <c r="T23" s="1027"/>
      <c r="U23" s="232" t="s">
        <v>15</v>
      </c>
      <c r="V23" s="233" t="s">
        <v>423</v>
      </c>
      <c r="W23" s="249" t="s">
        <v>578</v>
      </c>
      <c r="X23" s="249" t="s">
        <v>523</v>
      </c>
      <c r="Y23" s="233" t="s">
        <v>524</v>
      </c>
      <c r="Z23" s="249" t="s">
        <v>1</v>
      </c>
      <c r="AA23" s="1013" t="s">
        <v>907</v>
      </c>
      <c r="AB23" s="233" t="s">
        <v>525</v>
      </c>
      <c r="AC23" s="249" t="s">
        <v>527</v>
      </c>
      <c r="AD23" s="249" t="s">
        <v>1</v>
      </c>
      <c r="AE23" s="233" t="s">
        <v>513</v>
      </c>
      <c r="AF23" s="234" t="s">
        <v>529</v>
      </c>
      <c r="AG23" s="234" t="s">
        <v>519</v>
      </c>
      <c r="AH23" s="143" t="s">
        <v>951</v>
      </c>
      <c r="AI23" s="144" t="s">
        <v>952</v>
      </c>
      <c r="AJ23" s="144"/>
      <c r="AK23" s="195" t="s">
        <v>586</v>
      </c>
      <c r="AL23" s="195" t="s">
        <v>587</v>
      </c>
      <c r="AM23" s="195" t="s">
        <v>585</v>
      </c>
      <c r="AN23" s="326" t="s">
        <v>597</v>
      </c>
      <c r="AO23" s="195" t="s">
        <v>588</v>
      </c>
      <c r="AP23" s="195" t="s">
        <v>922</v>
      </c>
      <c r="AQ23" s="195" t="s">
        <v>586</v>
      </c>
      <c r="AR23" s="195" t="s">
        <v>587</v>
      </c>
      <c r="AS23" s="195" t="s">
        <v>585</v>
      </c>
      <c r="AT23" s="326" t="s">
        <v>597</v>
      </c>
      <c r="AU23" s="195" t="s">
        <v>588</v>
      </c>
      <c r="AV23" s="834" t="s">
        <v>927</v>
      </c>
      <c r="AW23" s="834" t="s">
        <v>928</v>
      </c>
      <c r="AX23" s="195" t="s">
        <v>593</v>
      </c>
      <c r="AY23" s="137" t="s">
        <v>951</v>
      </c>
      <c r="AZ23" s="137"/>
      <c r="BC23" s="137"/>
    </row>
    <row r="24" spans="1:94" s="141" customFormat="1" ht="16.5" customHeight="1">
      <c r="A24" s="133" t="s">
        <v>1</v>
      </c>
      <c r="B24" s="128"/>
      <c r="C24" s="276"/>
      <c r="D24" s="129" t="s">
        <v>634</v>
      </c>
      <c r="E24" s="125" t="s">
        <v>45</v>
      </c>
      <c r="F24" s="276"/>
      <c r="G24" s="125" t="s">
        <v>596</v>
      </c>
      <c r="H24" s="276"/>
      <c r="I24" s="1014"/>
      <c r="J24" s="125" t="s">
        <v>56</v>
      </c>
      <c r="K24" s="125" t="s">
        <v>793</v>
      </c>
      <c r="L24" s="125" t="s">
        <v>792</v>
      </c>
      <c r="M24" s="125" t="s">
        <v>22</v>
      </c>
      <c r="N24" s="125" t="s">
        <v>584</v>
      </c>
      <c r="O24" s="125" t="s">
        <v>591</v>
      </c>
      <c r="P24" s="276"/>
      <c r="Q24" s="276"/>
      <c r="R24" s="125" t="s">
        <v>484</v>
      </c>
      <c r="S24" s="1028"/>
      <c r="T24" s="1029"/>
      <c r="U24" s="129"/>
      <c r="V24" s="125" t="s">
        <v>45</v>
      </c>
      <c r="W24" s="276"/>
      <c r="X24" s="276"/>
      <c r="Y24" s="125" t="s">
        <v>596</v>
      </c>
      <c r="Z24" s="276"/>
      <c r="AA24" s="1014"/>
      <c r="AB24" s="125" t="s">
        <v>56</v>
      </c>
      <c r="AC24" s="276"/>
      <c r="AD24" s="276"/>
      <c r="AE24" s="125" t="s">
        <v>484</v>
      </c>
      <c r="AF24" s="125" t="str">
        <f>IF(AI26=10,AD27,"")&amp;"/年"</f>
        <v>/年</v>
      </c>
      <c r="AG24" s="125" t="s">
        <v>484</v>
      </c>
      <c r="AH24" s="143"/>
      <c r="AI24" s="144"/>
      <c r="AJ24" s="144"/>
      <c r="AP24" s="836">
        <f>INT(SUM(T27:T36))</f>
        <v>0</v>
      </c>
      <c r="AV24" s="146"/>
      <c r="AW24" s="146"/>
      <c r="AY24" s="137"/>
      <c r="BJ24" s="154"/>
    </row>
    <row r="25" spans="1:94" s="141" customFormat="1" ht="21.95" customHeight="1">
      <c r="A25" s="357" t="s">
        <v>424</v>
      </c>
      <c r="B25" s="590" t="s">
        <v>232</v>
      </c>
      <c r="C25" s="591" t="s">
        <v>530</v>
      </c>
      <c r="D25" s="592">
        <v>2001</v>
      </c>
      <c r="E25" s="593">
        <v>2</v>
      </c>
      <c r="F25" s="594" t="s">
        <v>609</v>
      </c>
      <c r="G25" s="595">
        <v>40</v>
      </c>
      <c r="H25" s="330" t="str">
        <f>IF(C25="","",VLOOKUP(F25,$BA$2:$BF$17,6,FALSE))</f>
        <v>m3（N)/h</v>
      </c>
      <c r="I25" s="810"/>
      <c r="J25" s="596">
        <v>0.86</v>
      </c>
      <c r="K25" s="597">
        <v>200</v>
      </c>
      <c r="L25" s="598">
        <v>10</v>
      </c>
      <c r="M25" s="572">
        <f>K25*L25</f>
        <v>2000</v>
      </c>
      <c r="N25" s="599">
        <v>0.5</v>
      </c>
      <c r="O25" s="330">
        <f>E25*G25*J25*M25*IF(N25="",1,N25)*AM25</f>
        <v>6537427.3858921165</v>
      </c>
      <c r="P25" s="330">
        <f>IF(N25="",E25*G25/J25*M25,E25*G25/J25*M25*N25)</f>
        <v>93023.255813953481</v>
      </c>
      <c r="Q25" s="330" t="str">
        <f>IF(H25="","",IF(H25="kW","kW",LEFT(H25,FIND("/",H25)-1)))</f>
        <v>m3（N)</v>
      </c>
      <c r="R25" s="332">
        <f>P25*AO25*0.001</f>
        <v>578.60465116279056</v>
      </c>
      <c r="S25" s="1030" t="s">
        <v>925</v>
      </c>
      <c r="T25" s="1032" t="s">
        <v>921</v>
      </c>
      <c r="U25" s="590" t="s">
        <v>53</v>
      </c>
      <c r="V25" s="593">
        <v>2</v>
      </c>
      <c r="W25" s="591" t="s">
        <v>530</v>
      </c>
      <c r="X25" s="594" t="s">
        <v>599</v>
      </c>
      <c r="Y25" s="595">
        <v>100</v>
      </c>
      <c r="Z25" s="330" t="str">
        <f>IF(W25="","",VLOOKUP(X25,$BA$2:$BF$17,6,FALSE))</f>
        <v>m3（N)/h</v>
      </c>
      <c r="AA25" s="810"/>
      <c r="AB25" s="596">
        <v>0.98</v>
      </c>
      <c r="AC25" s="330">
        <f>O25/AS25/AB25</f>
        <v>163501.08508133545</v>
      </c>
      <c r="AD25" s="330" t="str">
        <f>IF(Z25="","",IF(Z25="kW","kW",LEFT(Z25,FIND("/",Z25)-1)))</f>
        <v>m3（N)</v>
      </c>
      <c r="AE25" s="330">
        <f>AC25*AU25*0.001</f>
        <v>366.89643492251679</v>
      </c>
      <c r="AF25" s="330">
        <f>IFERROR(P25-AC25,"")</f>
        <v>-70477.829267381967</v>
      </c>
      <c r="AG25" s="330">
        <f>IFERROR(R25-AE25,"")</f>
        <v>211.70821624027377</v>
      </c>
      <c r="AH25" s="747"/>
      <c r="AI25" s="144">
        <f>IF(F25=X25,1,2)</f>
        <v>2</v>
      </c>
      <c r="AJ25" s="144"/>
      <c r="AK25" s="145">
        <f>VLOOKUP(F25,$BA$2:$BF$17,2,FALSE)</f>
        <v>105.39419087136929</v>
      </c>
      <c r="AL25" s="145">
        <f>VLOOKUP(F25,$BA$2:$BF$17,3,FALSE)</f>
        <v>95.020746887966808</v>
      </c>
      <c r="AM25" s="146">
        <f>IF(I25="",VLOOKUP(F25,$BA$2:$BF$17,3,FALSE),VLOOKUP(F25,$BA$2:$BF$17,2,FALSE))</f>
        <v>95.020746887966808</v>
      </c>
      <c r="AN25" s="147">
        <f>P25*AK25*0.0258</f>
        <v>252946.05809128628</v>
      </c>
      <c r="AO25" s="146">
        <f>VLOOKUP(F25,$BA$2:$BG$17,7,FALSE)</f>
        <v>6.22</v>
      </c>
      <c r="AP25" s="146"/>
      <c r="AQ25" s="145">
        <f>VLOOKUP(X25,$BA$2:$BF$17,2,FALSE)</f>
        <v>45</v>
      </c>
      <c r="AR25" s="145">
        <f>VLOOKUP(X25,$BA$2:$BF$17,3,FALSE)</f>
        <v>40.799999999999997</v>
      </c>
      <c r="AS25" s="146">
        <f>IF(AA25="",VLOOKUP(X25,$BA$2:$BF$17,3,FALSE),VLOOKUP(X25,$BA$2:$BF$17,2,FALSE))</f>
        <v>40.799999999999997</v>
      </c>
      <c r="AT25" s="147">
        <f>AC25*AQ25*0.0258</f>
        <v>189824.75977943046</v>
      </c>
      <c r="AU25" s="146">
        <f>VLOOKUP(X25,$BA$2:$BG$17,7,FALSE)</f>
        <v>2.2440000000000002</v>
      </c>
      <c r="AV25" s="146"/>
      <c r="AW25" s="146"/>
      <c r="BJ25" s="154"/>
      <c r="BM25" s="151"/>
      <c r="BT25" s="151"/>
    </row>
    <row r="26" spans="1:94" s="141" customFormat="1" ht="21.95" customHeight="1" thickBot="1">
      <c r="A26" s="713" t="s">
        <v>30</v>
      </c>
      <c r="B26" s="740"/>
      <c r="C26" s="793"/>
      <c r="D26" s="719"/>
      <c r="E26" s="742">
        <f>_xlfn.AGGREGATE(9,7,E27:E36)</f>
        <v>0</v>
      </c>
      <c r="F26" s="794"/>
      <c r="G26" s="719"/>
      <c r="H26" s="744"/>
      <c r="I26" s="793"/>
      <c r="J26" s="829"/>
      <c r="K26" s="829"/>
      <c r="L26" s="829"/>
      <c r="M26" s="743"/>
      <c r="N26" s="754"/>
      <c r="O26" s="745">
        <f>_xlfn.AGGREGATE(9,7,O27:O36)</f>
        <v>0</v>
      </c>
      <c r="P26" s="745">
        <f>_xlfn.AGGREGATE(9,7,P27:P36)</f>
        <v>0</v>
      </c>
      <c r="Q26" s="745" t="str">
        <f>RIGHT(H26,FIND("",H26))</f>
        <v/>
      </c>
      <c r="R26" s="746">
        <f>_xlfn.AGGREGATE(9,7,R27:R36)</f>
        <v>0</v>
      </c>
      <c r="S26" s="1031"/>
      <c r="T26" s="1033"/>
      <c r="U26" s="740"/>
      <c r="V26" s="742">
        <f>_xlfn.AGGREGATE(9,7,V27:V36)</f>
        <v>0</v>
      </c>
      <c r="W26" s="793"/>
      <c r="X26" s="794"/>
      <c r="Y26" s="719"/>
      <c r="Z26" s="744"/>
      <c r="AA26" s="793"/>
      <c r="AB26" s="829"/>
      <c r="AC26" s="745">
        <f>_xlfn.AGGREGATE(9,7,AC27:AC36)</f>
        <v>0</v>
      </c>
      <c r="AD26" s="745" t="str">
        <f>RIGHT(Z26,FIND("",Z26))</f>
        <v/>
      </c>
      <c r="AE26" s="746">
        <f>_xlfn.AGGREGATE(9,7,AE27:AE36)</f>
        <v>0</v>
      </c>
      <c r="AF26" s="745">
        <f>_xlfn.AGGREGATE(9,7,AF27:AF36)</f>
        <v>0</v>
      </c>
      <c r="AG26" s="746">
        <f>_xlfn.AGGREGATE(9,7,AG27:AG36)</f>
        <v>0</v>
      </c>
      <c r="AH26" s="876">
        <f>AY26</f>
        <v>0</v>
      </c>
      <c r="AI26" s="135">
        <f t="shared" ref="AI26" si="0">_xlfn.AGGREGATE(9,7,AI27:AI46)</f>
        <v>10</v>
      </c>
      <c r="AJ26" s="144"/>
      <c r="AK26" s="145"/>
      <c r="AL26" s="145"/>
      <c r="AM26" s="146"/>
      <c r="AN26" s="135">
        <f t="shared" ref="AN26:AP26" si="1">_xlfn.AGGREGATE(9,7,AN27:AN46)</f>
        <v>0</v>
      </c>
      <c r="AO26" s="146"/>
      <c r="AP26" s="135">
        <f t="shared" si="1"/>
        <v>0</v>
      </c>
      <c r="AQ26" s="145"/>
      <c r="AR26" s="145"/>
      <c r="AS26" s="146"/>
      <c r="AT26" s="135">
        <f t="shared" ref="AT26" si="2">_xlfn.AGGREGATE(9,7,AT27:AT46)</f>
        <v>0</v>
      </c>
      <c r="AU26" s="146"/>
      <c r="AV26" s="865">
        <f>_xlfn.AGGREGATE(9,7,AV27:AV36)</f>
        <v>0</v>
      </c>
      <c r="AW26" s="838">
        <f>_xlfn.AGGREGATE(9,7,AW27:AW36)</f>
        <v>0</v>
      </c>
      <c r="AX26" s="135">
        <f t="shared" ref="AX26:AY26" si="3">_xlfn.AGGREGATE(9,7,AX27:AX46)</f>
        <v>0</v>
      </c>
      <c r="AY26" s="135">
        <f t="shared" si="3"/>
        <v>0</v>
      </c>
      <c r="BF26" s="264"/>
      <c r="BG26" s="264"/>
      <c r="BH26" s="157"/>
      <c r="BJ26" s="154"/>
    </row>
    <row r="27" spans="1:94" s="141" customFormat="1" ht="21.95" customHeight="1">
      <c r="A27" s="728">
        <v>1</v>
      </c>
      <c r="B27" s="730"/>
      <c r="C27" s="729"/>
      <c r="D27" s="699"/>
      <c r="E27" s="730"/>
      <c r="F27" s="731"/>
      <c r="G27" s="732"/>
      <c r="H27" s="733" t="str">
        <f t="shared" ref="H27:H36" si="4">IF(C27="","",VLOOKUP(F27,$BA$2:$BF$17,6,FALSE))</f>
        <v/>
      </c>
      <c r="I27" s="808"/>
      <c r="J27" s="734"/>
      <c r="K27" s="735"/>
      <c r="L27" s="736"/>
      <c r="M27" s="341">
        <f t="shared" ref="M27:M29" si="5">K27*L27</f>
        <v>0</v>
      </c>
      <c r="N27" s="738"/>
      <c r="O27" s="739" t="str">
        <f>IFERROR(IF(N27="",E27*G27*J27*M27*AM27,E27*G27*J27*M27*N27*AM27),"")</f>
        <v/>
      </c>
      <c r="P27" s="733" t="str">
        <f>IFERROR(IF(N27="",E27*G27/J27*M27,E27*G27/J27*M27*N27),"")</f>
        <v/>
      </c>
      <c r="Q27" s="700" t="str">
        <f t="shared" ref="Q27:Q28" si="6">IF(H27="","",IF(H27="kW","kW",LEFT(H27,FIND("/",H27)-1)))</f>
        <v/>
      </c>
      <c r="R27" s="702" t="str">
        <f t="shared" ref="R27:R36" si="7">IFERROR(P27*AO27*0.001,"")</f>
        <v/>
      </c>
      <c r="S27" s="839"/>
      <c r="T27" s="839"/>
      <c r="U27" s="730"/>
      <c r="V27" s="730"/>
      <c r="W27" s="729"/>
      <c r="X27" s="731"/>
      <c r="Y27" s="732"/>
      <c r="Z27" s="733" t="str">
        <f t="shared" ref="Z27:Z36" si="8">IF(W27="","",VLOOKUP(X27,$BA$2:$BF$17,6,FALSE))</f>
        <v/>
      </c>
      <c r="AA27" s="808"/>
      <c r="AB27" s="734"/>
      <c r="AC27" s="849">
        <f>IFERROR(AP27/AS27/AB27,0)</f>
        <v>0</v>
      </c>
      <c r="AD27" s="700" t="str">
        <f>IF(Z27="","",IF(Z27="kW","kW",LEFT(Z27,FIND("/",Z27)-1)))</f>
        <v/>
      </c>
      <c r="AE27" s="849">
        <f>IFERROR(AC27*AU27*0.001,0)</f>
        <v>0</v>
      </c>
      <c r="AF27" s="851">
        <f t="shared" ref="AF27:AF29" si="9">IFERROR(IF(P27="",AC27*-1,P27-AC27),"")</f>
        <v>0</v>
      </c>
      <c r="AG27" s="854">
        <f t="shared" ref="AG27:AG29" si="10">IFERROR(IF(R27="",AE27*-1,R27-AE27),"")</f>
        <v>0</v>
      </c>
      <c r="AH27" s="396">
        <f>IF(OR(AND(S27&lt;&gt;"",T27=""),AND(S27="",T27&lt;&gt;""),AND(T27&lt;&gt;0,V27="")),"○",0)</f>
        <v>0</v>
      </c>
      <c r="AI27" s="144">
        <f t="shared" ref="AI27:AI36" si="11">IF(F27=X27,1,2)</f>
        <v>1</v>
      </c>
      <c r="AJ27" s="144"/>
      <c r="AK27" s="145" t="e">
        <f t="shared" ref="AK27:AK36" si="12">VLOOKUP(F27,$BA$2:$BF$17,2,FALSE)</f>
        <v>#N/A</v>
      </c>
      <c r="AL27" s="145" t="e">
        <f t="shared" ref="AL27:AL36" si="13">VLOOKUP(F27,$BA$2:$BF$17,3,FALSE)</f>
        <v>#N/A</v>
      </c>
      <c r="AM27" s="146" t="e">
        <f t="shared" ref="AM27:AM36" si="14">IF(I27="",VLOOKUP(F27,$BA$2:$BF$17,3,FALSE),VLOOKUP(F27,$BA$2:$BF$17,2,FALSE))</f>
        <v>#N/A</v>
      </c>
      <c r="AN27" s="147" t="e">
        <f t="shared" ref="AN27:AN36" si="15">P27*AK27*0.0258</f>
        <v>#VALUE!</v>
      </c>
      <c r="AO27" s="146" t="e">
        <f t="shared" ref="AO27:AO36" si="16">VLOOKUP(F27,$BA$2:$BG$17,7,FALSE)</f>
        <v>#N/A</v>
      </c>
      <c r="AP27" s="837" t="str">
        <f>IF(S27="",O27,IF(S27="◎",$AV$26*T27,IF(S27="○",$AW$26*T27,0)))</f>
        <v/>
      </c>
      <c r="AQ27" s="145" t="e">
        <f t="shared" ref="AQ27:AQ36" si="17">VLOOKUP(X27,$BA$2:$BF$17,2,FALSE)</f>
        <v>#N/A</v>
      </c>
      <c r="AR27" s="145" t="e">
        <f t="shared" ref="AR27:AR36" si="18">VLOOKUP(X27,$BA$2:$BF$17,3,FALSE)</f>
        <v>#N/A</v>
      </c>
      <c r="AS27" s="146" t="e">
        <f t="shared" ref="AS27:AS36" si="19">IF(AA27="",VLOOKUP(X27,$BA$2:$BF$17,3,FALSE),VLOOKUP(X27,$BA$2:$BF$17,2,FALSE))</f>
        <v>#N/A</v>
      </c>
      <c r="AT27" s="147" t="e">
        <f t="shared" ref="AT27:AT36" si="20">AC27*AQ27*0.0258</f>
        <v>#N/A</v>
      </c>
      <c r="AU27" s="146" t="e">
        <f t="shared" ref="AU27:AU36" si="21">VLOOKUP(X27,$BA$2:$BG$17,7,FALSE)</f>
        <v>#N/A</v>
      </c>
      <c r="AV27" s="837" t="e">
        <f>IF(S27="◎",1,0)*O27</f>
        <v>#VALUE!</v>
      </c>
      <c r="AW27" s="195" t="e">
        <f>IF(S27="○",1,0)*O27</f>
        <v>#VALUE!</v>
      </c>
      <c r="AX27" s="835" t="e">
        <f>V27*Y27*AB27*AS27*M27*IF(N27="",1,N27)</f>
        <v>#N/A</v>
      </c>
      <c r="AY27" s="141" t="e">
        <f>AP27/J27-AX27/AB27</f>
        <v>#VALUE!</v>
      </c>
      <c r="BF27" s="264"/>
      <c r="BG27" s="264"/>
      <c r="BH27" s="157"/>
      <c r="BJ27" s="154"/>
      <c r="BK27" s="154"/>
      <c r="BM27" s="263"/>
      <c r="BN27" s="157"/>
      <c r="BQ27" s="154"/>
      <c r="BR27" s="154"/>
      <c r="BT27" s="264"/>
      <c r="BU27" s="157"/>
    </row>
    <row r="28" spans="1:94" s="141" customFormat="1" ht="21.95" customHeight="1">
      <c r="A28" s="22">
        <v>2</v>
      </c>
      <c r="B28" s="420"/>
      <c r="C28" s="422"/>
      <c r="D28" s="421"/>
      <c r="E28" s="420"/>
      <c r="F28" s="423"/>
      <c r="G28" s="413"/>
      <c r="H28" s="424" t="str">
        <f t="shared" si="4"/>
        <v/>
      </c>
      <c r="I28" s="809"/>
      <c r="J28" s="412"/>
      <c r="K28" s="537"/>
      <c r="L28" s="538"/>
      <c r="M28" s="341">
        <f t="shared" si="5"/>
        <v>0</v>
      </c>
      <c r="N28" s="415"/>
      <c r="O28" s="427" t="str">
        <f t="shared" ref="O28:O36" si="22">IFERROR(IF(N28="",E28*G28*J28*M28*AM28,E28*G28*J28*M28*N28*AM28),"")</f>
        <v/>
      </c>
      <c r="P28" s="424" t="str">
        <f t="shared" ref="P28:P36" si="23">IFERROR(IF(N28="",E28*G28/J28*M28,E28*G28/J28*M28*N28),"")</f>
        <v/>
      </c>
      <c r="Q28" s="426" t="str">
        <f t="shared" si="6"/>
        <v/>
      </c>
      <c r="R28" s="425" t="str">
        <f t="shared" si="7"/>
        <v/>
      </c>
      <c r="S28" s="840"/>
      <c r="T28" s="840"/>
      <c r="U28" s="420"/>
      <c r="V28" s="420"/>
      <c r="W28" s="422"/>
      <c r="X28" s="423"/>
      <c r="Y28" s="413"/>
      <c r="Z28" s="424" t="str">
        <f t="shared" si="8"/>
        <v/>
      </c>
      <c r="AA28" s="809"/>
      <c r="AB28" s="412"/>
      <c r="AC28" s="850">
        <f t="shared" ref="AC28:AC36" si="24">IFERROR(AP28/AS28/AB28,0)</f>
        <v>0</v>
      </c>
      <c r="AD28" s="426" t="str">
        <f>IF(Z28="","",IF(Z28="kW","kW",LEFT(Z28,FIND("/",Z28)-1)))</f>
        <v/>
      </c>
      <c r="AE28" s="850">
        <f t="shared" ref="AE28:AE36" si="25">IFERROR(AC28*AU28*0.001,0)</f>
        <v>0</v>
      </c>
      <c r="AF28" s="852">
        <f>IF(P28="",AC28*-1,P28-AC28)</f>
        <v>0</v>
      </c>
      <c r="AG28" s="855">
        <f t="shared" si="10"/>
        <v>0</v>
      </c>
      <c r="AH28" s="396">
        <f t="shared" ref="AH28:AH36" si="26">IF(OR(AND(S28&lt;&gt;"",T28=""),AND(S28="",T28&lt;&gt;""),AND(T28&lt;&gt;0,V28="")),"○",0)</f>
        <v>0</v>
      </c>
      <c r="AI28" s="144">
        <f t="shared" si="11"/>
        <v>1</v>
      </c>
      <c r="AJ28" s="144"/>
      <c r="AK28" s="145" t="e">
        <f t="shared" si="12"/>
        <v>#N/A</v>
      </c>
      <c r="AL28" s="145" t="e">
        <f t="shared" si="13"/>
        <v>#N/A</v>
      </c>
      <c r="AM28" s="146" t="e">
        <f t="shared" si="14"/>
        <v>#N/A</v>
      </c>
      <c r="AN28" s="147" t="e">
        <f t="shared" si="15"/>
        <v>#VALUE!</v>
      </c>
      <c r="AO28" s="146" t="e">
        <f t="shared" si="16"/>
        <v>#N/A</v>
      </c>
      <c r="AP28" s="837" t="str">
        <f>IF(S28="",O28,IF(S28="◎",$AV$26*T28,IF(S28="○",$AW$26*T28,0)))</f>
        <v/>
      </c>
      <c r="AQ28" s="145" t="e">
        <f t="shared" si="17"/>
        <v>#N/A</v>
      </c>
      <c r="AR28" s="145" t="e">
        <f t="shared" si="18"/>
        <v>#N/A</v>
      </c>
      <c r="AS28" s="146" t="e">
        <f t="shared" si="19"/>
        <v>#N/A</v>
      </c>
      <c r="AT28" s="147" t="e">
        <f t="shared" si="20"/>
        <v>#N/A</v>
      </c>
      <c r="AU28" s="146" t="e">
        <f t="shared" si="21"/>
        <v>#N/A</v>
      </c>
      <c r="AV28" s="837" t="e">
        <f t="shared" ref="AV28:AV36" si="27">IF(S28="◎",1,0)*O28</f>
        <v>#VALUE!</v>
      </c>
      <c r="AW28" s="195" t="e">
        <f t="shared" ref="AW28:AW36" si="28">IF(S28="○",1,0)*O28</f>
        <v>#VALUE!</v>
      </c>
      <c r="AX28" s="835" t="e">
        <f t="shared" ref="AX28:AX36" si="29">V28*Y28*AB28*AS28*M28*IF(N28="",1,N28)</f>
        <v>#N/A</v>
      </c>
      <c r="AY28" s="141" t="e">
        <f t="shared" ref="AY28:AY36" si="30">AP28/J28-AX28/AB28</f>
        <v>#VALUE!</v>
      </c>
      <c r="BD28" s="154"/>
      <c r="BE28" s="263"/>
      <c r="BF28" s="264"/>
      <c r="BG28" s="264"/>
      <c r="BH28" s="157"/>
      <c r="BJ28" s="154"/>
      <c r="BK28" s="154"/>
      <c r="BM28" s="263"/>
      <c r="BN28" s="157"/>
      <c r="BQ28" s="154"/>
      <c r="BR28" s="154"/>
      <c r="BT28" s="264"/>
      <c r="BU28" s="157"/>
    </row>
    <row r="29" spans="1:94" s="141" customFormat="1" ht="21.95" customHeight="1">
      <c r="A29" s="22">
        <v>3</v>
      </c>
      <c r="B29" s="420"/>
      <c r="C29" s="422"/>
      <c r="D29" s="421"/>
      <c r="E29" s="420"/>
      <c r="F29" s="423"/>
      <c r="G29" s="413"/>
      <c r="H29" s="424" t="str">
        <f t="shared" si="4"/>
        <v/>
      </c>
      <c r="I29" s="809"/>
      <c r="J29" s="412"/>
      <c r="K29" s="537"/>
      <c r="L29" s="538"/>
      <c r="M29" s="341">
        <f t="shared" si="5"/>
        <v>0</v>
      </c>
      <c r="N29" s="415"/>
      <c r="O29" s="427" t="str">
        <f t="shared" si="22"/>
        <v/>
      </c>
      <c r="P29" s="424" t="str">
        <f t="shared" si="23"/>
        <v/>
      </c>
      <c r="Q29" s="426" t="str">
        <f>IF(H29="","",IF(H29="kW","kW",LEFT(H29,FIND("/",H29)-1)))</f>
        <v/>
      </c>
      <c r="R29" s="425" t="str">
        <f t="shared" si="7"/>
        <v/>
      </c>
      <c r="S29" s="840"/>
      <c r="T29" s="840"/>
      <c r="U29" s="420"/>
      <c r="V29" s="420"/>
      <c r="W29" s="422"/>
      <c r="X29" s="423"/>
      <c r="Y29" s="413"/>
      <c r="Z29" s="424" t="str">
        <f t="shared" si="8"/>
        <v/>
      </c>
      <c r="AA29" s="809"/>
      <c r="AB29" s="412"/>
      <c r="AC29" s="850">
        <f t="shared" si="24"/>
        <v>0</v>
      </c>
      <c r="AD29" s="426" t="str">
        <f t="shared" ref="AD29:AD36" si="31">IF(Z29="","",IF(Z29="kW","kW",LEFT(Z29,FIND("/",Z29)-1)))</f>
        <v/>
      </c>
      <c r="AE29" s="850">
        <f t="shared" si="25"/>
        <v>0</v>
      </c>
      <c r="AF29" s="852">
        <f t="shared" si="9"/>
        <v>0</v>
      </c>
      <c r="AG29" s="855">
        <f t="shared" si="10"/>
        <v>0</v>
      </c>
      <c r="AH29" s="396">
        <f t="shared" si="26"/>
        <v>0</v>
      </c>
      <c r="AI29" s="144">
        <f t="shared" si="11"/>
        <v>1</v>
      </c>
      <c r="AJ29" s="144"/>
      <c r="AK29" s="145" t="e">
        <f t="shared" si="12"/>
        <v>#N/A</v>
      </c>
      <c r="AL29" s="145" t="e">
        <f t="shared" si="13"/>
        <v>#N/A</v>
      </c>
      <c r="AM29" s="146" t="e">
        <f t="shared" si="14"/>
        <v>#N/A</v>
      </c>
      <c r="AN29" s="147" t="e">
        <f t="shared" si="15"/>
        <v>#VALUE!</v>
      </c>
      <c r="AO29" s="146" t="e">
        <f t="shared" si="16"/>
        <v>#N/A</v>
      </c>
      <c r="AP29" s="837" t="str">
        <f>IF(S29="",O29,IF(S29="◎",$AV$26*T29,IF(S29="○",$AW$26*T29,0)))</f>
        <v/>
      </c>
      <c r="AQ29" s="145" t="e">
        <f t="shared" si="17"/>
        <v>#N/A</v>
      </c>
      <c r="AR29" s="145" t="e">
        <f t="shared" si="18"/>
        <v>#N/A</v>
      </c>
      <c r="AS29" s="146" t="e">
        <f t="shared" si="19"/>
        <v>#N/A</v>
      </c>
      <c r="AT29" s="147" t="e">
        <f t="shared" si="20"/>
        <v>#N/A</v>
      </c>
      <c r="AU29" s="146" t="e">
        <f t="shared" si="21"/>
        <v>#N/A</v>
      </c>
      <c r="AV29" s="837" t="e">
        <f t="shared" si="27"/>
        <v>#VALUE!</v>
      </c>
      <c r="AW29" s="195" t="e">
        <f t="shared" si="28"/>
        <v>#VALUE!</v>
      </c>
      <c r="AX29" s="835" t="e">
        <f t="shared" si="29"/>
        <v>#N/A</v>
      </c>
      <c r="AY29" s="141" t="e">
        <f t="shared" si="30"/>
        <v>#VALUE!</v>
      </c>
      <c r="BD29" s="154"/>
      <c r="BE29" s="263"/>
      <c r="BF29" s="263"/>
      <c r="BG29" s="264"/>
      <c r="BH29" s="157"/>
      <c r="BJ29" s="154"/>
      <c r="BK29" s="154"/>
      <c r="BM29" s="263"/>
      <c r="BN29" s="157"/>
      <c r="BQ29" s="154"/>
      <c r="BR29" s="154"/>
      <c r="BT29" s="264"/>
      <c r="BU29" s="157"/>
    </row>
    <row r="30" spans="1:94" s="141" customFormat="1" ht="21.95" customHeight="1">
      <c r="A30" s="22">
        <v>4</v>
      </c>
      <c r="B30" s="420"/>
      <c r="C30" s="422"/>
      <c r="D30" s="421"/>
      <c r="E30" s="420"/>
      <c r="F30" s="423"/>
      <c r="G30" s="413"/>
      <c r="H30" s="424" t="str">
        <f t="shared" si="4"/>
        <v/>
      </c>
      <c r="I30" s="809"/>
      <c r="J30" s="412"/>
      <c r="K30" s="537"/>
      <c r="L30" s="538"/>
      <c r="M30" s="341">
        <f t="shared" ref="M30:M36" si="32">K30*L30</f>
        <v>0</v>
      </c>
      <c r="N30" s="415"/>
      <c r="O30" s="427" t="str">
        <f t="shared" si="22"/>
        <v/>
      </c>
      <c r="P30" s="424" t="str">
        <f t="shared" si="23"/>
        <v/>
      </c>
      <c r="Q30" s="426" t="str">
        <f t="shared" ref="Q30:Q36" si="33">IF(H30="","",IF(H30="kW","kW",LEFT(H30,FIND("/",H30)-1)))</f>
        <v/>
      </c>
      <c r="R30" s="425" t="str">
        <f t="shared" si="7"/>
        <v/>
      </c>
      <c r="S30" s="840"/>
      <c r="T30" s="840"/>
      <c r="U30" s="420"/>
      <c r="V30" s="420"/>
      <c r="W30" s="422"/>
      <c r="X30" s="423"/>
      <c r="Y30" s="413"/>
      <c r="Z30" s="424" t="str">
        <f t="shared" si="8"/>
        <v/>
      </c>
      <c r="AA30" s="809"/>
      <c r="AB30" s="412"/>
      <c r="AC30" s="850">
        <f t="shared" si="24"/>
        <v>0</v>
      </c>
      <c r="AD30" s="426" t="str">
        <f t="shared" si="31"/>
        <v/>
      </c>
      <c r="AE30" s="850">
        <f t="shared" si="25"/>
        <v>0</v>
      </c>
      <c r="AF30" s="852">
        <f>IFERROR(IF(P30="",AC30*-1,P30-AC30),"")</f>
        <v>0</v>
      </c>
      <c r="AG30" s="855">
        <f>IFERROR(IF(R30="",AE30*-1,R30-AE30),"")</f>
        <v>0</v>
      </c>
      <c r="AH30" s="396">
        <f t="shared" si="26"/>
        <v>0</v>
      </c>
      <c r="AI30" s="144">
        <f t="shared" si="11"/>
        <v>1</v>
      </c>
      <c r="AJ30" s="144"/>
      <c r="AK30" s="145" t="e">
        <f t="shared" si="12"/>
        <v>#N/A</v>
      </c>
      <c r="AL30" s="145" t="e">
        <f t="shared" si="13"/>
        <v>#N/A</v>
      </c>
      <c r="AM30" s="146" t="e">
        <f t="shared" si="14"/>
        <v>#N/A</v>
      </c>
      <c r="AN30" s="147" t="e">
        <f t="shared" si="15"/>
        <v>#VALUE!</v>
      </c>
      <c r="AO30" s="146" t="e">
        <f t="shared" si="16"/>
        <v>#N/A</v>
      </c>
      <c r="AP30" s="837" t="str">
        <f>IF(S30="",O30,IF(S30="◎",$AV$26*T30,IF(S30="○",$AW$26*T30,0)))</f>
        <v/>
      </c>
      <c r="AQ30" s="145" t="e">
        <f t="shared" si="17"/>
        <v>#N/A</v>
      </c>
      <c r="AR30" s="145" t="e">
        <f t="shared" si="18"/>
        <v>#N/A</v>
      </c>
      <c r="AS30" s="146" t="e">
        <f t="shared" si="19"/>
        <v>#N/A</v>
      </c>
      <c r="AT30" s="147" t="e">
        <f t="shared" si="20"/>
        <v>#N/A</v>
      </c>
      <c r="AU30" s="146" t="e">
        <f t="shared" si="21"/>
        <v>#N/A</v>
      </c>
      <c r="AV30" s="837" t="e">
        <f t="shared" si="27"/>
        <v>#VALUE!</v>
      </c>
      <c r="AW30" s="195" t="e">
        <f t="shared" si="28"/>
        <v>#VALUE!</v>
      </c>
      <c r="AX30" s="835" t="e">
        <f t="shared" si="29"/>
        <v>#N/A</v>
      </c>
      <c r="AY30" s="141" t="e">
        <f t="shared" si="30"/>
        <v>#VALUE!</v>
      </c>
      <c r="BD30" s="154"/>
      <c r="BE30" s="263"/>
      <c r="BF30" s="263"/>
      <c r="BG30" s="264"/>
      <c r="BH30" s="157"/>
      <c r="BJ30" s="154"/>
      <c r="BK30" s="154"/>
      <c r="BM30" s="263"/>
      <c r="BN30" s="157"/>
      <c r="BQ30" s="154"/>
      <c r="BR30" s="154"/>
      <c r="BT30" s="264"/>
      <c r="BU30" s="157"/>
    </row>
    <row r="31" spans="1:94" s="141" customFormat="1" ht="21.95" customHeight="1">
      <c r="A31" s="22">
        <v>5</v>
      </c>
      <c r="B31" s="420"/>
      <c r="C31" s="422"/>
      <c r="D31" s="421"/>
      <c r="E31" s="420"/>
      <c r="F31" s="423"/>
      <c r="G31" s="413"/>
      <c r="H31" s="424" t="str">
        <f t="shared" si="4"/>
        <v/>
      </c>
      <c r="I31" s="809"/>
      <c r="J31" s="412"/>
      <c r="K31" s="537"/>
      <c r="L31" s="538"/>
      <c r="M31" s="341">
        <f t="shared" si="32"/>
        <v>0</v>
      </c>
      <c r="N31" s="415"/>
      <c r="O31" s="427" t="str">
        <f t="shared" si="22"/>
        <v/>
      </c>
      <c r="P31" s="424" t="str">
        <f t="shared" si="23"/>
        <v/>
      </c>
      <c r="Q31" s="426" t="str">
        <f t="shared" si="33"/>
        <v/>
      </c>
      <c r="R31" s="425" t="str">
        <f t="shared" si="7"/>
        <v/>
      </c>
      <c r="S31" s="840"/>
      <c r="T31" s="840"/>
      <c r="U31" s="420"/>
      <c r="V31" s="420"/>
      <c r="W31" s="422"/>
      <c r="X31" s="423"/>
      <c r="Y31" s="413"/>
      <c r="Z31" s="424" t="str">
        <f t="shared" si="8"/>
        <v/>
      </c>
      <c r="AA31" s="809"/>
      <c r="AB31" s="412"/>
      <c r="AC31" s="850">
        <f t="shared" si="24"/>
        <v>0</v>
      </c>
      <c r="AD31" s="426" t="str">
        <f t="shared" si="31"/>
        <v/>
      </c>
      <c r="AE31" s="850">
        <f t="shared" si="25"/>
        <v>0</v>
      </c>
      <c r="AF31" s="852">
        <f t="shared" ref="AF31:AF36" si="34">IFERROR(IF(P31="",AC31*-1,P31-AC31),"")</f>
        <v>0</v>
      </c>
      <c r="AG31" s="855">
        <f t="shared" ref="AG31:AG36" si="35">IFERROR(IF(R31="",AE31*-1,R31-AE31),"")</f>
        <v>0</v>
      </c>
      <c r="AH31" s="396">
        <f t="shared" si="26"/>
        <v>0</v>
      </c>
      <c r="AI31" s="144">
        <f t="shared" si="11"/>
        <v>1</v>
      </c>
      <c r="AJ31" s="144"/>
      <c r="AK31" s="145" t="e">
        <f t="shared" si="12"/>
        <v>#N/A</v>
      </c>
      <c r="AL31" s="145" t="e">
        <f t="shared" si="13"/>
        <v>#N/A</v>
      </c>
      <c r="AM31" s="146" t="e">
        <f t="shared" si="14"/>
        <v>#N/A</v>
      </c>
      <c r="AN31" s="147" t="e">
        <f t="shared" si="15"/>
        <v>#VALUE!</v>
      </c>
      <c r="AO31" s="146" t="e">
        <f t="shared" si="16"/>
        <v>#N/A</v>
      </c>
      <c r="AP31" s="837" t="str">
        <f t="shared" ref="AP31:AP36" si="36">IF(S31="",O31,IF(S31="◎",$AV$26*T31,IF(S31="○",$AW$26*T31,0)))</f>
        <v/>
      </c>
      <c r="AQ31" s="145" t="e">
        <f t="shared" si="17"/>
        <v>#N/A</v>
      </c>
      <c r="AR31" s="145" t="e">
        <f t="shared" si="18"/>
        <v>#N/A</v>
      </c>
      <c r="AS31" s="146" t="e">
        <f t="shared" si="19"/>
        <v>#N/A</v>
      </c>
      <c r="AT31" s="147" t="e">
        <f t="shared" si="20"/>
        <v>#N/A</v>
      </c>
      <c r="AU31" s="146" t="e">
        <f t="shared" si="21"/>
        <v>#N/A</v>
      </c>
      <c r="AV31" s="837" t="e">
        <f t="shared" si="27"/>
        <v>#VALUE!</v>
      </c>
      <c r="AW31" s="195" t="e">
        <f t="shared" si="28"/>
        <v>#VALUE!</v>
      </c>
      <c r="AX31" s="835" t="e">
        <f t="shared" si="29"/>
        <v>#N/A</v>
      </c>
      <c r="AY31" s="141" t="e">
        <f t="shared" si="30"/>
        <v>#VALUE!</v>
      </c>
      <c r="BD31" s="154"/>
      <c r="BE31" s="264"/>
      <c r="BF31" s="264"/>
      <c r="BG31" s="264"/>
      <c r="BH31" s="157"/>
      <c r="BJ31" s="154"/>
      <c r="BK31" s="154"/>
      <c r="BM31" s="263"/>
      <c r="BN31" s="157"/>
      <c r="BQ31" s="154"/>
      <c r="BR31" s="154"/>
      <c r="BT31" s="264"/>
      <c r="BU31" s="157"/>
    </row>
    <row r="32" spans="1:94" s="141" customFormat="1" ht="21.95" customHeight="1">
      <c r="A32" s="22">
        <v>6</v>
      </c>
      <c r="B32" s="420"/>
      <c r="C32" s="422"/>
      <c r="D32" s="421"/>
      <c r="E32" s="420"/>
      <c r="F32" s="423"/>
      <c r="G32" s="413"/>
      <c r="H32" s="424" t="str">
        <f t="shared" si="4"/>
        <v/>
      </c>
      <c r="I32" s="809"/>
      <c r="J32" s="412"/>
      <c r="K32" s="537"/>
      <c r="L32" s="538"/>
      <c r="M32" s="341">
        <f t="shared" si="32"/>
        <v>0</v>
      </c>
      <c r="N32" s="415"/>
      <c r="O32" s="427" t="str">
        <f t="shared" si="22"/>
        <v/>
      </c>
      <c r="P32" s="424" t="str">
        <f t="shared" si="23"/>
        <v/>
      </c>
      <c r="Q32" s="426" t="str">
        <f t="shared" si="33"/>
        <v/>
      </c>
      <c r="R32" s="425" t="str">
        <f t="shared" si="7"/>
        <v/>
      </c>
      <c r="S32" s="840"/>
      <c r="T32" s="840"/>
      <c r="U32" s="420"/>
      <c r="V32" s="420"/>
      <c r="W32" s="422"/>
      <c r="X32" s="423"/>
      <c r="Y32" s="413"/>
      <c r="Z32" s="424" t="str">
        <f t="shared" si="8"/>
        <v/>
      </c>
      <c r="AA32" s="809"/>
      <c r="AB32" s="412"/>
      <c r="AC32" s="850">
        <f t="shared" si="24"/>
        <v>0</v>
      </c>
      <c r="AD32" s="426" t="str">
        <f t="shared" si="31"/>
        <v/>
      </c>
      <c r="AE32" s="850">
        <f t="shared" si="25"/>
        <v>0</v>
      </c>
      <c r="AF32" s="852">
        <f t="shared" si="34"/>
        <v>0</v>
      </c>
      <c r="AG32" s="855">
        <f t="shared" si="35"/>
        <v>0</v>
      </c>
      <c r="AH32" s="396">
        <f t="shared" si="26"/>
        <v>0</v>
      </c>
      <c r="AI32" s="144">
        <f t="shared" si="11"/>
        <v>1</v>
      </c>
      <c r="AJ32" s="144"/>
      <c r="AK32" s="145" t="e">
        <f t="shared" si="12"/>
        <v>#N/A</v>
      </c>
      <c r="AL32" s="145" t="e">
        <f t="shared" si="13"/>
        <v>#N/A</v>
      </c>
      <c r="AM32" s="146" t="e">
        <f t="shared" si="14"/>
        <v>#N/A</v>
      </c>
      <c r="AN32" s="147" t="e">
        <f t="shared" si="15"/>
        <v>#VALUE!</v>
      </c>
      <c r="AO32" s="146" t="e">
        <f t="shared" si="16"/>
        <v>#N/A</v>
      </c>
      <c r="AP32" s="837" t="str">
        <f t="shared" si="36"/>
        <v/>
      </c>
      <c r="AQ32" s="145" t="e">
        <f t="shared" si="17"/>
        <v>#N/A</v>
      </c>
      <c r="AR32" s="145" t="e">
        <f t="shared" si="18"/>
        <v>#N/A</v>
      </c>
      <c r="AS32" s="146" t="e">
        <f t="shared" si="19"/>
        <v>#N/A</v>
      </c>
      <c r="AT32" s="147" t="e">
        <f t="shared" si="20"/>
        <v>#N/A</v>
      </c>
      <c r="AU32" s="146" t="e">
        <f t="shared" si="21"/>
        <v>#N/A</v>
      </c>
      <c r="AV32" s="837" t="e">
        <f t="shared" si="27"/>
        <v>#VALUE!</v>
      </c>
      <c r="AW32" s="195" t="e">
        <f t="shared" si="28"/>
        <v>#VALUE!</v>
      </c>
      <c r="AX32" s="835" t="e">
        <f t="shared" si="29"/>
        <v>#N/A</v>
      </c>
      <c r="AY32" s="141" t="e">
        <f t="shared" si="30"/>
        <v>#VALUE!</v>
      </c>
      <c r="BD32" s="154"/>
      <c r="BE32" s="264"/>
      <c r="BF32" s="263"/>
      <c r="BG32" s="264"/>
      <c r="BH32" s="157"/>
      <c r="BJ32" s="154"/>
      <c r="BK32" s="154"/>
      <c r="BM32" s="263"/>
      <c r="BN32" s="157"/>
      <c r="BQ32" s="154"/>
      <c r="BR32" s="154"/>
      <c r="BT32" s="264"/>
      <c r="BU32" s="157"/>
    </row>
    <row r="33" spans="1:90" s="141" customFormat="1" ht="21.95" customHeight="1">
      <c r="A33" s="22">
        <v>7</v>
      </c>
      <c r="B33" s="420"/>
      <c r="C33" s="422"/>
      <c r="D33" s="421"/>
      <c r="E33" s="420"/>
      <c r="F33" s="423"/>
      <c r="G33" s="413"/>
      <c r="H33" s="424" t="str">
        <f t="shared" si="4"/>
        <v/>
      </c>
      <c r="I33" s="809"/>
      <c r="J33" s="412"/>
      <c r="K33" s="537"/>
      <c r="L33" s="538"/>
      <c r="M33" s="341">
        <f t="shared" si="32"/>
        <v>0</v>
      </c>
      <c r="N33" s="415"/>
      <c r="O33" s="427" t="str">
        <f t="shared" si="22"/>
        <v/>
      </c>
      <c r="P33" s="424" t="str">
        <f t="shared" si="23"/>
        <v/>
      </c>
      <c r="Q33" s="426" t="str">
        <f t="shared" si="33"/>
        <v/>
      </c>
      <c r="R33" s="425" t="str">
        <f t="shared" si="7"/>
        <v/>
      </c>
      <c r="S33" s="840"/>
      <c r="T33" s="840"/>
      <c r="U33" s="420"/>
      <c r="V33" s="420"/>
      <c r="W33" s="422"/>
      <c r="X33" s="423"/>
      <c r="Y33" s="413"/>
      <c r="Z33" s="424" t="str">
        <f t="shared" si="8"/>
        <v/>
      </c>
      <c r="AA33" s="809"/>
      <c r="AB33" s="412"/>
      <c r="AC33" s="850">
        <f t="shared" si="24"/>
        <v>0</v>
      </c>
      <c r="AD33" s="426" t="str">
        <f t="shared" si="31"/>
        <v/>
      </c>
      <c r="AE33" s="850">
        <f t="shared" si="25"/>
        <v>0</v>
      </c>
      <c r="AF33" s="852">
        <f t="shared" si="34"/>
        <v>0</v>
      </c>
      <c r="AG33" s="855">
        <f t="shared" si="35"/>
        <v>0</v>
      </c>
      <c r="AH33" s="396">
        <f t="shared" si="26"/>
        <v>0</v>
      </c>
      <c r="AI33" s="144">
        <f t="shared" si="11"/>
        <v>1</v>
      </c>
      <c r="AJ33" s="144"/>
      <c r="AK33" s="145" t="e">
        <f t="shared" si="12"/>
        <v>#N/A</v>
      </c>
      <c r="AL33" s="145" t="e">
        <f t="shared" si="13"/>
        <v>#N/A</v>
      </c>
      <c r="AM33" s="146" t="e">
        <f t="shared" si="14"/>
        <v>#N/A</v>
      </c>
      <c r="AN33" s="147" t="e">
        <f t="shared" si="15"/>
        <v>#VALUE!</v>
      </c>
      <c r="AO33" s="146" t="e">
        <f t="shared" si="16"/>
        <v>#N/A</v>
      </c>
      <c r="AP33" s="837" t="str">
        <f t="shared" si="36"/>
        <v/>
      </c>
      <c r="AQ33" s="145" t="e">
        <f t="shared" si="17"/>
        <v>#N/A</v>
      </c>
      <c r="AR33" s="145" t="e">
        <f t="shared" si="18"/>
        <v>#N/A</v>
      </c>
      <c r="AS33" s="146" t="e">
        <f t="shared" si="19"/>
        <v>#N/A</v>
      </c>
      <c r="AT33" s="147" t="e">
        <f t="shared" si="20"/>
        <v>#N/A</v>
      </c>
      <c r="AU33" s="146" t="e">
        <f t="shared" si="21"/>
        <v>#N/A</v>
      </c>
      <c r="AV33" s="837" t="e">
        <f t="shared" si="27"/>
        <v>#VALUE!</v>
      </c>
      <c r="AW33" s="195" t="e">
        <f t="shared" si="28"/>
        <v>#VALUE!</v>
      </c>
      <c r="AX33" s="835" t="e">
        <f t="shared" si="29"/>
        <v>#N/A</v>
      </c>
      <c r="AY33" s="141" t="e">
        <f t="shared" si="30"/>
        <v>#VALUE!</v>
      </c>
      <c r="BD33" s="154"/>
      <c r="BE33" s="263"/>
      <c r="BF33" s="263"/>
      <c r="BG33" s="264"/>
      <c r="BH33" s="157"/>
      <c r="BJ33" s="154"/>
      <c r="BK33" s="154"/>
      <c r="BM33" s="263"/>
      <c r="BN33" s="157"/>
      <c r="BQ33" s="154"/>
      <c r="BR33" s="154"/>
      <c r="BT33" s="264"/>
      <c r="BU33" s="157"/>
    </row>
    <row r="34" spans="1:90" s="141" customFormat="1" ht="21.95" customHeight="1">
      <c r="A34" s="22">
        <v>8</v>
      </c>
      <c r="B34" s="420"/>
      <c r="C34" s="422"/>
      <c r="D34" s="421"/>
      <c r="E34" s="420"/>
      <c r="F34" s="423"/>
      <c r="G34" s="413"/>
      <c r="H34" s="424" t="str">
        <f t="shared" si="4"/>
        <v/>
      </c>
      <c r="I34" s="809"/>
      <c r="J34" s="412"/>
      <c r="K34" s="537"/>
      <c r="L34" s="538"/>
      <c r="M34" s="341">
        <f t="shared" si="32"/>
        <v>0</v>
      </c>
      <c r="N34" s="415"/>
      <c r="O34" s="427" t="str">
        <f t="shared" si="22"/>
        <v/>
      </c>
      <c r="P34" s="424" t="str">
        <f t="shared" si="23"/>
        <v/>
      </c>
      <c r="Q34" s="426" t="str">
        <f t="shared" si="33"/>
        <v/>
      </c>
      <c r="R34" s="425" t="str">
        <f t="shared" si="7"/>
        <v/>
      </c>
      <c r="S34" s="840"/>
      <c r="T34" s="840"/>
      <c r="U34" s="420"/>
      <c r="V34" s="420"/>
      <c r="W34" s="422"/>
      <c r="X34" s="423"/>
      <c r="Y34" s="413"/>
      <c r="Z34" s="424" t="str">
        <f t="shared" si="8"/>
        <v/>
      </c>
      <c r="AA34" s="809"/>
      <c r="AB34" s="412"/>
      <c r="AC34" s="850">
        <f t="shared" si="24"/>
        <v>0</v>
      </c>
      <c r="AD34" s="426" t="str">
        <f t="shared" si="31"/>
        <v/>
      </c>
      <c r="AE34" s="850">
        <f t="shared" si="25"/>
        <v>0</v>
      </c>
      <c r="AF34" s="852">
        <f t="shared" si="34"/>
        <v>0</v>
      </c>
      <c r="AG34" s="855">
        <f t="shared" si="35"/>
        <v>0</v>
      </c>
      <c r="AH34" s="396">
        <f t="shared" si="26"/>
        <v>0</v>
      </c>
      <c r="AI34" s="144">
        <f t="shared" si="11"/>
        <v>1</v>
      </c>
      <c r="AJ34" s="144"/>
      <c r="AK34" s="145" t="e">
        <f t="shared" si="12"/>
        <v>#N/A</v>
      </c>
      <c r="AL34" s="145" t="e">
        <f t="shared" si="13"/>
        <v>#N/A</v>
      </c>
      <c r="AM34" s="146" t="e">
        <f t="shared" si="14"/>
        <v>#N/A</v>
      </c>
      <c r="AN34" s="147" t="e">
        <f t="shared" si="15"/>
        <v>#VALUE!</v>
      </c>
      <c r="AO34" s="146" t="e">
        <f t="shared" si="16"/>
        <v>#N/A</v>
      </c>
      <c r="AP34" s="837" t="str">
        <f t="shared" si="36"/>
        <v/>
      </c>
      <c r="AQ34" s="145" t="e">
        <f t="shared" si="17"/>
        <v>#N/A</v>
      </c>
      <c r="AR34" s="145" t="e">
        <f t="shared" si="18"/>
        <v>#N/A</v>
      </c>
      <c r="AS34" s="146" t="e">
        <f t="shared" si="19"/>
        <v>#N/A</v>
      </c>
      <c r="AT34" s="147" t="e">
        <f t="shared" si="20"/>
        <v>#N/A</v>
      </c>
      <c r="AU34" s="146" t="e">
        <f t="shared" si="21"/>
        <v>#N/A</v>
      </c>
      <c r="AV34" s="837" t="e">
        <f t="shared" si="27"/>
        <v>#VALUE!</v>
      </c>
      <c r="AW34" s="195" t="e">
        <f t="shared" si="28"/>
        <v>#VALUE!</v>
      </c>
      <c r="AX34" s="835" t="e">
        <f t="shared" si="29"/>
        <v>#N/A</v>
      </c>
      <c r="AY34" s="141" t="e">
        <f t="shared" si="30"/>
        <v>#VALUE!</v>
      </c>
      <c r="BD34" s="154"/>
      <c r="BE34" s="264"/>
      <c r="BF34" s="264"/>
      <c r="BG34" s="264"/>
      <c r="BH34" s="157"/>
      <c r="BJ34" s="154"/>
      <c r="BK34" s="154"/>
      <c r="BM34" s="263"/>
      <c r="BN34" s="157"/>
      <c r="BQ34" s="154"/>
      <c r="BR34" s="154"/>
      <c r="BT34" s="264"/>
      <c r="BU34" s="157"/>
    </row>
    <row r="35" spans="1:90" s="141" customFormat="1" ht="21.95" customHeight="1">
      <c r="A35" s="22">
        <v>9</v>
      </c>
      <c r="B35" s="420"/>
      <c r="C35" s="422"/>
      <c r="D35" s="421"/>
      <c r="E35" s="420"/>
      <c r="F35" s="423"/>
      <c r="G35" s="413"/>
      <c r="H35" s="424" t="str">
        <f t="shared" si="4"/>
        <v/>
      </c>
      <c r="I35" s="809"/>
      <c r="J35" s="412"/>
      <c r="K35" s="537"/>
      <c r="L35" s="538"/>
      <c r="M35" s="341">
        <f t="shared" si="32"/>
        <v>0</v>
      </c>
      <c r="N35" s="415"/>
      <c r="O35" s="427" t="str">
        <f t="shared" si="22"/>
        <v/>
      </c>
      <c r="P35" s="424" t="str">
        <f t="shared" si="23"/>
        <v/>
      </c>
      <c r="Q35" s="426" t="str">
        <f t="shared" si="33"/>
        <v/>
      </c>
      <c r="R35" s="425" t="str">
        <f t="shared" si="7"/>
        <v/>
      </c>
      <c r="S35" s="840"/>
      <c r="T35" s="840"/>
      <c r="U35" s="420"/>
      <c r="V35" s="420"/>
      <c r="W35" s="422"/>
      <c r="X35" s="423"/>
      <c r="Y35" s="413"/>
      <c r="Z35" s="424" t="str">
        <f t="shared" si="8"/>
        <v/>
      </c>
      <c r="AA35" s="809"/>
      <c r="AB35" s="412"/>
      <c r="AC35" s="850">
        <f t="shared" si="24"/>
        <v>0</v>
      </c>
      <c r="AD35" s="426" t="str">
        <f t="shared" si="31"/>
        <v/>
      </c>
      <c r="AE35" s="850">
        <f t="shared" si="25"/>
        <v>0</v>
      </c>
      <c r="AF35" s="852">
        <f t="shared" si="34"/>
        <v>0</v>
      </c>
      <c r="AG35" s="855">
        <f t="shared" si="35"/>
        <v>0</v>
      </c>
      <c r="AH35" s="396">
        <f t="shared" si="26"/>
        <v>0</v>
      </c>
      <c r="AI35" s="144">
        <f t="shared" si="11"/>
        <v>1</v>
      </c>
      <c r="AJ35" s="144"/>
      <c r="AK35" s="145" t="e">
        <f t="shared" si="12"/>
        <v>#N/A</v>
      </c>
      <c r="AL35" s="145" t="e">
        <f t="shared" si="13"/>
        <v>#N/A</v>
      </c>
      <c r="AM35" s="146" t="e">
        <f t="shared" si="14"/>
        <v>#N/A</v>
      </c>
      <c r="AN35" s="147" t="e">
        <f t="shared" si="15"/>
        <v>#VALUE!</v>
      </c>
      <c r="AO35" s="146" t="e">
        <f t="shared" si="16"/>
        <v>#N/A</v>
      </c>
      <c r="AP35" s="837" t="str">
        <f t="shared" si="36"/>
        <v/>
      </c>
      <c r="AQ35" s="145" t="e">
        <f t="shared" si="17"/>
        <v>#N/A</v>
      </c>
      <c r="AR35" s="145" t="e">
        <f t="shared" si="18"/>
        <v>#N/A</v>
      </c>
      <c r="AS35" s="146" t="e">
        <f t="shared" si="19"/>
        <v>#N/A</v>
      </c>
      <c r="AT35" s="147" t="e">
        <f t="shared" si="20"/>
        <v>#N/A</v>
      </c>
      <c r="AU35" s="146" t="e">
        <f t="shared" si="21"/>
        <v>#N/A</v>
      </c>
      <c r="AV35" s="837" t="e">
        <f t="shared" si="27"/>
        <v>#VALUE!</v>
      </c>
      <c r="AW35" s="195" t="e">
        <f t="shared" si="28"/>
        <v>#VALUE!</v>
      </c>
      <c r="AX35" s="835" t="e">
        <f t="shared" si="29"/>
        <v>#N/A</v>
      </c>
      <c r="AY35" s="141" t="e">
        <f t="shared" si="30"/>
        <v>#VALUE!</v>
      </c>
      <c r="BD35" s="154"/>
      <c r="BE35" s="264"/>
      <c r="BF35" s="264"/>
      <c r="BG35" s="264"/>
      <c r="BH35" s="157"/>
      <c r="BJ35" s="154"/>
      <c r="BK35" s="154"/>
      <c r="BM35" s="263"/>
      <c r="BN35" s="157"/>
      <c r="BQ35" s="154"/>
      <c r="BR35" s="154"/>
      <c r="BT35" s="264"/>
      <c r="BU35" s="157"/>
    </row>
    <row r="36" spans="1:90" s="141" customFormat="1" ht="21.95" customHeight="1">
      <c r="A36" s="22">
        <v>10</v>
      </c>
      <c r="B36" s="420"/>
      <c r="C36" s="422"/>
      <c r="D36" s="421"/>
      <c r="E36" s="420"/>
      <c r="F36" s="423"/>
      <c r="G36" s="413"/>
      <c r="H36" s="424" t="str">
        <f t="shared" si="4"/>
        <v/>
      </c>
      <c r="I36" s="809"/>
      <c r="J36" s="412"/>
      <c r="K36" s="537"/>
      <c r="L36" s="538"/>
      <c r="M36" s="341">
        <f t="shared" si="32"/>
        <v>0</v>
      </c>
      <c r="N36" s="415"/>
      <c r="O36" s="427" t="str">
        <f t="shared" si="22"/>
        <v/>
      </c>
      <c r="P36" s="424" t="str">
        <f t="shared" si="23"/>
        <v/>
      </c>
      <c r="Q36" s="426" t="str">
        <f t="shared" si="33"/>
        <v/>
      </c>
      <c r="R36" s="425" t="str">
        <f t="shared" si="7"/>
        <v/>
      </c>
      <c r="S36" s="840"/>
      <c r="T36" s="840"/>
      <c r="U36" s="420"/>
      <c r="V36" s="420"/>
      <c r="W36" s="422"/>
      <c r="X36" s="423"/>
      <c r="Y36" s="413"/>
      <c r="Z36" s="424" t="str">
        <f t="shared" si="8"/>
        <v/>
      </c>
      <c r="AA36" s="809"/>
      <c r="AB36" s="412"/>
      <c r="AC36" s="850">
        <f t="shared" si="24"/>
        <v>0</v>
      </c>
      <c r="AD36" s="426" t="str">
        <f t="shared" si="31"/>
        <v/>
      </c>
      <c r="AE36" s="850">
        <f t="shared" si="25"/>
        <v>0</v>
      </c>
      <c r="AF36" s="853">
        <f t="shared" si="34"/>
        <v>0</v>
      </c>
      <c r="AG36" s="855">
        <f t="shared" si="35"/>
        <v>0</v>
      </c>
      <c r="AH36" s="396">
        <f t="shared" si="26"/>
        <v>0</v>
      </c>
      <c r="AI36" s="144">
        <f t="shared" si="11"/>
        <v>1</v>
      </c>
      <c r="AJ36" s="144"/>
      <c r="AK36" s="145" t="e">
        <f t="shared" si="12"/>
        <v>#N/A</v>
      </c>
      <c r="AL36" s="145" t="e">
        <f t="shared" si="13"/>
        <v>#N/A</v>
      </c>
      <c r="AM36" s="146" t="e">
        <f t="shared" si="14"/>
        <v>#N/A</v>
      </c>
      <c r="AN36" s="147" t="e">
        <f t="shared" si="15"/>
        <v>#VALUE!</v>
      </c>
      <c r="AO36" s="146" t="e">
        <f t="shared" si="16"/>
        <v>#N/A</v>
      </c>
      <c r="AP36" s="837" t="str">
        <f t="shared" si="36"/>
        <v/>
      </c>
      <c r="AQ36" s="145" t="e">
        <f t="shared" si="17"/>
        <v>#N/A</v>
      </c>
      <c r="AR36" s="145" t="e">
        <f t="shared" si="18"/>
        <v>#N/A</v>
      </c>
      <c r="AS36" s="146" t="e">
        <f t="shared" si="19"/>
        <v>#N/A</v>
      </c>
      <c r="AT36" s="147" t="e">
        <f t="shared" si="20"/>
        <v>#N/A</v>
      </c>
      <c r="AU36" s="146" t="e">
        <f t="shared" si="21"/>
        <v>#N/A</v>
      </c>
      <c r="AV36" s="837" t="e">
        <f t="shared" si="27"/>
        <v>#VALUE!</v>
      </c>
      <c r="AW36" s="195" t="e">
        <f t="shared" si="28"/>
        <v>#VALUE!</v>
      </c>
      <c r="AX36" s="835" t="e">
        <f t="shared" si="29"/>
        <v>#N/A</v>
      </c>
      <c r="AY36" s="141" t="e">
        <f t="shared" si="30"/>
        <v>#VALUE!</v>
      </c>
      <c r="BD36" s="154"/>
      <c r="BE36" s="263"/>
      <c r="BF36" s="263"/>
      <c r="BG36" s="264"/>
      <c r="BH36" s="157"/>
      <c r="BJ36" s="154"/>
      <c r="BK36" s="154"/>
      <c r="BM36" s="263"/>
      <c r="BN36" s="157"/>
      <c r="BQ36" s="154"/>
      <c r="BR36" s="154"/>
      <c r="BT36" s="264"/>
      <c r="BU36" s="157"/>
    </row>
    <row r="37" spans="1:90" s="141" customFormat="1" ht="18" customHeight="1">
      <c r="A37" s="140"/>
      <c r="B37" s="140"/>
      <c r="C37" s="140"/>
      <c r="D37" s="196"/>
      <c r="E37" s="196"/>
      <c r="F37" s="196"/>
      <c r="G37" s="196"/>
      <c r="H37" s="331"/>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344"/>
      <c r="AG37" s="344"/>
      <c r="AH37" s="143"/>
      <c r="AI37" s="144"/>
      <c r="AJ37" s="144"/>
      <c r="AK37" s="145" t="e">
        <f>VLOOKUP(#REF!,$BA$2:$BF$17,2,FALSE)</f>
        <v>#REF!</v>
      </c>
      <c r="AL37" s="145" t="e">
        <f>VLOOKUP(#REF!,$BA$2:$BF$17,3,FALSE)</f>
        <v>#REF!</v>
      </c>
      <c r="AM37" s="146" t="e">
        <f>IF(#REF!="",VLOOKUP(#REF!,$BA$2:$BF$17,3,FALSE),VLOOKUP(#REF!,$BA$2:$BF$17,2,FALSE))</f>
        <v>#REF!</v>
      </c>
      <c r="AN37" s="147" t="e">
        <f>#REF!*AK37*0.0258</f>
        <v>#REF!</v>
      </c>
      <c r="AO37" s="146" t="e">
        <f>VLOOKUP(#REF!,$BA$2:$BG$17,7,FALSE)</f>
        <v>#REF!</v>
      </c>
      <c r="AP37" s="146"/>
      <c r="AQ37" s="145" t="e">
        <f>VLOOKUP(#REF!,$BA$2:$BF$17,2,FALSE)</f>
        <v>#REF!</v>
      </c>
      <c r="AR37" s="145" t="e">
        <f>VLOOKUP(#REF!,$BA$2:$BF$17,3,FALSE)</f>
        <v>#REF!</v>
      </c>
      <c r="AS37" s="146" t="e">
        <f>IF(#REF!="",VLOOKUP(#REF!,$BA$2:$BF$17,3,FALSE),VLOOKUP(#REF!,$BA$2:$BF$17,2,FALSE))</f>
        <v>#REF!</v>
      </c>
      <c r="AT37" s="147" t="e">
        <f>#REF!*AQ37*0.0258</f>
        <v>#REF!</v>
      </c>
      <c r="AU37" s="146" t="e">
        <f>VLOOKUP(#REF!,$BA$2:$BG$17,7,FALSE)</f>
        <v>#REF!</v>
      </c>
      <c r="AV37" s="146"/>
      <c r="AW37" s="146"/>
      <c r="BD37" s="154"/>
      <c r="BE37" s="263"/>
      <c r="BF37" s="264"/>
      <c r="BG37" s="264"/>
      <c r="BH37" s="157"/>
      <c r="BK37" s="154"/>
      <c r="BM37" s="263"/>
      <c r="BN37" s="157"/>
      <c r="BQ37" s="154"/>
      <c r="BR37" s="154"/>
      <c r="BT37" s="264"/>
      <c r="BU37" s="157"/>
    </row>
    <row r="38" spans="1:90" s="141" customFormat="1" ht="18" customHeight="1">
      <c r="A38" s="140"/>
      <c r="B38" s="140"/>
      <c r="C38" s="183"/>
      <c r="D38" s="183"/>
      <c r="E38" s="183"/>
      <c r="F38" s="183"/>
      <c r="G38" s="183"/>
      <c r="H38" s="183"/>
      <c r="I38" s="182"/>
      <c r="J38" s="182"/>
      <c r="K38" s="182"/>
      <c r="L38" s="182"/>
      <c r="M38" s="182"/>
      <c r="N38" s="182"/>
      <c r="O38" s="182"/>
      <c r="P38" s="140"/>
      <c r="Q38" s="140"/>
      <c r="R38" s="140"/>
      <c r="S38" s="140"/>
      <c r="T38" s="140"/>
      <c r="U38" s="184"/>
      <c r="V38" s="184"/>
      <c r="W38" s="184"/>
      <c r="X38" s="184"/>
      <c r="Y38" s="184"/>
      <c r="Z38" s="184"/>
      <c r="AA38" s="184"/>
      <c r="AB38" s="182"/>
      <c r="AC38" s="182"/>
      <c r="AD38" s="182"/>
      <c r="AE38" s="182"/>
      <c r="AF38" s="182"/>
      <c r="AG38" s="182"/>
      <c r="AH38" s="143"/>
      <c r="AI38" s="144"/>
      <c r="AJ38" s="144"/>
      <c r="AK38" s="145" t="e">
        <f>VLOOKUP(#REF!,$BA$2:$BF$17,2,FALSE)</f>
        <v>#REF!</v>
      </c>
      <c r="AL38" s="145" t="e">
        <f>VLOOKUP(#REF!,$BA$2:$BF$17,3,FALSE)</f>
        <v>#REF!</v>
      </c>
      <c r="AM38" s="146" t="e">
        <f>IF(#REF!="",VLOOKUP(#REF!,$BA$2:$BF$17,3,FALSE),VLOOKUP(#REF!,$BA$2:$BF$17,2,FALSE))</f>
        <v>#REF!</v>
      </c>
      <c r="AN38" s="147" t="e">
        <f>#REF!*AK38*0.0258</f>
        <v>#REF!</v>
      </c>
      <c r="AO38" s="146" t="e">
        <f>VLOOKUP(#REF!,$BA$2:$BG$17,7,FALSE)</f>
        <v>#REF!</v>
      </c>
      <c r="AP38" s="146"/>
      <c r="AQ38" s="145" t="e">
        <f>VLOOKUP(#REF!,$BA$2:$BF$17,2,FALSE)</f>
        <v>#REF!</v>
      </c>
      <c r="AR38" s="145" t="e">
        <f>VLOOKUP(#REF!,$BA$2:$BF$17,3,FALSE)</f>
        <v>#REF!</v>
      </c>
      <c r="AS38" s="146" t="e">
        <f>IF(#REF!="",VLOOKUP(#REF!,$BA$2:$BF$17,3,FALSE),VLOOKUP(#REF!,$BA$2:$BF$17,2,FALSE))</f>
        <v>#REF!</v>
      </c>
      <c r="AT38" s="147" t="e">
        <f>#REF!*AQ38*0.0258</f>
        <v>#REF!</v>
      </c>
      <c r="AU38" s="146" t="e">
        <f>VLOOKUP(#REF!,$BA$2:$BG$17,7,FALSE)</f>
        <v>#REF!</v>
      </c>
      <c r="AV38" s="146"/>
      <c r="AW38" s="146"/>
      <c r="BD38" s="154"/>
      <c r="BE38" s="264"/>
      <c r="BF38" s="264"/>
      <c r="BG38" s="264"/>
      <c r="BK38" s="154"/>
      <c r="BM38" s="263"/>
      <c r="BN38" s="157"/>
      <c r="BQ38" s="154"/>
      <c r="BR38" s="154"/>
      <c r="BT38" s="264"/>
      <c r="BU38" s="157"/>
    </row>
    <row r="39" spans="1:90" s="141" customFormat="1" ht="18" customHeight="1">
      <c r="A39" s="189"/>
      <c r="B39" s="190"/>
      <c r="C39" s="182"/>
      <c r="D39" s="182"/>
      <c r="E39" s="182"/>
      <c r="F39" s="182"/>
      <c r="G39" s="182"/>
      <c r="H39" s="182"/>
      <c r="I39" s="182"/>
      <c r="J39" s="182"/>
      <c r="K39" s="182"/>
      <c r="L39" s="182"/>
      <c r="M39" s="182"/>
      <c r="N39" s="182"/>
      <c r="O39" s="182"/>
      <c r="U39" s="182"/>
      <c r="V39" s="182"/>
      <c r="W39" s="182"/>
      <c r="X39" s="182"/>
      <c r="Y39" s="182"/>
      <c r="Z39" s="182"/>
      <c r="AA39" s="182"/>
      <c r="AB39" s="182"/>
      <c r="AC39" s="182"/>
      <c r="AD39" s="182"/>
      <c r="AE39" s="182"/>
      <c r="AF39" s="182"/>
      <c r="AH39" s="143"/>
      <c r="AI39" s="144"/>
      <c r="AJ39" s="144"/>
      <c r="AK39" s="145" t="e">
        <f>VLOOKUP(#REF!,$BA$2:$BF$17,2,FALSE)</f>
        <v>#REF!</v>
      </c>
      <c r="AL39" s="145" t="e">
        <f>VLOOKUP(#REF!,$BA$2:$BF$17,3,FALSE)</f>
        <v>#REF!</v>
      </c>
      <c r="AM39" s="146" t="e">
        <f>IF(#REF!="",VLOOKUP(#REF!,$BA$2:$BF$17,3,FALSE),VLOOKUP(#REF!,$BA$2:$BF$17,2,FALSE))</f>
        <v>#REF!</v>
      </c>
      <c r="AN39" s="147" t="e">
        <f>#REF!*AK39*0.0258</f>
        <v>#REF!</v>
      </c>
      <c r="AO39" s="146" t="e">
        <f>VLOOKUP(#REF!,$BA$2:$BG$17,7,FALSE)</f>
        <v>#REF!</v>
      </c>
      <c r="AP39" s="146"/>
      <c r="AQ39" s="145" t="e">
        <f>VLOOKUP(#REF!,$BA$2:$BF$17,2,FALSE)</f>
        <v>#REF!</v>
      </c>
      <c r="AR39" s="145" t="e">
        <f>VLOOKUP(#REF!,$BA$2:$BF$17,3,FALSE)</f>
        <v>#REF!</v>
      </c>
      <c r="AS39" s="146" t="e">
        <f>IF(#REF!="",VLOOKUP(#REF!,$BA$2:$BF$17,3,FALSE),VLOOKUP(#REF!,$BA$2:$BF$17,2,FALSE))</f>
        <v>#REF!</v>
      </c>
      <c r="AT39" s="147" t="e">
        <f>#REF!*AQ39*0.0258</f>
        <v>#REF!</v>
      </c>
      <c r="AU39" s="146" t="e">
        <f>VLOOKUP(#REF!,$BA$2:$BG$17,7,FALSE)</f>
        <v>#REF!</v>
      </c>
      <c r="AV39" s="146"/>
      <c r="AW39" s="146"/>
      <c r="BD39" s="154"/>
      <c r="BE39" s="263"/>
      <c r="BL39" s="265"/>
      <c r="BM39" s="264"/>
      <c r="BO39" s="265"/>
      <c r="BQ39" s="154"/>
      <c r="BS39" s="265"/>
      <c r="BT39" s="264"/>
      <c r="BV39" s="265"/>
    </row>
    <row r="40" spans="1:90" s="141" customFormat="1" ht="18" customHeight="1">
      <c r="A40" s="189"/>
      <c r="B40" s="193"/>
      <c r="C40" s="194"/>
      <c r="D40" s="194"/>
      <c r="E40" s="194"/>
      <c r="F40" s="194"/>
      <c r="G40" s="194"/>
      <c r="H40" s="194"/>
      <c r="I40" s="195"/>
      <c r="J40" s="195"/>
      <c r="K40" s="195"/>
      <c r="L40" s="195"/>
      <c r="M40" s="195"/>
      <c r="N40" s="195"/>
      <c r="O40" s="195"/>
      <c r="P40" s="182"/>
      <c r="Q40" s="182"/>
      <c r="R40" s="182"/>
      <c r="S40" s="182"/>
      <c r="T40" s="182"/>
      <c r="U40" s="194"/>
      <c r="V40" s="194"/>
      <c r="W40" s="194"/>
      <c r="X40" s="194"/>
      <c r="Y40" s="194"/>
      <c r="Z40" s="194"/>
      <c r="AA40" s="194"/>
      <c r="AB40" s="195"/>
      <c r="AC40" s="195"/>
      <c r="AD40" s="195"/>
      <c r="AE40" s="195"/>
      <c r="AF40" s="195"/>
      <c r="AG40" s="182"/>
      <c r="AH40" s="143"/>
      <c r="AI40" s="144"/>
      <c r="AJ40" s="144"/>
      <c r="AK40" s="145" t="e">
        <f>VLOOKUP(#REF!,$BA$2:$BF$17,2,FALSE)</f>
        <v>#REF!</v>
      </c>
      <c r="AL40" s="145" t="e">
        <f>VLOOKUP(#REF!,$BA$2:$BF$17,3,FALSE)</f>
        <v>#REF!</v>
      </c>
      <c r="AM40" s="146" t="e">
        <f>IF(#REF!="",VLOOKUP(#REF!,$BA$2:$BF$17,3,FALSE),VLOOKUP(#REF!,$BA$2:$BF$17,2,FALSE))</f>
        <v>#REF!</v>
      </c>
      <c r="AN40" s="147" t="e">
        <f>#REF!*AK40*0.0258</f>
        <v>#REF!</v>
      </c>
      <c r="AO40" s="146" t="e">
        <f>VLOOKUP(#REF!,$BA$2:$BG$17,7,FALSE)</f>
        <v>#REF!</v>
      </c>
      <c r="AP40" s="146"/>
      <c r="AQ40" s="145" t="e">
        <f>VLOOKUP(#REF!,$BA$2:$BF$17,2,FALSE)</f>
        <v>#REF!</v>
      </c>
      <c r="AR40" s="145" t="e">
        <f>VLOOKUP(#REF!,$BA$2:$BF$17,3,FALSE)</f>
        <v>#REF!</v>
      </c>
      <c r="AS40" s="146" t="e">
        <f>IF(#REF!="",VLOOKUP(#REF!,$BA$2:$BF$17,3,FALSE),VLOOKUP(#REF!,$BA$2:$BF$17,2,FALSE))</f>
        <v>#REF!</v>
      </c>
      <c r="AT40" s="147" t="e">
        <f>#REF!*AQ40*0.0258</f>
        <v>#REF!</v>
      </c>
      <c r="AU40" s="146" t="e">
        <f>VLOOKUP(#REF!,$BA$2:$BG$17,7,FALSE)</f>
        <v>#REF!</v>
      </c>
      <c r="AV40" s="146"/>
      <c r="AW40" s="146"/>
      <c r="BD40" s="154"/>
      <c r="BE40" s="264"/>
      <c r="CB40" s="266"/>
      <c r="CC40" s="266"/>
      <c r="CD40" s="266"/>
      <c r="CE40" s="266"/>
      <c r="CF40" s="266"/>
      <c r="CG40" s="266"/>
      <c r="CH40" s="266"/>
      <c r="CI40" s="266"/>
      <c r="CJ40" s="266"/>
      <c r="CK40" s="266"/>
    </row>
    <row r="41" spans="1:90" s="141" customFormat="1" ht="18" customHeight="1">
      <c r="A41" s="196"/>
      <c r="B41" s="196"/>
      <c r="C41" s="194"/>
      <c r="D41" s="194"/>
      <c r="E41" s="194"/>
      <c r="F41" s="194"/>
      <c r="G41" s="194"/>
      <c r="H41" s="194"/>
      <c r="I41" s="195"/>
      <c r="J41" s="195"/>
      <c r="K41" s="195"/>
      <c r="L41" s="195"/>
      <c r="M41" s="195"/>
      <c r="N41" s="195"/>
      <c r="O41" s="195"/>
      <c r="P41" s="182"/>
      <c r="Q41" s="182"/>
      <c r="R41" s="182"/>
      <c r="S41" s="182"/>
      <c r="T41" s="182"/>
      <c r="U41" s="194"/>
      <c r="V41" s="194"/>
      <c r="W41" s="194"/>
      <c r="X41" s="194"/>
      <c r="Y41" s="194"/>
      <c r="Z41" s="194"/>
      <c r="AA41" s="194"/>
      <c r="AB41" s="195"/>
      <c r="AC41" s="195"/>
      <c r="AD41" s="195"/>
      <c r="AE41" s="195"/>
      <c r="AF41" s="195"/>
      <c r="AG41" s="182"/>
      <c r="AH41" s="143"/>
      <c r="AI41" s="144"/>
      <c r="AJ41" s="144"/>
      <c r="AK41" s="145" t="e">
        <f>VLOOKUP(#REF!,$BA$2:$BF$17,2,FALSE)</f>
        <v>#REF!</v>
      </c>
      <c r="AL41" s="145" t="e">
        <f>VLOOKUP(#REF!,$BA$2:$BF$17,3,FALSE)</f>
        <v>#REF!</v>
      </c>
      <c r="AM41" s="146" t="e">
        <f>IF(#REF!="",VLOOKUP(#REF!,$BA$2:$BF$17,3,FALSE),VLOOKUP(#REF!,$BA$2:$BF$17,2,FALSE))</f>
        <v>#REF!</v>
      </c>
      <c r="AN41" s="147" t="e">
        <f>#REF!*AK41*0.0258</f>
        <v>#REF!</v>
      </c>
      <c r="AO41" s="146" t="e">
        <f>VLOOKUP(#REF!,$BA$2:$BG$17,7,FALSE)</f>
        <v>#REF!</v>
      </c>
      <c r="AP41" s="146"/>
      <c r="AQ41" s="145" t="e">
        <f>VLOOKUP(#REF!,$BA$2:$BF$17,2,FALSE)</f>
        <v>#REF!</v>
      </c>
      <c r="AR41" s="145" t="e">
        <f>VLOOKUP(#REF!,$BA$2:$BF$17,3,FALSE)</f>
        <v>#REF!</v>
      </c>
      <c r="AS41" s="146" t="e">
        <f>IF(#REF!="",VLOOKUP(#REF!,$BA$2:$BF$17,3,FALSE),VLOOKUP(#REF!,$BA$2:$BF$17,2,FALSE))</f>
        <v>#REF!</v>
      </c>
      <c r="AT41" s="147" t="e">
        <f>#REF!*AQ41*0.0258</f>
        <v>#REF!</v>
      </c>
      <c r="AU41" s="146" t="e">
        <f>VLOOKUP(#REF!,$BA$2:$BG$17,7,FALSE)</f>
        <v>#REF!</v>
      </c>
      <c r="AV41" s="146"/>
      <c r="AW41" s="146"/>
      <c r="CB41" s="266"/>
      <c r="CC41" s="267"/>
      <c r="CD41" s="266"/>
      <c r="CE41" s="266"/>
      <c r="CF41" s="266"/>
      <c r="CG41" s="266"/>
      <c r="CH41" s="266"/>
      <c r="CI41" s="266"/>
      <c r="CJ41" s="266"/>
      <c r="CK41" s="266"/>
    </row>
    <row r="42" spans="1:90" s="141" customFormat="1" ht="18" customHeight="1">
      <c r="B42" s="182"/>
      <c r="AH42" s="143"/>
      <c r="AI42" s="144"/>
      <c r="AJ42" s="144"/>
      <c r="AK42" s="145" t="e">
        <f>VLOOKUP(#REF!,$BA$2:$BF$17,2,FALSE)</f>
        <v>#REF!</v>
      </c>
      <c r="AL42" s="145" t="e">
        <f>VLOOKUP(#REF!,$BA$2:$BF$17,3,FALSE)</f>
        <v>#REF!</v>
      </c>
      <c r="AM42" s="146" t="e">
        <f>IF(#REF!="",VLOOKUP(#REF!,$BA$2:$BF$17,3,FALSE),VLOOKUP(#REF!,$BA$2:$BF$17,2,FALSE))</f>
        <v>#REF!</v>
      </c>
      <c r="AN42" s="147" t="e">
        <f>#REF!*AK42*0.0258</f>
        <v>#REF!</v>
      </c>
      <c r="AO42" s="146" t="e">
        <f>VLOOKUP(#REF!,$BA$2:$BG$17,7,FALSE)</f>
        <v>#REF!</v>
      </c>
      <c r="AP42" s="146"/>
      <c r="AQ42" s="145" t="e">
        <f>VLOOKUP(#REF!,$BA$2:$BF$17,2,FALSE)</f>
        <v>#REF!</v>
      </c>
      <c r="AR42" s="145" t="e">
        <f>VLOOKUP(#REF!,$BA$2:$BF$17,3,FALSE)</f>
        <v>#REF!</v>
      </c>
      <c r="AS42" s="146" t="e">
        <f>IF(#REF!="",VLOOKUP(#REF!,$BA$2:$BF$17,3,FALSE),VLOOKUP(#REF!,$BA$2:$BF$17,2,FALSE))</f>
        <v>#REF!</v>
      </c>
      <c r="AT42" s="147" t="e">
        <f>#REF!*AQ42*0.0258</f>
        <v>#REF!</v>
      </c>
      <c r="AU42" s="146" t="e">
        <f>VLOOKUP(#REF!,$BA$2:$BG$17,7,FALSE)</f>
        <v>#REF!</v>
      </c>
      <c r="AV42" s="146"/>
      <c r="AW42" s="146"/>
      <c r="CB42" s="266"/>
      <c r="CC42" s="267"/>
      <c r="CD42" s="266"/>
      <c r="CE42" s="266"/>
      <c r="CF42" s="266"/>
      <c r="CG42" s="266"/>
      <c r="CH42" s="266"/>
      <c r="CI42" s="266"/>
      <c r="CJ42" s="266"/>
      <c r="CK42" s="266"/>
    </row>
    <row r="43" spans="1:90" s="141" customFormat="1" ht="18" customHeight="1">
      <c r="A43" s="137"/>
      <c r="B43" s="137"/>
      <c r="U43" s="197"/>
      <c r="V43" s="197"/>
      <c r="W43" s="197"/>
      <c r="X43" s="197"/>
      <c r="Y43" s="197"/>
      <c r="Z43" s="197"/>
      <c r="AA43" s="197"/>
      <c r="AB43" s="197"/>
      <c r="AH43" s="143"/>
      <c r="AI43" s="144"/>
      <c r="AJ43" s="144"/>
      <c r="AK43" s="145" t="e">
        <f>VLOOKUP(#REF!,$BA$2:$BF$17,2,FALSE)</f>
        <v>#REF!</v>
      </c>
      <c r="AL43" s="145" t="e">
        <f>VLOOKUP(#REF!,$BA$2:$BF$17,3,FALSE)</f>
        <v>#REF!</v>
      </c>
      <c r="AM43" s="146" t="e">
        <f>IF(#REF!="",VLOOKUP(#REF!,$BA$2:$BF$17,3,FALSE),VLOOKUP(#REF!,$BA$2:$BF$17,2,FALSE))</f>
        <v>#REF!</v>
      </c>
      <c r="AN43" s="147" t="e">
        <f>#REF!*AK43*0.0258</f>
        <v>#REF!</v>
      </c>
      <c r="AO43" s="146" t="e">
        <f>VLOOKUP(#REF!,$BA$2:$BG$17,7,FALSE)</f>
        <v>#REF!</v>
      </c>
      <c r="AP43" s="146"/>
      <c r="AQ43" s="145" t="e">
        <f>VLOOKUP(#REF!,$BA$2:$BF$17,2,FALSE)</f>
        <v>#REF!</v>
      </c>
      <c r="AR43" s="145" t="e">
        <f>VLOOKUP(#REF!,$BA$2:$BF$17,3,FALSE)</f>
        <v>#REF!</v>
      </c>
      <c r="AS43" s="146" t="e">
        <f>IF(#REF!="",VLOOKUP(#REF!,$BA$2:$BF$17,3,FALSE),VLOOKUP(#REF!,$BA$2:$BF$17,2,FALSE))</f>
        <v>#REF!</v>
      </c>
      <c r="AT43" s="147" t="e">
        <f>#REF!*AQ43*0.0258</f>
        <v>#REF!</v>
      </c>
      <c r="AU43" s="146" t="e">
        <f>VLOOKUP(#REF!,$BA$2:$BG$17,7,FALSE)</f>
        <v>#REF!</v>
      </c>
      <c r="AV43" s="146"/>
      <c r="AW43" s="146"/>
      <c r="BI43" s="176"/>
      <c r="BJ43" s="270"/>
      <c r="CB43" s="266"/>
      <c r="CC43" s="266"/>
      <c r="CD43" s="266"/>
      <c r="CE43" s="266"/>
      <c r="CF43" s="266"/>
      <c r="CG43" s="266"/>
      <c r="CH43" s="266"/>
      <c r="CI43" s="266"/>
      <c r="CJ43" s="266"/>
      <c r="CK43" s="266"/>
    </row>
    <row r="44" spans="1:90" s="141" customFormat="1" ht="18" customHeight="1">
      <c r="A44" s="137"/>
      <c r="B44" s="137"/>
      <c r="R44" s="154"/>
      <c r="S44" s="154"/>
      <c r="T44" s="154"/>
      <c r="U44" s="198"/>
      <c r="V44" s="198"/>
      <c r="W44" s="198"/>
      <c r="X44" s="198"/>
      <c r="Y44" s="198"/>
      <c r="Z44" s="198"/>
      <c r="AA44" s="182"/>
      <c r="AB44" s="182"/>
      <c r="AH44" s="143"/>
      <c r="AI44" s="144"/>
      <c r="AJ44" s="144"/>
      <c r="AK44" s="145" t="e">
        <f>VLOOKUP(#REF!,$BA$2:$BF$17,2,FALSE)</f>
        <v>#REF!</v>
      </c>
      <c r="AL44" s="145" t="e">
        <f>VLOOKUP(#REF!,$BA$2:$BF$17,3,FALSE)</f>
        <v>#REF!</v>
      </c>
      <c r="AM44" s="146" t="e">
        <f>IF(#REF!="",VLOOKUP(#REF!,$BA$2:$BF$17,3,FALSE),VLOOKUP(#REF!,$BA$2:$BF$17,2,FALSE))</f>
        <v>#REF!</v>
      </c>
      <c r="AN44" s="147" t="e">
        <f>#REF!*AK44*0.0258</f>
        <v>#REF!</v>
      </c>
      <c r="AO44" s="146" t="e">
        <f>VLOOKUP(#REF!,$BA$2:$BG$17,7,FALSE)</f>
        <v>#REF!</v>
      </c>
      <c r="AP44" s="146"/>
      <c r="AQ44" s="145" t="e">
        <f>VLOOKUP(#REF!,$BA$2:$BF$17,2,FALSE)</f>
        <v>#REF!</v>
      </c>
      <c r="AR44" s="145" t="e">
        <f>VLOOKUP(#REF!,$BA$2:$BF$17,3,FALSE)</f>
        <v>#REF!</v>
      </c>
      <c r="AS44" s="146" t="e">
        <f>IF(#REF!="",VLOOKUP(#REF!,$BA$2:$BF$17,3,FALSE),VLOOKUP(#REF!,$BA$2:$BF$17,2,FALSE))</f>
        <v>#REF!</v>
      </c>
      <c r="AT44" s="147" t="e">
        <f>#REF!*AQ44*0.0258</f>
        <v>#REF!</v>
      </c>
      <c r="AU44" s="146" t="e">
        <f>VLOOKUP(#REF!,$BA$2:$BG$17,7,FALSE)</f>
        <v>#REF!</v>
      </c>
      <c r="AV44" s="146"/>
      <c r="AW44" s="146"/>
      <c r="BI44" s="176"/>
      <c r="BJ44" s="235"/>
      <c r="BY44" s="171"/>
      <c r="CB44" s="266"/>
      <c r="CC44" s="266"/>
      <c r="CD44" s="266"/>
      <c r="CE44" s="266"/>
      <c r="CF44" s="266"/>
      <c r="CG44" s="266"/>
      <c r="CH44" s="266"/>
      <c r="CI44" s="266"/>
      <c r="CJ44" s="266"/>
      <c r="CK44" s="266"/>
    </row>
    <row r="45" spans="1:90" s="141" customFormat="1" ht="15" customHeight="1">
      <c r="A45" s="137"/>
      <c r="B45" s="137"/>
      <c r="U45" s="198"/>
      <c r="V45" s="198"/>
      <c r="W45" s="198"/>
      <c r="X45" s="198"/>
      <c r="Y45" s="198"/>
      <c r="Z45" s="198"/>
      <c r="AA45" s="182"/>
      <c r="AB45" s="182"/>
      <c r="AH45" s="143"/>
      <c r="AI45" s="144"/>
      <c r="AJ45" s="137"/>
      <c r="AK45" s="145" t="e">
        <f>VLOOKUP(#REF!,$BA$2:$BF$17,2,FALSE)</f>
        <v>#REF!</v>
      </c>
      <c r="AL45" s="145" t="e">
        <f>VLOOKUP(#REF!,$BA$2:$BF$17,3,FALSE)</f>
        <v>#REF!</v>
      </c>
      <c r="AM45" s="146" t="e">
        <f>IF(#REF!="",VLOOKUP(#REF!,$BA$2:$BF$17,3,FALSE),VLOOKUP(#REF!,$BA$2:$BF$17,2,FALSE))</f>
        <v>#REF!</v>
      </c>
      <c r="AN45" s="147" t="e">
        <f>#REF!*AK45*0.0258</f>
        <v>#REF!</v>
      </c>
      <c r="AO45" s="146" t="e">
        <f>VLOOKUP(#REF!,$BA$2:$BG$17,7,FALSE)</f>
        <v>#REF!</v>
      </c>
      <c r="AP45" s="146"/>
      <c r="AQ45" s="145" t="e">
        <f>VLOOKUP(#REF!,$BA$2:$BF$17,2,FALSE)</f>
        <v>#REF!</v>
      </c>
      <c r="AR45" s="145" t="e">
        <f>VLOOKUP(#REF!,$BA$2:$BF$17,3,FALSE)</f>
        <v>#REF!</v>
      </c>
      <c r="AS45" s="146" t="e">
        <f>IF(#REF!="",VLOOKUP(#REF!,$BA$2:$BF$17,3,FALSE),VLOOKUP(#REF!,$BA$2:$BF$17,2,FALSE))</f>
        <v>#REF!</v>
      </c>
      <c r="AT45" s="147" t="e">
        <f>#REF!*AQ45*0.0258</f>
        <v>#REF!</v>
      </c>
      <c r="AU45" s="146" t="e">
        <f>VLOOKUP(#REF!,$BA$2:$BG$17,7,FALSE)</f>
        <v>#REF!</v>
      </c>
      <c r="BI45" s="176"/>
      <c r="BJ45" s="235"/>
      <c r="BZ45" s="171"/>
      <c r="CC45" s="266"/>
      <c r="CD45" s="266"/>
      <c r="CE45" s="266"/>
      <c r="CF45" s="266"/>
      <c r="CG45" s="268"/>
      <c r="CH45" s="268"/>
      <c r="CI45" s="268"/>
      <c r="CJ45" s="269"/>
      <c r="CK45" s="269"/>
      <c r="CL45" s="269"/>
    </row>
    <row r="46" spans="1:90" s="141" customFormat="1" ht="15" customHeight="1">
      <c r="A46" s="137"/>
      <c r="B46" s="137"/>
      <c r="U46" s="199"/>
      <c r="W46" s="200"/>
      <c r="AI46" s="143"/>
      <c r="AJ46" s="144"/>
      <c r="AK46" s="145" t="e">
        <f>VLOOKUP(#REF!,$BA$2:$BF$17,2,FALSE)</f>
        <v>#REF!</v>
      </c>
      <c r="AL46" s="145" t="e">
        <f>VLOOKUP(#REF!,$BA$2:$BF$17,3,FALSE)</f>
        <v>#REF!</v>
      </c>
      <c r="AM46" s="146" t="e">
        <f>IF(#REF!="",VLOOKUP(#REF!,$BA$2:$BF$17,3,FALSE),VLOOKUP(#REF!,$BA$2:$BF$17,2,FALSE))</f>
        <v>#REF!</v>
      </c>
      <c r="AN46" s="147" t="e">
        <f>#REF!*AK46*0.0258</f>
        <v>#REF!</v>
      </c>
      <c r="AO46" s="146" t="e">
        <f>VLOOKUP(#REF!,$BA$2:$BG$17,7,FALSE)</f>
        <v>#REF!</v>
      </c>
      <c r="AP46" s="146"/>
      <c r="AQ46" s="145" t="e">
        <f>VLOOKUP(#REF!,$BA$2:$BF$17,2,FALSE)</f>
        <v>#REF!</v>
      </c>
      <c r="AR46" s="145" t="e">
        <f>VLOOKUP(#REF!,$BA$2:$BF$17,3,FALSE)</f>
        <v>#REF!</v>
      </c>
      <c r="AS46" s="146" t="e">
        <f>IF(#REF!="",VLOOKUP(#REF!,$BA$2:$BF$17,3,FALSE),VLOOKUP(#REF!,$BA$2:$BF$17,2,FALSE))</f>
        <v>#REF!</v>
      </c>
      <c r="AT46" s="147" t="e">
        <f>#REF!*AQ46*0.0258</f>
        <v>#REF!</v>
      </c>
      <c r="AU46" s="146" t="e">
        <f>VLOOKUP(#REF!,$BA$2:$BG$17,7,FALSE)</f>
        <v>#REF!</v>
      </c>
      <c r="BI46" s="176"/>
      <c r="BJ46" s="235"/>
      <c r="BK46" s="270"/>
      <c r="BL46" s="176"/>
      <c r="BM46" s="237"/>
      <c r="BN46" s="238"/>
      <c r="BO46" s="271"/>
      <c r="BP46" s="271"/>
      <c r="BQ46" s="176"/>
      <c r="BZ46" s="171"/>
      <c r="CC46" s="266"/>
      <c r="CD46" s="266"/>
      <c r="CE46" s="266"/>
      <c r="CF46" s="266"/>
      <c r="CG46" s="268"/>
      <c r="CH46" s="268"/>
      <c r="CI46" s="268"/>
      <c r="CJ46" s="269"/>
      <c r="CK46" s="269"/>
      <c r="CL46" s="269"/>
    </row>
    <row r="47" spans="1:90" s="141" customFormat="1" ht="15" customHeight="1">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82"/>
      <c r="AI47" s="143"/>
      <c r="AJ47" s="144"/>
      <c r="AK47" s="144"/>
      <c r="AL47" s="145"/>
      <c r="AM47" s="145"/>
      <c r="AN47" s="146"/>
      <c r="AO47" s="146"/>
      <c r="AP47" s="146"/>
      <c r="AQ47" s="146"/>
      <c r="AR47" s="146"/>
      <c r="AS47" s="146"/>
      <c r="AT47" s="146"/>
      <c r="AU47" s="146"/>
      <c r="BI47" s="176"/>
      <c r="BJ47" s="235"/>
      <c r="BK47" s="235"/>
      <c r="BL47" s="176"/>
      <c r="BM47" s="176"/>
      <c r="BN47" s="176"/>
      <c r="BO47" s="176"/>
      <c r="BP47" s="176"/>
      <c r="BQ47" s="176"/>
      <c r="BZ47" s="171"/>
      <c r="CC47" s="266"/>
      <c r="CD47" s="266"/>
      <c r="CE47" s="266"/>
      <c r="CF47" s="266"/>
      <c r="CG47" s="268"/>
      <c r="CH47" s="268"/>
      <c r="CI47" s="268"/>
      <c r="CJ47" s="269"/>
      <c r="CK47" s="269"/>
      <c r="CL47" s="269"/>
    </row>
    <row r="48" spans="1:90" s="141" customFormat="1" ht="15" customHeight="1">
      <c r="A48" s="137"/>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82"/>
      <c r="AI48" s="143"/>
      <c r="AJ48" s="144"/>
      <c r="AK48" s="144"/>
      <c r="AL48" s="145"/>
      <c r="AM48" s="145"/>
      <c r="AN48" s="146"/>
      <c r="AO48" s="146"/>
      <c r="AP48" s="146"/>
      <c r="AQ48" s="146"/>
      <c r="AR48" s="146"/>
      <c r="AS48" s="146"/>
      <c r="AT48" s="146"/>
      <c r="AU48" s="146"/>
      <c r="BI48" s="176"/>
      <c r="BJ48" s="235"/>
      <c r="BK48" s="235"/>
      <c r="BL48" s="176"/>
      <c r="BM48" s="176"/>
      <c r="BN48" s="176"/>
      <c r="BO48" s="176"/>
      <c r="BP48" s="176"/>
      <c r="BQ48" s="176"/>
      <c r="BZ48" s="171"/>
      <c r="CC48" s="266"/>
      <c r="CD48" s="266"/>
      <c r="CE48" s="266"/>
      <c r="CF48" s="266"/>
      <c r="CG48" s="268"/>
      <c r="CH48" s="268"/>
      <c r="CI48" s="268"/>
      <c r="CJ48" s="269"/>
      <c r="CK48" s="269"/>
      <c r="CL48" s="269"/>
    </row>
    <row r="49" spans="1:90" s="141" customFormat="1" ht="1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I49" s="143"/>
      <c r="AJ49" s="144"/>
      <c r="AK49" s="144"/>
      <c r="AL49" s="145"/>
      <c r="AM49" s="145"/>
      <c r="AN49" s="146"/>
      <c r="AO49" s="146"/>
      <c r="AP49" s="146"/>
      <c r="AQ49" s="146"/>
      <c r="AR49" s="146"/>
      <c r="AS49" s="146"/>
      <c r="AT49" s="146"/>
      <c r="AU49" s="146"/>
      <c r="BI49" s="176"/>
      <c r="BJ49" s="235"/>
      <c r="BK49" s="235"/>
      <c r="BL49" s="176"/>
      <c r="BM49" s="176"/>
      <c r="BN49" s="176"/>
      <c r="BO49" s="176"/>
      <c r="BP49" s="176"/>
      <c r="BQ49" s="176"/>
      <c r="BZ49" s="171"/>
      <c r="CC49" s="266"/>
      <c r="CD49" s="266"/>
      <c r="CE49" s="266"/>
      <c r="CF49" s="266"/>
      <c r="CG49" s="268"/>
      <c r="CH49" s="268"/>
      <c r="CI49" s="268"/>
      <c r="CJ49" s="269"/>
      <c r="CK49" s="269"/>
      <c r="CL49" s="269"/>
    </row>
    <row r="50" spans="1:90" s="141" customFormat="1" ht="15" customHeight="1">
      <c r="A50" s="137"/>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82"/>
      <c r="AI50" s="143"/>
      <c r="AJ50" s="144"/>
      <c r="AK50" s="144"/>
      <c r="AL50" s="145"/>
      <c r="AM50" s="145"/>
      <c r="AN50" s="146"/>
      <c r="AO50" s="146"/>
      <c r="AP50" s="146"/>
      <c r="AQ50" s="146"/>
      <c r="AR50" s="146"/>
      <c r="AS50" s="146"/>
      <c r="AT50" s="146"/>
      <c r="AU50" s="146"/>
      <c r="BI50" s="176"/>
      <c r="BJ50" s="235"/>
      <c r="BK50" s="235"/>
      <c r="BL50" s="176"/>
      <c r="BM50" s="176"/>
      <c r="BN50" s="176"/>
      <c r="BO50" s="176"/>
      <c r="BP50" s="176"/>
      <c r="BQ50" s="176"/>
      <c r="BZ50" s="171"/>
      <c r="CC50" s="266"/>
      <c r="CD50" s="266"/>
      <c r="CE50" s="266"/>
      <c r="CF50" s="266"/>
      <c r="CG50" s="268"/>
      <c r="CH50" s="268"/>
      <c r="CI50" s="268"/>
      <c r="CJ50" s="269"/>
      <c r="CK50" s="269"/>
      <c r="CL50" s="269"/>
    </row>
    <row r="51" spans="1:90" s="141" customFormat="1" ht="15" customHeight="1">
      <c r="A51" s="137"/>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82"/>
      <c r="AI51" s="143"/>
      <c r="AJ51" s="144"/>
      <c r="AK51" s="144"/>
      <c r="AL51" s="145"/>
      <c r="AM51" s="145"/>
      <c r="AN51" s="146"/>
      <c r="AO51" s="146"/>
      <c r="AP51" s="146"/>
      <c r="AQ51" s="146"/>
      <c r="AR51" s="146"/>
      <c r="AS51" s="146"/>
      <c r="AT51" s="146"/>
      <c r="AU51" s="146"/>
      <c r="BI51" s="176"/>
      <c r="BJ51" s="235"/>
      <c r="BK51" s="235"/>
      <c r="BL51" s="176"/>
      <c r="BM51" s="176"/>
      <c r="BN51" s="176"/>
      <c r="BO51" s="176"/>
      <c r="BP51" s="176"/>
      <c r="BQ51" s="176"/>
      <c r="BZ51" s="171"/>
      <c r="CC51" s="266"/>
      <c r="CD51" s="266"/>
      <c r="CE51" s="266"/>
      <c r="CF51" s="266"/>
      <c r="CG51" s="268"/>
      <c r="CH51" s="272"/>
      <c r="CI51" s="268"/>
      <c r="CJ51" s="269"/>
      <c r="CK51" s="273"/>
      <c r="CL51" s="269"/>
    </row>
    <row r="52" spans="1:90" s="141" customFormat="1" ht="15" customHeight="1">
      <c r="A52" s="137"/>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I52" s="143"/>
      <c r="AJ52" s="144"/>
      <c r="AK52" s="144"/>
      <c r="AL52" s="145"/>
      <c r="AM52" s="145"/>
      <c r="AN52" s="146"/>
      <c r="AO52" s="146"/>
      <c r="AP52" s="146"/>
      <c r="AQ52" s="146"/>
      <c r="AR52" s="146"/>
      <c r="AS52" s="146"/>
      <c r="AT52" s="146"/>
      <c r="AU52" s="146"/>
      <c r="BB52" s="141" t="s">
        <v>383</v>
      </c>
      <c r="BI52" s="176"/>
      <c r="BJ52" s="270"/>
      <c r="BK52" s="235"/>
      <c r="BL52" s="176"/>
      <c r="BM52" s="176"/>
      <c r="BN52" s="176"/>
      <c r="BO52" s="176"/>
      <c r="BP52" s="176"/>
      <c r="BQ52" s="176"/>
      <c r="BZ52" s="171"/>
      <c r="CC52" s="266"/>
      <c r="CD52" s="266"/>
      <c r="CE52" s="266"/>
      <c r="CF52" s="266"/>
      <c r="CG52" s="268"/>
      <c r="CH52" s="268"/>
      <c r="CI52" s="268"/>
      <c r="CJ52" s="269"/>
      <c r="CK52" s="269"/>
      <c r="CL52" s="269"/>
    </row>
    <row r="53" spans="1:90" s="141" customFormat="1" ht="15" customHeight="1">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I53" s="143"/>
      <c r="AJ53" s="144"/>
      <c r="AK53" s="144"/>
      <c r="AL53" s="145"/>
      <c r="AM53" s="145"/>
      <c r="AN53" s="146"/>
      <c r="AO53" s="146"/>
      <c r="AP53" s="146"/>
      <c r="AQ53" s="146"/>
      <c r="AR53" s="146"/>
      <c r="AS53" s="146"/>
      <c r="AT53" s="146"/>
      <c r="AU53" s="146"/>
      <c r="BB53" s="141" t="s">
        <v>385</v>
      </c>
      <c r="BI53" s="176"/>
      <c r="BJ53" s="235"/>
      <c r="BK53" s="235"/>
      <c r="BL53" s="176"/>
      <c r="BM53" s="176"/>
      <c r="BN53" s="176"/>
      <c r="BO53" s="176"/>
      <c r="BP53" s="176"/>
      <c r="BQ53" s="176"/>
      <c r="BZ53" s="171"/>
      <c r="CC53" s="266"/>
      <c r="CD53" s="266"/>
      <c r="CE53" s="266"/>
      <c r="CF53" s="266"/>
      <c r="CG53" s="268"/>
      <c r="CH53" s="268"/>
      <c r="CI53" s="268"/>
      <c r="CJ53" s="269"/>
      <c r="CK53" s="269"/>
      <c r="CL53" s="269"/>
    </row>
    <row r="54" spans="1:90" s="141" customFormat="1" ht="15" customHeight="1">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I54" s="143"/>
      <c r="AJ54" s="144"/>
      <c r="AK54" s="144"/>
      <c r="AL54" s="145"/>
      <c r="AM54" s="145"/>
      <c r="AN54" s="146"/>
      <c r="AO54" s="146"/>
      <c r="AP54" s="146"/>
      <c r="AQ54" s="146"/>
      <c r="AR54" s="146"/>
      <c r="AS54" s="146"/>
      <c r="AT54" s="146"/>
      <c r="AU54" s="146"/>
      <c r="BB54" s="141" t="s">
        <v>387</v>
      </c>
      <c r="BI54" s="176"/>
      <c r="BJ54" s="235"/>
      <c r="BK54" s="235"/>
      <c r="BL54" s="176"/>
      <c r="BM54" s="176"/>
      <c r="BN54" s="176"/>
      <c r="BO54" s="176"/>
      <c r="BP54" s="176"/>
      <c r="BQ54" s="176"/>
      <c r="BZ54" s="171"/>
      <c r="CC54" s="266"/>
      <c r="CD54" s="266"/>
      <c r="CE54" s="266"/>
      <c r="CF54" s="266"/>
      <c r="CG54" s="268"/>
      <c r="CH54" s="268"/>
      <c r="CI54" s="268"/>
      <c r="CJ54" s="269"/>
      <c r="CK54" s="269"/>
      <c r="CL54" s="269"/>
    </row>
    <row r="55" spans="1:90" s="141" customFormat="1" ht="15" customHeight="1">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I55" s="143"/>
      <c r="AJ55" s="144"/>
      <c r="AK55" s="144"/>
      <c r="AL55" s="145"/>
      <c r="AM55" s="145"/>
      <c r="AN55" s="146"/>
      <c r="AO55" s="146"/>
      <c r="AP55" s="146"/>
      <c r="AQ55" s="146"/>
      <c r="AR55" s="146"/>
      <c r="AS55" s="146"/>
      <c r="AT55" s="146"/>
      <c r="AU55" s="146"/>
      <c r="BB55" s="141" t="s">
        <v>389</v>
      </c>
      <c r="BI55" s="176"/>
      <c r="BJ55" s="235"/>
      <c r="BK55" s="270"/>
      <c r="BL55" s="176"/>
      <c r="BM55" s="237"/>
      <c r="BN55" s="237"/>
      <c r="BO55" s="271"/>
      <c r="BP55" s="271"/>
      <c r="BQ55" s="176"/>
      <c r="BZ55" s="171"/>
      <c r="CC55" s="266"/>
      <c r="CD55" s="266"/>
      <c r="CE55" s="266"/>
      <c r="CF55" s="266"/>
      <c r="CG55" s="268"/>
      <c r="CH55" s="268"/>
      <c r="CI55" s="266"/>
      <c r="CJ55" s="269"/>
      <c r="CK55" s="269"/>
      <c r="CL55" s="269"/>
    </row>
    <row r="56" spans="1:90" s="141" customFormat="1" ht="15" customHeight="1">
      <c r="A56" s="137"/>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I56" s="143"/>
      <c r="AJ56" s="144"/>
      <c r="AK56" s="144"/>
      <c r="AL56" s="145"/>
      <c r="AM56" s="145"/>
      <c r="AN56" s="146"/>
      <c r="AO56" s="146"/>
      <c r="AP56" s="146"/>
      <c r="AQ56" s="146"/>
      <c r="AR56" s="146"/>
      <c r="AS56" s="146"/>
      <c r="AT56" s="146"/>
      <c r="AU56" s="146"/>
      <c r="BB56" s="141" t="s">
        <v>391</v>
      </c>
      <c r="BI56" s="176"/>
      <c r="BJ56" s="235"/>
      <c r="BK56" s="235"/>
      <c r="BL56" s="176"/>
      <c r="BM56" s="176"/>
      <c r="BN56" s="176"/>
      <c r="BO56" s="176"/>
      <c r="BP56" s="176"/>
      <c r="BQ56" s="176"/>
      <c r="BZ56" s="171"/>
      <c r="CC56" s="266"/>
      <c r="CD56" s="266"/>
      <c r="CE56" s="266"/>
      <c r="CF56" s="266"/>
      <c r="CG56" s="266"/>
      <c r="CH56" s="268"/>
      <c r="CI56" s="266"/>
      <c r="CJ56" s="269"/>
      <c r="CK56" s="269"/>
      <c r="CL56" s="269"/>
    </row>
    <row r="57" spans="1:90" s="141" customFormat="1" ht="15" customHeight="1">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43"/>
      <c r="AJ57" s="144"/>
      <c r="AK57" s="144"/>
      <c r="AL57" s="145"/>
      <c r="AM57" s="145"/>
      <c r="AN57" s="146"/>
      <c r="AO57" s="146"/>
      <c r="AP57" s="146"/>
      <c r="AQ57" s="146"/>
      <c r="AR57" s="146"/>
      <c r="AS57" s="146"/>
      <c r="AT57" s="146"/>
      <c r="AU57" s="146"/>
      <c r="BB57" s="141" t="s">
        <v>393</v>
      </c>
      <c r="BI57" s="176"/>
      <c r="BJ57" s="270"/>
      <c r="BK57" s="235"/>
      <c r="BL57" s="176"/>
      <c r="BM57" s="176"/>
      <c r="BN57" s="176"/>
      <c r="BO57" s="176"/>
      <c r="BP57" s="176"/>
      <c r="BQ57" s="176"/>
      <c r="BZ57" s="171"/>
      <c r="CC57" s="266"/>
      <c r="CD57" s="266"/>
      <c r="CE57" s="266"/>
      <c r="CF57" s="266"/>
      <c r="CG57" s="266"/>
      <c r="CH57" s="268"/>
      <c r="CI57" s="266"/>
      <c r="CJ57" s="269"/>
      <c r="CK57" s="269"/>
      <c r="CL57" s="269"/>
    </row>
    <row r="58" spans="1:90" s="141" customFormat="1" ht="15" customHeight="1">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43"/>
      <c r="AJ58" s="144"/>
      <c r="AK58" s="144"/>
      <c r="AL58" s="145"/>
      <c r="AM58" s="145"/>
      <c r="AN58" s="146"/>
      <c r="AO58" s="146"/>
      <c r="AP58" s="146"/>
      <c r="AQ58" s="146"/>
      <c r="AR58" s="146"/>
      <c r="AS58" s="146"/>
      <c r="AT58" s="146"/>
      <c r="AU58" s="146"/>
      <c r="BB58" s="141" t="s">
        <v>395</v>
      </c>
      <c r="BI58" s="176"/>
      <c r="BJ58" s="235"/>
      <c r="BK58" s="235"/>
      <c r="BL58" s="176"/>
      <c r="BM58" s="176"/>
      <c r="BN58" s="176"/>
      <c r="BO58" s="176"/>
      <c r="BP58" s="176"/>
      <c r="BQ58" s="176"/>
      <c r="BZ58" s="171"/>
      <c r="CC58" s="266"/>
      <c r="CD58" s="266"/>
      <c r="CE58" s="266"/>
      <c r="CF58" s="266"/>
      <c r="CG58" s="266"/>
      <c r="CH58" s="268"/>
      <c r="CI58" s="266"/>
      <c r="CJ58" s="269"/>
      <c r="CK58" s="269"/>
      <c r="CL58" s="269"/>
    </row>
    <row r="59" spans="1:90" s="141" customFormat="1" ht="15" customHeight="1">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43"/>
      <c r="AJ59" s="144"/>
      <c r="AK59" s="144"/>
      <c r="AL59" s="145"/>
      <c r="AM59" s="145"/>
      <c r="AN59" s="146"/>
      <c r="AO59" s="146"/>
      <c r="AP59" s="146"/>
      <c r="AQ59" s="146"/>
      <c r="AR59" s="146"/>
      <c r="AS59" s="146"/>
      <c r="AT59" s="146"/>
      <c r="AU59" s="146"/>
      <c r="BB59" s="141" t="s">
        <v>396</v>
      </c>
      <c r="BI59" s="176"/>
      <c r="BJ59" s="235"/>
      <c r="BK59" s="235"/>
      <c r="BL59" s="176"/>
      <c r="BM59" s="176"/>
      <c r="BN59" s="176"/>
      <c r="BO59" s="176"/>
      <c r="BP59" s="176"/>
      <c r="BQ59" s="176"/>
      <c r="BZ59" s="171"/>
      <c r="CC59" s="266"/>
      <c r="CD59" s="266"/>
      <c r="CE59" s="266"/>
      <c r="CF59" s="266"/>
      <c r="CG59" s="266"/>
      <c r="CH59" s="268"/>
      <c r="CI59" s="266"/>
      <c r="CJ59" s="269"/>
      <c r="CK59" s="269"/>
      <c r="CL59" s="269"/>
    </row>
    <row r="60" spans="1:90" s="141" customFormat="1" ht="15" customHeight="1">
      <c r="A60" s="137"/>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43"/>
      <c r="AJ60" s="144"/>
      <c r="AK60" s="144"/>
      <c r="AL60" s="145"/>
      <c r="AM60" s="145"/>
      <c r="AN60" s="146"/>
      <c r="AO60" s="146"/>
      <c r="AP60" s="146"/>
      <c r="AQ60" s="146"/>
      <c r="AR60" s="146"/>
      <c r="AS60" s="146"/>
      <c r="AT60" s="146"/>
      <c r="AU60" s="146"/>
      <c r="BB60" s="141" t="s">
        <v>397</v>
      </c>
      <c r="BI60" s="176"/>
      <c r="BJ60" s="235"/>
      <c r="BK60" s="270"/>
      <c r="BL60" s="176"/>
      <c r="BM60" s="274"/>
      <c r="BN60" s="274"/>
      <c r="BO60" s="271"/>
      <c r="BP60" s="271"/>
      <c r="BQ60" s="176"/>
      <c r="BZ60" s="171"/>
      <c r="CC60" s="266"/>
      <c r="CD60" s="266"/>
      <c r="CE60" s="266"/>
      <c r="CF60" s="266"/>
      <c r="CG60" s="266"/>
      <c r="CH60" s="268"/>
      <c r="CI60" s="266"/>
      <c r="CJ60" s="269"/>
      <c r="CK60" s="269"/>
      <c r="CL60" s="269"/>
    </row>
    <row r="61" spans="1:90" s="141" customFormat="1" ht="15" customHeight="1">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43"/>
      <c r="AJ61" s="144"/>
      <c r="AK61" s="144"/>
      <c r="AL61" s="145"/>
      <c r="AM61" s="145"/>
      <c r="AN61" s="146"/>
      <c r="AO61" s="146"/>
      <c r="AP61" s="146"/>
      <c r="AQ61" s="146"/>
      <c r="AR61" s="146"/>
      <c r="AS61" s="146"/>
      <c r="AT61" s="146"/>
      <c r="AU61" s="146"/>
      <c r="BB61" s="141" t="s">
        <v>398</v>
      </c>
      <c r="BI61" s="176"/>
      <c r="BJ61" s="235"/>
      <c r="BK61" s="235"/>
      <c r="BL61" s="176"/>
      <c r="BM61" s="176"/>
      <c r="BN61" s="176"/>
      <c r="BO61" s="176"/>
      <c r="BP61" s="176"/>
      <c r="BQ61" s="176"/>
      <c r="BZ61" s="171"/>
      <c r="CC61" s="266"/>
      <c r="CD61" s="266"/>
      <c r="CE61" s="266"/>
      <c r="CF61" s="266"/>
      <c r="CG61" s="266"/>
      <c r="CH61" s="268"/>
      <c r="CI61" s="266"/>
      <c r="CJ61" s="269"/>
      <c r="CK61" s="269"/>
      <c r="CL61" s="269"/>
    </row>
    <row r="62" spans="1:90" s="141" customFormat="1" ht="15" customHeight="1">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43"/>
      <c r="AJ62" s="144"/>
      <c r="AK62" s="144"/>
      <c r="AL62" s="145"/>
      <c r="AM62" s="145"/>
      <c r="AN62" s="146"/>
      <c r="AO62" s="146"/>
      <c r="AP62" s="146"/>
      <c r="AQ62" s="146"/>
      <c r="AR62" s="146"/>
      <c r="AS62" s="146"/>
      <c r="AT62" s="146"/>
      <c r="AU62" s="146"/>
      <c r="BB62" s="141" t="s">
        <v>399</v>
      </c>
      <c r="BI62" s="176"/>
      <c r="BJ62" s="270"/>
      <c r="BK62" s="235"/>
      <c r="BL62" s="176"/>
      <c r="BM62" s="176"/>
      <c r="BN62" s="176"/>
      <c r="BO62" s="176"/>
      <c r="BP62" s="176"/>
      <c r="BQ62" s="176"/>
      <c r="BZ62" s="171"/>
      <c r="CC62" s="266"/>
      <c r="CD62" s="266"/>
      <c r="CE62" s="266"/>
      <c r="CF62" s="266"/>
      <c r="CG62" s="266"/>
      <c r="CH62" s="268"/>
      <c r="CI62" s="266"/>
      <c r="CJ62" s="269"/>
      <c r="CK62" s="269"/>
      <c r="CL62" s="269"/>
    </row>
    <row r="63" spans="1:90" s="141" customFormat="1" ht="15" customHeight="1">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43"/>
      <c r="AJ63" s="144"/>
      <c r="AK63" s="144"/>
      <c r="AL63" s="145"/>
      <c r="AM63" s="145"/>
      <c r="AN63" s="146"/>
      <c r="AO63" s="146"/>
      <c r="AP63" s="146"/>
      <c r="AQ63" s="146"/>
      <c r="AR63" s="146"/>
      <c r="AS63" s="146"/>
      <c r="AT63" s="146"/>
      <c r="AU63" s="146"/>
      <c r="BB63" s="141" t="s">
        <v>400</v>
      </c>
      <c r="BI63" s="176"/>
      <c r="BJ63" s="275"/>
      <c r="BK63" s="235"/>
      <c r="BL63" s="176"/>
      <c r="BM63" s="176"/>
      <c r="BN63" s="176"/>
      <c r="BO63" s="176"/>
      <c r="BP63" s="176"/>
      <c r="BQ63" s="176"/>
      <c r="BZ63" s="171"/>
      <c r="CC63" s="266"/>
      <c r="CD63" s="266"/>
      <c r="CE63" s="266"/>
      <c r="CF63" s="266"/>
      <c r="CG63" s="266"/>
      <c r="CH63" s="268"/>
      <c r="CI63" s="266"/>
      <c r="CJ63" s="269"/>
      <c r="CK63" s="269"/>
      <c r="CL63" s="269"/>
    </row>
    <row r="64" spans="1:90" s="141" customFormat="1" ht="15" customHeight="1">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43"/>
      <c r="AJ64" s="144"/>
      <c r="AK64" s="144"/>
      <c r="AL64" s="145"/>
      <c r="AM64" s="145"/>
      <c r="AN64" s="146"/>
      <c r="AO64" s="146"/>
      <c r="AP64" s="146"/>
      <c r="AQ64" s="146"/>
      <c r="AR64" s="146"/>
      <c r="AS64" s="146"/>
      <c r="AT64" s="146"/>
      <c r="AU64" s="146"/>
      <c r="BB64" s="141" t="s">
        <v>401</v>
      </c>
      <c r="BI64" s="176"/>
      <c r="BJ64" s="235"/>
      <c r="BK64" s="235"/>
      <c r="BL64" s="176"/>
      <c r="BM64" s="176"/>
      <c r="BN64" s="176"/>
      <c r="BO64" s="176"/>
      <c r="BP64" s="176"/>
      <c r="BQ64" s="176"/>
      <c r="BZ64" s="171"/>
      <c r="CC64" s="266"/>
      <c r="CD64" s="266"/>
      <c r="CE64" s="266"/>
      <c r="CF64" s="266"/>
      <c r="CG64" s="266"/>
      <c r="CH64" s="268"/>
      <c r="CI64" s="266"/>
      <c r="CJ64" s="269"/>
      <c r="CK64" s="269"/>
      <c r="CL64" s="269"/>
    </row>
    <row r="65" spans="1:90" s="141" customFormat="1" ht="15" customHeight="1">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43"/>
      <c r="AJ65" s="144"/>
      <c r="AK65" s="144"/>
      <c r="AL65" s="145"/>
      <c r="AM65" s="145"/>
      <c r="AN65" s="146"/>
      <c r="AO65" s="146"/>
      <c r="AP65" s="146"/>
      <c r="AQ65" s="146"/>
      <c r="AR65" s="146"/>
      <c r="AS65" s="146"/>
      <c r="AT65" s="146"/>
      <c r="AU65" s="146"/>
      <c r="BB65" s="141" t="s">
        <v>402</v>
      </c>
      <c r="BG65" s="202"/>
      <c r="BI65" s="176"/>
      <c r="BJ65" s="235"/>
      <c r="BK65" s="270"/>
      <c r="BL65" s="176"/>
      <c r="BM65" s="274"/>
      <c r="BN65" s="274"/>
      <c r="BO65" s="271"/>
      <c r="BP65" s="271"/>
      <c r="BQ65" s="176"/>
      <c r="BZ65" s="171"/>
      <c r="CC65" s="266"/>
      <c r="CD65" s="266"/>
      <c r="CE65" s="266"/>
      <c r="CF65" s="266"/>
      <c r="CG65" s="266"/>
      <c r="CH65" s="268"/>
      <c r="CI65" s="266"/>
      <c r="CJ65" s="269"/>
      <c r="CK65" s="269"/>
      <c r="CL65" s="269"/>
    </row>
    <row r="66" spans="1:90" s="141" customFormat="1" ht="15" customHeight="1">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43"/>
      <c r="AJ66" s="144"/>
      <c r="AK66" s="144"/>
      <c r="AL66" s="145"/>
      <c r="AM66" s="145"/>
      <c r="AN66" s="146"/>
      <c r="AO66" s="146"/>
      <c r="AP66" s="146"/>
      <c r="AQ66" s="146"/>
      <c r="AR66" s="146"/>
      <c r="AS66" s="146"/>
      <c r="AT66" s="146"/>
      <c r="AU66" s="146"/>
      <c r="BB66" s="141" t="s">
        <v>403</v>
      </c>
      <c r="BI66" s="176"/>
      <c r="BJ66" s="235"/>
      <c r="BK66" s="275"/>
      <c r="BL66" s="176"/>
      <c r="BM66" s="202"/>
      <c r="BN66" s="202"/>
      <c r="BO66" s="202"/>
      <c r="BP66" s="202"/>
      <c r="BQ66" s="176"/>
      <c r="BZ66" s="171"/>
      <c r="CC66" s="266"/>
      <c r="CD66" s="266"/>
      <c r="CE66" s="266"/>
      <c r="CF66" s="266"/>
      <c r="CG66" s="266"/>
      <c r="CH66" s="268"/>
      <c r="CI66" s="266"/>
      <c r="CJ66" s="269"/>
      <c r="CK66" s="269"/>
      <c r="CL66" s="269"/>
    </row>
    <row r="67" spans="1:90" s="141" customFormat="1" ht="15" customHeight="1">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43"/>
      <c r="AJ67" s="144"/>
      <c r="AK67" s="144"/>
      <c r="AL67" s="145"/>
      <c r="AM67" s="145"/>
      <c r="AN67" s="146"/>
      <c r="AO67" s="146"/>
      <c r="AP67" s="146"/>
      <c r="AQ67" s="146"/>
      <c r="AR67" s="146"/>
      <c r="AS67" s="146"/>
      <c r="AT67" s="146"/>
      <c r="AU67" s="146"/>
      <c r="BB67" s="141" t="s">
        <v>404</v>
      </c>
      <c r="BF67" s="202"/>
      <c r="BK67" s="235"/>
      <c r="BL67" s="176"/>
      <c r="BM67" s="176"/>
      <c r="BN67" s="176"/>
      <c r="BO67" s="176"/>
      <c r="BP67" s="176"/>
      <c r="BQ67" s="176"/>
      <c r="BZ67" s="171"/>
      <c r="CC67" s="266"/>
      <c r="CD67" s="266"/>
      <c r="CE67" s="266"/>
      <c r="CF67" s="266"/>
      <c r="CG67" s="266"/>
      <c r="CH67" s="268"/>
      <c r="CI67" s="266"/>
      <c r="CJ67" s="269"/>
      <c r="CK67" s="269"/>
      <c r="CL67" s="269"/>
    </row>
    <row r="68" spans="1:90" s="141" customFormat="1" ht="15" customHeight="1">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43"/>
      <c r="AJ68" s="144"/>
      <c r="AK68" s="144"/>
      <c r="AL68" s="145"/>
      <c r="AM68" s="145"/>
      <c r="AN68" s="146"/>
      <c r="AO68" s="146"/>
      <c r="AP68" s="146"/>
      <c r="AQ68" s="146"/>
      <c r="AR68" s="146"/>
      <c r="AS68" s="146"/>
      <c r="AT68" s="146"/>
      <c r="AU68" s="146"/>
      <c r="BB68" s="141" t="s">
        <v>405</v>
      </c>
      <c r="BK68" s="235"/>
      <c r="BL68" s="176"/>
      <c r="BM68" s="176"/>
      <c r="BN68" s="176"/>
      <c r="BO68" s="176"/>
      <c r="BP68" s="176"/>
      <c r="BQ68" s="176"/>
      <c r="BZ68" s="171"/>
      <c r="CC68" s="266"/>
      <c r="CD68" s="266"/>
      <c r="CE68" s="266"/>
      <c r="CF68" s="266"/>
      <c r="CG68" s="266"/>
      <c r="CH68" s="268"/>
      <c r="CI68" s="266"/>
      <c r="CJ68" s="269"/>
      <c r="CK68" s="269"/>
      <c r="CL68" s="269"/>
    </row>
    <row r="69" spans="1:90" s="141" customFormat="1" ht="15" customHeight="1">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43"/>
      <c r="AJ69" s="144"/>
      <c r="AK69" s="144"/>
      <c r="AL69" s="145"/>
      <c r="AM69" s="145"/>
      <c r="AN69" s="146"/>
      <c r="AO69" s="146"/>
      <c r="AP69" s="146"/>
      <c r="AQ69" s="146"/>
      <c r="AR69" s="146"/>
      <c r="AS69" s="146"/>
      <c r="AT69" s="146"/>
      <c r="AU69" s="146"/>
      <c r="BB69" s="141" t="s">
        <v>406</v>
      </c>
      <c r="BK69" s="235"/>
      <c r="BL69" s="176"/>
      <c r="BM69" s="176"/>
      <c r="BN69" s="176"/>
      <c r="BO69" s="176"/>
      <c r="BP69" s="176"/>
      <c r="BQ69" s="176"/>
      <c r="CC69" s="266"/>
      <c r="CD69" s="266"/>
      <c r="CE69" s="266"/>
      <c r="CF69" s="266"/>
      <c r="CG69" s="266"/>
      <c r="CH69" s="268"/>
      <c r="CI69" s="266"/>
      <c r="CJ69" s="269"/>
      <c r="CK69" s="269"/>
      <c r="CL69" s="269"/>
    </row>
    <row r="70" spans="1:90" s="141" customFormat="1" ht="15" customHeight="1">
      <c r="A70" s="137"/>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43"/>
      <c r="AJ70" s="144"/>
      <c r="AK70" s="144"/>
      <c r="AL70" s="145"/>
      <c r="AM70" s="145"/>
      <c r="AN70" s="146"/>
      <c r="AO70" s="146"/>
      <c r="AP70" s="146"/>
      <c r="AQ70" s="146"/>
      <c r="AR70" s="146"/>
      <c r="AS70" s="146"/>
      <c r="AT70" s="146"/>
      <c r="AU70" s="146"/>
      <c r="BB70" s="141" t="s">
        <v>407</v>
      </c>
      <c r="CC70" s="266"/>
      <c r="CD70" s="266"/>
      <c r="CE70" s="266"/>
      <c r="CF70" s="266"/>
      <c r="CG70" s="266"/>
      <c r="CH70" s="268"/>
      <c r="CI70" s="266"/>
      <c r="CJ70" s="269"/>
      <c r="CK70" s="269"/>
      <c r="CL70" s="269"/>
    </row>
    <row r="71" spans="1:90" s="141" customFormat="1" ht="15" customHeight="1">
      <c r="A71" s="137"/>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43"/>
      <c r="AJ71" s="144"/>
      <c r="AK71" s="144"/>
      <c r="AL71" s="145"/>
      <c r="AM71" s="145"/>
      <c r="AN71" s="146"/>
      <c r="AO71" s="146"/>
      <c r="AP71" s="146"/>
      <c r="AQ71" s="146"/>
      <c r="AR71" s="146"/>
      <c r="AS71" s="146"/>
      <c r="AT71" s="146"/>
      <c r="AU71" s="146"/>
      <c r="BB71" s="141" t="s">
        <v>408</v>
      </c>
    </row>
    <row r="72" spans="1:90" ht="15" customHeight="1">
      <c r="AI72" s="207"/>
      <c r="AK72" s="144"/>
      <c r="AL72" s="145"/>
      <c r="AM72" s="145"/>
      <c r="AN72" s="146"/>
      <c r="AO72" s="146"/>
      <c r="AP72" s="146"/>
      <c r="AQ72" s="146"/>
      <c r="AR72" s="146"/>
      <c r="AS72" s="146"/>
      <c r="AT72" s="146"/>
      <c r="AU72" s="146"/>
      <c r="AY72" s="141"/>
      <c r="AZ72" s="141"/>
      <c r="BA72" s="141"/>
      <c r="BB72" s="137" t="s">
        <v>409</v>
      </c>
      <c r="BC72" s="141"/>
      <c r="BD72" s="141"/>
    </row>
    <row r="73" spans="1:90">
      <c r="AI73" s="210"/>
      <c r="AK73" s="144"/>
      <c r="AL73" s="145"/>
      <c r="AM73" s="145"/>
      <c r="AN73" s="146"/>
      <c r="AO73" s="146"/>
      <c r="AP73" s="146"/>
      <c r="AQ73" s="146"/>
      <c r="AR73" s="146"/>
      <c r="AS73" s="146"/>
      <c r="AT73" s="146"/>
      <c r="AU73" s="146"/>
      <c r="AY73" s="141"/>
      <c r="AZ73" s="141"/>
    </row>
    <row r="74" spans="1:90" ht="16.5" customHeight="1">
      <c r="AI74" s="210"/>
      <c r="AL74" s="208"/>
      <c r="AM74" s="208"/>
      <c r="AY74" s="209"/>
    </row>
    <row r="75" spans="1:90" ht="13.5" customHeight="1">
      <c r="AI75" s="210"/>
    </row>
    <row r="76" spans="1:90" ht="13.5" customHeight="1">
      <c r="AI76" s="140"/>
    </row>
    <row r="77" spans="1:90" ht="13.5" customHeight="1">
      <c r="AI77" s="210"/>
    </row>
    <row r="78" spans="1:90" ht="13.5" customHeight="1">
      <c r="AI78" s="211"/>
    </row>
    <row r="79" spans="1:90" ht="13.5" customHeight="1">
      <c r="AI79" s="211"/>
    </row>
    <row r="80" spans="1:90" ht="13.5" customHeight="1"/>
    <row r="81" spans="35:35" ht="13.5" customHeight="1">
      <c r="AI81" s="210"/>
    </row>
    <row r="82" spans="35:35" ht="13.5" customHeight="1">
      <c r="AI82" s="212"/>
    </row>
    <row r="83" spans="35:35" ht="13.5" customHeight="1">
      <c r="AI83" s="212"/>
    </row>
    <row r="84" spans="35:35" ht="13.5" customHeight="1"/>
    <row r="85" spans="35:35" ht="13.5" customHeight="1"/>
    <row r="87" spans="35:35" ht="13.5" customHeight="1"/>
    <row r="88" spans="35:35" ht="14.25" customHeight="1"/>
  </sheetData>
  <sheetProtection algorithmName="SHA-512" hashValue="yAfQP/3srlMfefjfK3Q59xIWg3lxEMzMN60lXQ2ISVRQ1uehL5C7e7l9H1h1rcW3SG9Xszwrbd7wlCauO/DM6g==" saltValue="eWAMYp3bhFSsgDEYkDqwVA==" spinCount="100000" sheet="1" formatCells="0"/>
  <mergeCells count="33">
    <mergeCell ref="AA18:AB18"/>
    <mergeCell ref="S23:T24"/>
    <mergeCell ref="S25:S26"/>
    <mergeCell ref="T25:T26"/>
    <mergeCell ref="B3:C3"/>
    <mergeCell ref="E3:F3"/>
    <mergeCell ref="I3:J3"/>
    <mergeCell ref="V14:X14"/>
    <mergeCell ref="R5:AG10"/>
    <mergeCell ref="B6:C6"/>
    <mergeCell ref="B5:C5"/>
    <mergeCell ref="B4:C4"/>
    <mergeCell ref="A21:A23"/>
    <mergeCell ref="W15:X15"/>
    <mergeCell ref="W16:X16"/>
    <mergeCell ref="W17:X17"/>
    <mergeCell ref="W18:X18"/>
    <mergeCell ref="Y1:AG1"/>
    <mergeCell ref="I6:J6"/>
    <mergeCell ref="G6:H6"/>
    <mergeCell ref="E6:F6"/>
    <mergeCell ref="AA23:AA24"/>
    <mergeCell ref="I23:I24"/>
    <mergeCell ref="G3:H3"/>
    <mergeCell ref="I4:J4"/>
    <mergeCell ref="G4:H4"/>
    <mergeCell ref="E4:F4"/>
    <mergeCell ref="I5:J5"/>
    <mergeCell ref="G5:H5"/>
    <mergeCell ref="E5:F5"/>
    <mergeCell ref="V3:AG3"/>
    <mergeCell ref="R3:U3"/>
    <mergeCell ref="AF21:AG22"/>
  </mergeCells>
  <phoneticPr fontId="3"/>
  <conditionalFormatting sqref="F8 E6 H8 G6 K4:K6 Q7:Q8">
    <cfRule type="expression" dxfId="57" priority="17">
      <formula>#REF!="なし"</formula>
    </cfRule>
  </conditionalFormatting>
  <conditionalFormatting sqref="W27:W36">
    <cfRule type="expression" dxfId="56" priority="10">
      <formula>$E$1="なし"</formula>
    </cfRule>
  </conditionalFormatting>
  <conditionalFormatting sqref="Y27:Z36 AB27:AB36">
    <cfRule type="expression" dxfId="55" priority="11">
      <formula>$E$1="なし"</formula>
    </cfRule>
  </conditionalFormatting>
  <conditionalFormatting sqref="A20">
    <cfRule type="expression" dxfId="54" priority="32">
      <formula>#REF!&lt;&gt;2</formula>
    </cfRule>
  </conditionalFormatting>
  <conditionalFormatting sqref="A20">
    <cfRule type="expression" dxfId="53" priority="33">
      <formula>#REF!=2</formula>
    </cfRule>
  </conditionalFormatting>
  <conditionalFormatting sqref="W15:X19">
    <cfRule type="expression" dxfId="52" priority="7">
      <formula>$V$14&lt;&gt;""</formula>
    </cfRule>
  </conditionalFormatting>
  <conditionalFormatting sqref="V16:V17">
    <cfRule type="expression" dxfId="51" priority="6">
      <formula>$V$14&lt;&gt;""</formula>
    </cfRule>
  </conditionalFormatting>
  <conditionalFormatting sqref="AA27:AA36">
    <cfRule type="expression" dxfId="50" priority="5">
      <formula>$E$1="なし"</formula>
    </cfRule>
  </conditionalFormatting>
  <conditionalFormatting sqref="Y23">
    <cfRule type="expression" dxfId="49" priority="4">
      <formula>$AH$26&lt;0</formula>
    </cfRule>
  </conditionalFormatting>
  <conditionalFormatting sqref="T25:T26">
    <cfRule type="expression" dxfId="48" priority="100">
      <formula>SUM($T$27:$T$36)&lt;&gt;$AP$24</formula>
    </cfRule>
  </conditionalFormatting>
  <conditionalFormatting sqref="S23:T24">
    <cfRule type="expression" dxfId="47" priority="2">
      <formula>COUNTIF($AH$27:$AH$36,"○")&gt;0</formula>
    </cfRule>
  </conditionalFormatting>
  <conditionalFormatting sqref="R5:AG10">
    <cfRule type="expression" dxfId="46" priority="1">
      <formula>AH26&lt;0</formula>
    </cfRule>
  </conditionalFormatting>
  <dataValidations count="11">
    <dataValidation type="whole" allowBlank="1" showInputMessage="1" showErrorMessage="1" sqref="V25" xr:uid="{EF31170A-CF30-4952-9586-578678C7BCFB}">
      <formula1>0</formula1>
      <formula2>E25</formula2>
    </dataValidation>
    <dataValidation type="list" allowBlank="1" showInputMessage="1" showErrorMessage="1" sqref="F25 F27:F36" xr:uid="{BC65CF30-DE50-452C-A3DA-5D6854EE0CBA}">
      <formula1>INDIRECT(C25)</formula1>
    </dataValidation>
    <dataValidation type="list" allowBlank="1" showInputMessage="1" showErrorMessage="1" sqref="C15:E19" xr:uid="{6BC51F14-D021-4FCD-A08F-E20002D4E5D0}">
      <formula1>$AN$4:$AN$9</formula1>
    </dataValidation>
    <dataValidation type="list" allowBlank="1" showInputMessage="1" showErrorMessage="1" sqref="C25 W27:W36 W25 C27:C36 V14" xr:uid="{32380B6A-61ED-46C8-98DA-A53402B45E1E}">
      <formula1>$AU$2:$AU$5</formula1>
    </dataValidation>
    <dataValidation type="list" allowBlank="1" showInputMessage="1" showErrorMessage="1" sqref="V16:V17" xr:uid="{8688E0DE-0BE6-42FB-B36B-3DB44E06A3E2}">
      <formula1>$AV$8:$AV$10</formula1>
    </dataValidation>
    <dataValidation type="whole" allowBlank="1" showInputMessage="1" showErrorMessage="1" sqref="K25 K27:K36" xr:uid="{EF185D8D-5739-4EF3-A7A5-B645913B025A}">
      <formula1>0</formula1>
      <formula2>365</formula2>
    </dataValidation>
    <dataValidation type="list" allowBlank="1" showInputMessage="1" showErrorMessage="1" error="プルダウンから選択してください。" sqref="I27:I36 AA27:AA36 AA25 I25" xr:uid="{552268BD-C507-413A-AD3B-604AC4B32E3F}">
      <formula1>"有"</formula1>
    </dataValidation>
    <dataValidation type="list" allowBlank="1" showInputMessage="1" showErrorMessage="1" sqref="S27:S36" xr:uid="{F0871FA1-262B-4880-AD38-E34D4B82DA26}">
      <formula1>"◎,○"</formula1>
    </dataValidation>
    <dataValidation type="decimal" allowBlank="1" showInputMessage="1" showErrorMessage="1" sqref="T27:T36" xr:uid="{3E81003D-FC6C-4F8C-A66D-B5A4F96A4C9D}">
      <formula1>0</formula1>
      <formula2>1</formula2>
    </dataValidation>
    <dataValidation type="list" allowBlank="1" showInputMessage="1" showErrorMessage="1" sqref="X25:X36" xr:uid="{AE8A33BA-4B94-4C84-9775-07720298BE87}">
      <formula1>INDIRECT(W25)</formula1>
    </dataValidation>
    <dataValidation type="whole" allowBlank="1" showInputMessage="1" showErrorMessage="1" sqref="D27:D37" xr:uid="{B184941C-A933-4BA7-90AC-716DC846765E}">
      <formula1>1900</formula1>
      <formula2>2040</formula2>
    </dataValidation>
  </dataValidations>
  <printOptions horizontalCentered="1"/>
  <pageMargins left="0.27559055118110237" right="0.19685039370078741" top="0.74803149606299213" bottom="0.55118110236220474" header="0.31496062992125984" footer="0.31496062992125984"/>
  <pageSetup paperSize="9" scale="70" orientation="landscape" r:id="rId1"/>
  <headerFooter>
    <oddHeader>&amp;L様式第1号（別紙）</oddHead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0B883-3A30-4804-882D-ACB4F01F5283}">
  <sheetPr>
    <tabColor rgb="FF00B0F0"/>
    <pageSetUpPr fitToPage="1"/>
  </sheetPr>
  <dimension ref="A1:AJ37"/>
  <sheetViews>
    <sheetView view="pageBreakPreview" topLeftCell="A11" zoomScaleNormal="100" zoomScaleSheetLayoutView="100" workbookViewId="0">
      <selection activeCell="J33" sqref="J33"/>
    </sheetView>
  </sheetViews>
  <sheetFormatPr defaultRowHeight="13.5"/>
  <cols>
    <col min="1" max="1" width="3.875" customWidth="1"/>
    <col min="2" max="2" width="12.875" customWidth="1"/>
    <col min="4" max="4" width="7.625" customWidth="1"/>
    <col min="5" max="5" width="5.625" customWidth="1"/>
    <col min="7" max="7" width="9.875" customWidth="1"/>
    <col min="8" max="8" width="8.875" customWidth="1"/>
    <col min="10" max="10" width="7.625" customWidth="1"/>
    <col min="11" max="11" width="6.25" customWidth="1"/>
    <col min="12" max="12" width="6.875" customWidth="1"/>
    <col min="13" max="13" width="9.375" customWidth="1"/>
    <col min="14" max="14" width="8.375" customWidth="1"/>
    <col min="15" max="15" width="5" customWidth="1"/>
    <col min="16" max="16" width="13.875" customWidth="1"/>
    <col min="17" max="17" width="6.5" customWidth="1"/>
    <col min="18" max="18" width="6" customWidth="1"/>
    <col min="26" max="36" width="9" hidden="1" customWidth="1"/>
    <col min="37" max="37" width="9" customWidth="1"/>
  </cols>
  <sheetData>
    <row r="1" spans="1:26" ht="30">
      <c r="A1" s="13" t="s">
        <v>31</v>
      </c>
      <c r="B1" s="11"/>
      <c r="C1" s="11"/>
      <c r="D1" s="11"/>
      <c r="E1" s="2"/>
      <c r="F1" s="14"/>
      <c r="G1" s="2"/>
      <c r="H1" s="2"/>
      <c r="I1" s="2"/>
      <c r="J1" s="4"/>
      <c r="K1" s="2"/>
      <c r="L1" s="2"/>
      <c r="M1" s="2"/>
      <c r="N1" s="5"/>
      <c r="O1" s="2"/>
      <c r="P1" s="11"/>
      <c r="Q1" s="11"/>
      <c r="R1" s="11"/>
      <c r="S1" s="1035">
        <f>CO２削減量算定シート!O7</f>
        <v>0</v>
      </c>
      <c r="T1" s="1036"/>
      <c r="U1" s="1036"/>
      <c r="V1" s="1036"/>
      <c r="W1" s="1036"/>
      <c r="X1" s="1036"/>
      <c r="Y1" s="1037"/>
      <c r="Z1" s="11"/>
    </row>
    <row r="2" spans="1:26">
      <c r="A2" s="11"/>
      <c r="B2" s="11"/>
      <c r="C2" s="11"/>
      <c r="D2" s="11"/>
      <c r="E2" s="11"/>
      <c r="F2" s="11"/>
      <c r="G2" s="11"/>
      <c r="H2" s="11"/>
      <c r="I2" s="11"/>
      <c r="J2" s="11"/>
      <c r="K2" s="11"/>
      <c r="L2" s="11"/>
      <c r="M2" s="11"/>
      <c r="N2" s="10"/>
      <c r="O2" s="10"/>
      <c r="P2" s="10"/>
      <c r="Q2" s="385"/>
      <c r="R2" s="10"/>
      <c r="S2" s="10"/>
      <c r="T2" s="10"/>
      <c r="U2" s="10"/>
      <c r="V2" s="385"/>
      <c r="W2" s="11"/>
    </row>
    <row r="3" spans="1:26" ht="18.75">
      <c r="A3" s="136" t="s">
        <v>312</v>
      </c>
      <c r="B3" s="11"/>
      <c r="C3" s="11"/>
      <c r="D3" s="11"/>
      <c r="E3" s="11"/>
      <c r="F3" s="11"/>
      <c r="G3" s="11"/>
      <c r="H3" s="11"/>
      <c r="I3" s="11"/>
      <c r="J3" s="11"/>
      <c r="K3" s="11"/>
      <c r="L3" s="11"/>
      <c r="M3" s="109" t="s">
        <v>314</v>
      </c>
      <c r="N3" s="137"/>
      <c r="O3" s="499" t="s">
        <v>728</v>
      </c>
      <c r="P3" s="109"/>
      <c r="Q3" s="137"/>
      <c r="R3" s="108"/>
      <c r="S3" s="137"/>
      <c r="T3" s="70"/>
      <c r="U3" s="70"/>
      <c r="V3" s="70"/>
      <c r="W3" s="70"/>
      <c r="X3" s="70"/>
      <c r="Y3" s="70"/>
    </row>
    <row r="4" spans="1:26" ht="19.5" customHeight="1">
      <c r="A4" s="11"/>
      <c r="B4" s="1043" t="s">
        <v>632</v>
      </c>
      <c r="C4" s="1044"/>
      <c r="D4" s="1045"/>
      <c r="E4" s="7" t="s">
        <v>1</v>
      </c>
      <c r="F4" s="7" t="s">
        <v>2</v>
      </c>
      <c r="G4" s="7" t="s">
        <v>3</v>
      </c>
      <c r="H4" s="7" t="s">
        <v>4</v>
      </c>
      <c r="I4" s="8" t="s">
        <v>5</v>
      </c>
      <c r="J4" s="11"/>
      <c r="L4" s="11"/>
      <c r="M4" s="943" t="s">
        <v>11</v>
      </c>
      <c r="N4" s="944"/>
      <c r="O4" s="1015" t="str">
        <f>IF(X27="","",IF(D27&lt;Q27,"定格出力が増加しています。下蘭に事由を記載してください。",""))</f>
        <v/>
      </c>
      <c r="P4" s="1016"/>
      <c r="Q4" s="1016"/>
      <c r="R4" s="1016"/>
      <c r="S4" s="1016"/>
      <c r="T4" s="1016"/>
      <c r="U4" s="1016"/>
      <c r="V4" s="1016"/>
      <c r="W4" s="1016"/>
      <c r="X4" s="1016"/>
      <c r="Y4" s="1017"/>
    </row>
    <row r="5" spans="1:26" ht="19.5" customHeight="1">
      <c r="A5" s="11"/>
      <c r="B5" s="1040" t="s">
        <v>32</v>
      </c>
      <c r="C5" s="1041"/>
      <c r="D5" s="1042"/>
      <c r="E5" s="379" t="s">
        <v>8</v>
      </c>
      <c r="F5" s="441">
        <f>M27</f>
        <v>0</v>
      </c>
      <c r="G5" s="441">
        <f>V27</f>
        <v>0</v>
      </c>
      <c r="H5" s="442">
        <f>F5-G5</f>
        <v>0</v>
      </c>
      <c r="I5" s="443">
        <f>IFERROR(H5/F5,0)</f>
        <v>0</v>
      </c>
      <c r="J5" s="11"/>
      <c r="L5" s="11"/>
      <c r="M5" s="19" t="s">
        <v>6</v>
      </c>
      <c r="N5" s="111"/>
      <c r="O5" s="111"/>
      <c r="P5" s="111"/>
      <c r="Q5" s="111"/>
      <c r="R5" s="111"/>
      <c r="S5" s="111"/>
      <c r="T5" s="111"/>
      <c r="U5" s="111"/>
      <c r="V5" s="111"/>
      <c r="W5" s="111"/>
      <c r="X5" s="111"/>
      <c r="Y5" s="112"/>
    </row>
    <row r="6" spans="1:26" ht="19.5" customHeight="1">
      <c r="A6" s="11"/>
      <c r="B6" s="1040" t="s">
        <v>33</v>
      </c>
      <c r="C6" s="1041"/>
      <c r="D6" s="1042"/>
      <c r="E6" s="379" t="s">
        <v>10</v>
      </c>
      <c r="F6" s="444">
        <f>N27</f>
        <v>0</v>
      </c>
      <c r="G6" s="444">
        <f>W27</f>
        <v>0</v>
      </c>
      <c r="H6" s="445">
        <f>F6-G6</f>
        <v>0</v>
      </c>
      <c r="I6" s="443">
        <f>IFERROR(H6/F6,0)</f>
        <v>0</v>
      </c>
      <c r="J6" s="11"/>
      <c r="L6" s="11"/>
      <c r="M6" s="934"/>
      <c r="N6" s="935"/>
      <c r="O6" s="935"/>
      <c r="P6" s="935"/>
      <c r="Q6" s="935"/>
      <c r="R6" s="935"/>
      <c r="S6" s="935"/>
      <c r="T6" s="935"/>
      <c r="U6" s="935"/>
      <c r="V6" s="935"/>
      <c r="W6" s="935"/>
      <c r="X6" s="935"/>
      <c r="Y6" s="936"/>
    </row>
    <row r="7" spans="1:26" ht="19.5" customHeight="1">
      <c r="A7" s="11"/>
      <c r="B7" s="986" t="s">
        <v>12</v>
      </c>
      <c r="C7" s="987"/>
      <c r="D7" s="988"/>
      <c r="E7" s="125" t="s">
        <v>13</v>
      </c>
      <c r="F7" s="446">
        <f>AA27</f>
        <v>0</v>
      </c>
      <c r="G7" s="446">
        <f>AB27</f>
        <v>0</v>
      </c>
      <c r="H7" s="447">
        <f>F7-G7</f>
        <v>0</v>
      </c>
      <c r="I7" s="443">
        <f>IFERROR(H7/F7,0)</f>
        <v>0</v>
      </c>
      <c r="J7" s="11"/>
      <c r="L7" s="11"/>
      <c r="M7" s="937"/>
      <c r="N7" s="938"/>
      <c r="O7" s="938"/>
      <c r="P7" s="938"/>
      <c r="Q7" s="938"/>
      <c r="R7" s="938"/>
      <c r="S7" s="938"/>
      <c r="T7" s="938"/>
      <c r="U7" s="938"/>
      <c r="V7" s="938"/>
      <c r="W7" s="938"/>
      <c r="X7" s="938"/>
      <c r="Y7" s="939"/>
    </row>
    <row r="8" spans="1:26">
      <c r="A8" s="11"/>
      <c r="B8" s="11"/>
      <c r="C8" s="11"/>
      <c r="D8" s="11"/>
      <c r="E8" s="11"/>
      <c r="F8" s="11"/>
      <c r="G8" s="11"/>
      <c r="H8" s="11"/>
      <c r="I8" s="11"/>
      <c r="J8" s="11"/>
      <c r="K8" s="11"/>
      <c r="L8" s="11"/>
      <c r="M8" s="937"/>
      <c r="N8" s="938"/>
      <c r="O8" s="938"/>
      <c r="P8" s="938"/>
      <c r="Q8" s="938"/>
      <c r="R8" s="938"/>
      <c r="S8" s="938"/>
      <c r="T8" s="938"/>
      <c r="U8" s="938"/>
      <c r="V8" s="938"/>
      <c r="W8" s="938"/>
      <c r="X8" s="938"/>
      <c r="Y8" s="939"/>
    </row>
    <row r="9" spans="1:26">
      <c r="A9" s="11"/>
      <c r="B9" s="11"/>
      <c r="C9" s="11"/>
      <c r="D9" s="11"/>
      <c r="E9" s="11"/>
      <c r="F9" s="11"/>
      <c r="G9" s="11"/>
      <c r="H9" s="11"/>
      <c r="I9" s="11"/>
      <c r="J9" s="11"/>
      <c r="K9" s="11"/>
      <c r="L9" s="11"/>
      <c r="M9" s="937"/>
      <c r="N9" s="938"/>
      <c r="O9" s="938"/>
      <c r="P9" s="938"/>
      <c r="Q9" s="938"/>
      <c r="R9" s="938"/>
      <c r="S9" s="938"/>
      <c r="T9" s="938"/>
      <c r="U9" s="938"/>
      <c r="V9" s="938"/>
      <c r="W9" s="938"/>
      <c r="X9" s="938"/>
      <c r="Y9" s="939"/>
    </row>
    <row r="10" spans="1:26">
      <c r="A10" s="11"/>
      <c r="B10" s="11"/>
      <c r="C10" s="11"/>
      <c r="D10" s="11"/>
      <c r="E10" s="11"/>
      <c r="F10" s="11"/>
      <c r="G10" s="11"/>
      <c r="H10" s="11"/>
      <c r="I10" s="11"/>
      <c r="J10" s="11"/>
      <c r="K10" s="11"/>
      <c r="L10" s="11"/>
      <c r="M10" s="937"/>
      <c r="N10" s="938"/>
      <c r="O10" s="938"/>
      <c r="P10" s="938"/>
      <c r="Q10" s="938"/>
      <c r="R10" s="938"/>
      <c r="S10" s="938"/>
      <c r="T10" s="938"/>
      <c r="U10" s="938"/>
      <c r="V10" s="938"/>
      <c r="W10" s="938"/>
      <c r="X10" s="938"/>
      <c r="Y10" s="939"/>
    </row>
    <row r="11" spans="1:26">
      <c r="C11" s="11"/>
      <c r="D11" s="11"/>
      <c r="E11" s="11"/>
      <c r="F11" s="11"/>
      <c r="G11" s="11"/>
      <c r="H11" s="11"/>
      <c r="I11" s="11"/>
      <c r="J11" s="11"/>
      <c r="K11" s="11"/>
      <c r="L11" s="11"/>
      <c r="M11" s="940"/>
      <c r="N11" s="941"/>
      <c r="O11" s="941"/>
      <c r="P11" s="941"/>
      <c r="Q11" s="941"/>
      <c r="R11" s="941"/>
      <c r="S11" s="941"/>
      <c r="T11" s="941"/>
      <c r="U11" s="941"/>
      <c r="V11" s="941"/>
      <c r="W11" s="941"/>
      <c r="X11" s="941"/>
      <c r="Y11" s="942"/>
    </row>
    <row r="12" spans="1:26" ht="14.25">
      <c r="A12" s="109" t="s">
        <v>313</v>
      </c>
      <c r="B12" s="11"/>
      <c r="C12" s="11"/>
      <c r="D12" s="11"/>
      <c r="E12" s="11"/>
      <c r="F12" s="11"/>
      <c r="G12" s="11"/>
      <c r="H12" s="11"/>
      <c r="I12" s="11"/>
      <c r="J12" s="11"/>
      <c r="K12" s="11"/>
      <c r="L12" s="11"/>
      <c r="M12" s="10"/>
      <c r="N12" s="10"/>
      <c r="O12" s="11"/>
      <c r="P12" s="11"/>
      <c r="Q12" s="11"/>
      <c r="R12" s="11"/>
      <c r="S12" s="11"/>
      <c r="T12" s="11"/>
      <c r="U12" s="11"/>
      <c r="V12" s="11"/>
      <c r="W12" s="11"/>
    </row>
    <row r="13" spans="1:26">
      <c r="A13" s="11"/>
      <c r="B13" s="11"/>
      <c r="C13" s="11"/>
      <c r="D13" s="11"/>
      <c r="E13" s="11"/>
      <c r="F13" s="11"/>
      <c r="G13" s="11"/>
      <c r="H13" s="11"/>
      <c r="I13" s="11"/>
      <c r="J13" s="11"/>
      <c r="K13" s="11"/>
      <c r="L13" s="11"/>
      <c r="M13" s="11"/>
      <c r="N13" s="10"/>
      <c r="O13" s="10"/>
      <c r="P13" s="11"/>
      <c r="Q13" s="11"/>
      <c r="R13" s="11"/>
      <c r="S13" s="11"/>
      <c r="T13" s="11"/>
      <c r="U13" s="11"/>
      <c r="V13" s="11"/>
      <c r="W13" s="11"/>
      <c r="X13" s="11"/>
    </row>
    <row r="14" spans="1:26">
      <c r="A14" s="11"/>
      <c r="B14" s="11"/>
      <c r="C14" s="11"/>
      <c r="D14" s="11"/>
      <c r="E14" s="11"/>
      <c r="F14" s="11"/>
      <c r="G14" s="11"/>
      <c r="H14" s="11"/>
      <c r="I14" s="11"/>
      <c r="J14" s="11"/>
      <c r="K14" s="11"/>
      <c r="L14" s="11"/>
      <c r="M14" s="11"/>
      <c r="N14" s="10"/>
      <c r="O14" s="10"/>
      <c r="P14" s="11"/>
      <c r="Q14" s="11"/>
      <c r="R14" s="11"/>
      <c r="S14" s="11"/>
      <c r="T14" s="11"/>
      <c r="U14" s="11"/>
      <c r="V14" s="11"/>
      <c r="W14" s="11"/>
      <c r="X14" s="11"/>
      <c r="Y14" s="11"/>
      <c r="Z14" s="11"/>
    </row>
    <row r="15" spans="1:26">
      <c r="A15" s="11"/>
      <c r="B15" s="11"/>
      <c r="C15" s="11"/>
      <c r="D15" s="11"/>
      <c r="E15" s="11"/>
      <c r="F15" s="11"/>
      <c r="G15" s="11"/>
      <c r="H15" s="11"/>
      <c r="I15" s="11"/>
      <c r="J15" s="11"/>
      <c r="K15" s="11"/>
      <c r="L15" s="11"/>
      <c r="M15" s="11"/>
      <c r="N15" s="10"/>
      <c r="O15" s="10"/>
      <c r="P15" s="11"/>
      <c r="Q15" s="11"/>
      <c r="R15" s="11"/>
      <c r="S15" s="11"/>
      <c r="T15" s="11"/>
      <c r="U15" s="11"/>
      <c r="V15" s="11"/>
      <c r="W15" s="11"/>
      <c r="X15" s="11"/>
      <c r="Y15" s="11"/>
      <c r="Z15" s="11"/>
    </row>
    <row r="16" spans="1:26">
      <c r="A16" s="11"/>
      <c r="B16" s="11"/>
      <c r="C16" s="11"/>
      <c r="D16" s="11"/>
      <c r="E16" s="11"/>
      <c r="F16" s="11"/>
      <c r="G16" s="11"/>
      <c r="H16" s="11"/>
      <c r="I16" s="11"/>
      <c r="J16" s="11"/>
      <c r="K16" s="11"/>
      <c r="L16" s="11"/>
      <c r="M16" s="11"/>
      <c r="N16" s="10"/>
      <c r="O16" s="10"/>
      <c r="P16" s="11"/>
      <c r="Q16" s="11"/>
      <c r="R16" s="11"/>
      <c r="S16" s="11"/>
      <c r="T16" s="11"/>
      <c r="U16" s="11"/>
      <c r="V16" s="11"/>
      <c r="W16" s="11"/>
      <c r="X16" s="11"/>
      <c r="Y16" s="11"/>
      <c r="Z16" s="11"/>
    </row>
    <row r="17" spans="1:35">
      <c r="A17" s="11"/>
      <c r="B17" s="11"/>
      <c r="C17" s="11"/>
      <c r="D17" s="11"/>
      <c r="E17" s="11"/>
      <c r="F17" s="11"/>
      <c r="G17" s="11"/>
      <c r="H17" s="11"/>
      <c r="I17" s="11"/>
      <c r="J17" s="11"/>
      <c r="K17" s="11"/>
      <c r="L17" s="11"/>
      <c r="M17" s="11"/>
      <c r="N17" s="10"/>
      <c r="O17" s="10"/>
      <c r="P17" s="11"/>
      <c r="Q17" s="11"/>
      <c r="R17" s="11"/>
      <c r="S17" s="11"/>
      <c r="T17" s="11"/>
      <c r="U17" s="11"/>
      <c r="V17" s="11"/>
      <c r="W17" s="11"/>
      <c r="X17" s="11"/>
      <c r="Y17" s="11"/>
      <c r="Z17" s="11"/>
    </row>
    <row r="18" spans="1:35">
      <c r="A18" s="11"/>
      <c r="B18" s="11"/>
      <c r="C18" s="11"/>
      <c r="D18" s="11"/>
      <c r="E18" s="11"/>
      <c r="F18" s="11"/>
      <c r="G18" s="11"/>
      <c r="H18" s="11"/>
      <c r="I18" s="11"/>
      <c r="J18" s="11"/>
      <c r="K18" s="11"/>
      <c r="L18" s="11"/>
      <c r="M18" s="11"/>
      <c r="N18" s="10"/>
      <c r="O18" s="10"/>
      <c r="P18" s="11"/>
      <c r="Q18" s="11"/>
      <c r="R18" s="11"/>
      <c r="S18" s="11"/>
      <c r="T18" s="11"/>
      <c r="U18" s="11"/>
      <c r="V18" s="11"/>
      <c r="W18" s="11"/>
      <c r="X18" s="11"/>
      <c r="Y18" s="11"/>
      <c r="Z18" s="11"/>
    </row>
    <row r="19" spans="1:35" ht="18.75">
      <c r="A19" s="15"/>
      <c r="B19" s="11"/>
      <c r="C19" s="11"/>
      <c r="D19" s="11"/>
      <c r="E19" s="11"/>
      <c r="F19" s="11"/>
      <c r="G19" s="11"/>
      <c r="H19" s="11"/>
      <c r="I19" s="11"/>
      <c r="J19" s="11"/>
      <c r="K19" s="11"/>
      <c r="L19" s="11"/>
      <c r="M19" s="11"/>
      <c r="N19" s="10"/>
      <c r="O19" s="10"/>
      <c r="P19" s="11"/>
      <c r="Q19" s="11"/>
      <c r="R19" s="11"/>
      <c r="S19" s="11"/>
      <c r="T19" s="11"/>
      <c r="U19" s="11"/>
      <c r="V19" s="11"/>
      <c r="W19" s="11"/>
      <c r="X19" s="11"/>
      <c r="Y19" s="11"/>
      <c r="Z19" s="11"/>
    </row>
    <row r="20" spans="1:35" ht="18.75">
      <c r="A20" s="15"/>
      <c r="B20" s="11"/>
      <c r="C20" s="11"/>
      <c r="D20" s="11"/>
      <c r="E20" s="11"/>
      <c r="F20" s="11"/>
      <c r="G20" s="11"/>
      <c r="H20" s="11"/>
      <c r="I20" s="11"/>
      <c r="J20" s="11"/>
      <c r="K20" s="11"/>
      <c r="L20" s="11"/>
      <c r="M20" s="11"/>
      <c r="N20" s="10"/>
      <c r="O20" s="10"/>
      <c r="P20" s="11"/>
      <c r="Q20" s="11"/>
      <c r="R20" s="11"/>
      <c r="S20" s="11"/>
      <c r="T20" s="11"/>
      <c r="U20" s="11"/>
      <c r="V20" s="11"/>
      <c r="W20" s="11"/>
      <c r="X20" s="11"/>
      <c r="Y20" s="11"/>
      <c r="Z20" s="11"/>
    </row>
    <row r="21" spans="1:35" ht="18.75">
      <c r="A21" s="15"/>
      <c r="B21" s="11"/>
      <c r="C21" s="11"/>
      <c r="D21" s="11"/>
      <c r="E21" s="11"/>
      <c r="F21" s="11"/>
      <c r="G21" s="11"/>
      <c r="H21" s="11"/>
      <c r="I21" s="11"/>
      <c r="J21" s="11"/>
      <c r="K21" s="11"/>
      <c r="L21" s="11"/>
      <c r="M21" s="11"/>
      <c r="N21" s="10"/>
      <c r="O21" s="10"/>
      <c r="P21" s="11"/>
      <c r="Q21" s="11"/>
      <c r="R21" s="11"/>
      <c r="S21" s="11"/>
      <c r="T21" s="11"/>
      <c r="U21" s="11"/>
      <c r="V21" s="11"/>
      <c r="W21" s="11"/>
      <c r="X21" s="11"/>
      <c r="Y21" s="11"/>
      <c r="Z21" s="11"/>
    </row>
    <row r="22" spans="1:35" ht="18.75">
      <c r="A22" s="11"/>
      <c r="B22" s="11"/>
      <c r="C22" s="11"/>
      <c r="D22" s="11"/>
      <c r="E22" s="11"/>
      <c r="F22" s="11"/>
      <c r="G22" s="11"/>
      <c r="H22" s="11" t="s">
        <v>880</v>
      </c>
      <c r="I22" s="11"/>
      <c r="J22" s="11"/>
      <c r="K22" s="11"/>
      <c r="L22" s="11"/>
      <c r="N22" s="12"/>
      <c r="O22" s="11"/>
      <c r="P22" s="11"/>
      <c r="Q22" s="11" t="s">
        <v>637</v>
      </c>
      <c r="R22" s="11"/>
      <c r="S22" s="11"/>
      <c r="T22" s="11"/>
      <c r="U22" s="11"/>
      <c r="W22" s="11"/>
      <c r="X22" s="11"/>
      <c r="Y22" s="11"/>
      <c r="Z22" s="11"/>
    </row>
    <row r="23" spans="1:35" ht="15.75" customHeight="1">
      <c r="A23" s="1038" t="s">
        <v>0</v>
      </c>
      <c r="B23" s="368" t="s">
        <v>2</v>
      </c>
      <c r="C23" s="369"/>
      <c r="D23" s="369"/>
      <c r="E23" s="369"/>
      <c r="F23" s="369"/>
      <c r="G23" s="369"/>
      <c r="H23" s="369"/>
      <c r="I23" s="369"/>
      <c r="J23" s="369"/>
      <c r="K23" s="369"/>
      <c r="L23" s="369"/>
      <c r="M23" s="369"/>
      <c r="N23" s="369"/>
      <c r="O23" s="381"/>
      <c r="P23" s="369" t="s">
        <v>3</v>
      </c>
      <c r="Q23" s="369"/>
      <c r="R23" s="369"/>
      <c r="S23" s="369"/>
      <c r="T23" s="369"/>
      <c r="U23" s="369"/>
      <c r="V23" s="369"/>
      <c r="W23" s="370"/>
      <c r="X23" s="382" t="s">
        <v>14</v>
      </c>
      <c r="Y23" s="382"/>
    </row>
    <row r="24" spans="1:35" ht="48">
      <c r="A24" s="1039"/>
      <c r="B24" s="383" t="s">
        <v>15</v>
      </c>
      <c r="C24" s="383" t="s">
        <v>618</v>
      </c>
      <c r="D24" s="383" t="s">
        <v>34</v>
      </c>
      <c r="E24" s="383" t="s">
        <v>707</v>
      </c>
      <c r="F24" s="383" t="s">
        <v>35</v>
      </c>
      <c r="G24" s="383" t="s">
        <v>36</v>
      </c>
      <c r="H24" s="383" t="s">
        <v>824</v>
      </c>
      <c r="I24" s="383" t="s">
        <v>610</v>
      </c>
      <c r="J24" s="383" t="s">
        <v>613</v>
      </c>
      <c r="K24" s="383" t="s">
        <v>614</v>
      </c>
      <c r="L24" s="383" t="s">
        <v>615</v>
      </c>
      <c r="M24" s="383" t="s">
        <v>18</v>
      </c>
      <c r="N24" s="383" t="s">
        <v>37</v>
      </c>
      <c r="O24" s="383" t="s">
        <v>616</v>
      </c>
      <c r="P24" s="383" t="s">
        <v>15</v>
      </c>
      <c r="Q24" s="383" t="s">
        <v>34</v>
      </c>
      <c r="R24" s="383" t="s">
        <v>707</v>
      </c>
      <c r="S24" s="383" t="s">
        <v>35</v>
      </c>
      <c r="T24" s="383" t="s">
        <v>36</v>
      </c>
      <c r="U24" s="383" t="s">
        <v>824</v>
      </c>
      <c r="V24" s="383" t="s">
        <v>18</v>
      </c>
      <c r="W24" s="383" t="s">
        <v>38</v>
      </c>
      <c r="X24" s="384" t="s">
        <v>39</v>
      </c>
      <c r="Y24" s="384" t="s">
        <v>40</v>
      </c>
      <c r="AA24" s="387" t="s">
        <v>631</v>
      </c>
      <c r="AC24" t="s">
        <v>627</v>
      </c>
      <c r="AD24" t="s">
        <v>628</v>
      </c>
    </row>
    <row r="25" spans="1:35">
      <c r="A25" s="379" t="s">
        <v>1</v>
      </c>
      <c r="B25" s="379"/>
      <c r="C25" s="379" t="s">
        <v>634</v>
      </c>
      <c r="D25" s="379" t="s">
        <v>41</v>
      </c>
      <c r="E25" s="379"/>
      <c r="F25" s="379" t="s">
        <v>42</v>
      </c>
      <c r="G25" s="379" t="s">
        <v>42</v>
      </c>
      <c r="H25" s="379" t="s">
        <v>823</v>
      </c>
      <c r="I25" s="379" t="s">
        <v>612</v>
      </c>
      <c r="J25" s="379" t="s">
        <v>611</v>
      </c>
      <c r="K25" s="379" t="s">
        <v>20</v>
      </c>
      <c r="L25" s="379" t="s">
        <v>20</v>
      </c>
      <c r="M25" s="379" t="s">
        <v>8</v>
      </c>
      <c r="N25" s="379" t="s">
        <v>10</v>
      </c>
      <c r="O25" s="379" t="s">
        <v>629</v>
      </c>
      <c r="P25" s="379"/>
      <c r="Q25" s="379" t="s">
        <v>41</v>
      </c>
      <c r="R25" s="379"/>
      <c r="S25" s="379" t="s">
        <v>42</v>
      </c>
      <c r="T25" s="379" t="s">
        <v>42</v>
      </c>
      <c r="U25" s="379" t="s">
        <v>823</v>
      </c>
      <c r="V25" s="379" t="s">
        <v>8</v>
      </c>
      <c r="W25" s="379" t="s">
        <v>10</v>
      </c>
      <c r="X25" s="379" t="s">
        <v>8</v>
      </c>
      <c r="Y25" s="379" t="s">
        <v>10</v>
      </c>
      <c r="AD25">
        <v>1</v>
      </c>
      <c r="AE25">
        <v>2</v>
      </c>
    </row>
    <row r="26" spans="1:35" s="377" customFormat="1" ht="30.75" customHeight="1">
      <c r="A26" s="376" t="s">
        <v>23</v>
      </c>
      <c r="B26" s="593" t="s">
        <v>43</v>
      </c>
      <c r="C26" s="593">
        <v>2000</v>
      </c>
      <c r="D26" s="593">
        <v>150</v>
      </c>
      <c r="E26" s="600" t="s">
        <v>630</v>
      </c>
      <c r="F26" s="593">
        <v>350</v>
      </c>
      <c r="G26" s="593">
        <v>1950</v>
      </c>
      <c r="H26" s="601">
        <f>IF(D26="","",IF(D26&gt;500,F26+G26*0.5^2,F26+G26*0.4^2))</f>
        <v>662</v>
      </c>
      <c r="I26" s="602">
        <v>250</v>
      </c>
      <c r="J26" s="572">
        <v>10</v>
      </c>
      <c r="K26" s="599">
        <v>0.4</v>
      </c>
      <c r="L26" s="599">
        <v>0.05</v>
      </c>
      <c r="M26" s="330">
        <f>(F26*365*24+G26*K26^2*I26*J26+G26*L26^2*I26*(24-J26)+G26*L26^2*(365-I26)*24)/1000</f>
        <v>3876.5174999999999</v>
      </c>
      <c r="N26" s="332">
        <f>M26*'CO₂係数 '!$I$33</f>
        <v>1.9188761624999999</v>
      </c>
      <c r="O26" s="603" t="s">
        <v>617</v>
      </c>
      <c r="P26" s="593" t="s">
        <v>44</v>
      </c>
      <c r="Q26" s="593">
        <v>150</v>
      </c>
      <c r="R26" s="604" t="s">
        <v>630</v>
      </c>
      <c r="S26" s="593">
        <v>70</v>
      </c>
      <c r="T26" s="593">
        <v>1350</v>
      </c>
      <c r="U26" s="601">
        <f>IF(Q26="","",IF(Q26&gt;500,S26+T26*0.5^2,S26+T26*0.4^2))</f>
        <v>286</v>
      </c>
      <c r="V26" s="386">
        <f>(S26*365*24+T26*AD26^2*I26*J26+T26*AE26^2*I26*(24-J26)+T26*AE26^2*(365-I26)*24)/1000</f>
        <v>1174.3275000000001</v>
      </c>
      <c r="W26" s="332">
        <f>V26*'CO₂係数 '!$I$33</f>
        <v>0.58129211250000001</v>
      </c>
      <c r="X26" s="330">
        <f>M26-V26</f>
        <v>2702.1899999999996</v>
      </c>
      <c r="Y26" s="332">
        <f>N26-W26</f>
        <v>1.3375840499999998</v>
      </c>
      <c r="AA26" s="388">
        <f>M26*'CO₂係数 '!$C$33*0.0258</f>
        <v>976.13811864000002</v>
      </c>
      <c r="AB26" s="388">
        <f>V26*'CO₂係数 '!$C$33*0.0258</f>
        <v>295.70505911999999</v>
      </c>
      <c r="AD26" s="380">
        <f>IF(AND(Q28="",O26="●",O28=""),(D26*K26+K27*D27+D28*K28)/Q26,IF(AND(Q27="",O26="●"),(D26*K26+D27*K27)/Q26,K26))</f>
        <v>0.4</v>
      </c>
      <c r="AE26" s="380">
        <f>IF(AND(Q28="",O26="●",O28=""),(D26*L26+L27*D27+D28*L28)/Q26,IF(AND(Q27="",O26="●"),(D26*L26+D27*L27)/Q26,L26))</f>
        <v>0.05</v>
      </c>
    </row>
    <row r="27" spans="1:35" ht="21.95" customHeight="1" thickBot="1">
      <c r="A27" s="750" t="s">
        <v>30</v>
      </c>
      <c r="B27" s="752"/>
      <c r="C27" s="752"/>
      <c r="D27" s="745">
        <f>_xlfn.AGGREGATE(9,7,D28:D37)</f>
        <v>0</v>
      </c>
      <c r="E27" s="753"/>
      <c r="F27" s="752"/>
      <c r="G27" s="719"/>
      <c r="H27" s="719"/>
      <c r="I27" s="719"/>
      <c r="J27" s="719"/>
      <c r="K27" s="754"/>
      <c r="L27" s="754"/>
      <c r="M27" s="745">
        <f>_xlfn.AGGREGATE(9,7,M28:M37)</f>
        <v>0</v>
      </c>
      <c r="N27" s="745">
        <f>_xlfn.AGGREGATE(9,7,N28:N37)</f>
        <v>0</v>
      </c>
      <c r="O27" s="755"/>
      <c r="P27" s="753"/>
      <c r="Q27" s="745">
        <f>_xlfn.AGGREGATE(9,7,Q28:Q37)</f>
        <v>0</v>
      </c>
      <c r="R27" s="753"/>
      <c r="S27" s="752"/>
      <c r="T27" s="719"/>
      <c r="U27" s="719"/>
      <c r="V27" s="745">
        <f>_xlfn.AGGREGATE(9,7,V28:V37)</f>
        <v>0</v>
      </c>
      <c r="W27" s="745">
        <f>_xlfn.AGGREGATE(9,7,W28:W37)</f>
        <v>0</v>
      </c>
      <c r="X27" s="745">
        <f>IF(M27=0,V27*-1,M27-V27)</f>
        <v>0</v>
      </c>
      <c r="Y27" s="745">
        <f>IFERROR(X27*'CO₂係数 '!I33,"")</f>
        <v>0</v>
      </c>
      <c r="AA27" s="378">
        <f>_xlfn.AGGREGATE(9,7,AA28:AA37)</f>
        <v>0</v>
      </c>
      <c r="AB27" s="378">
        <f>_xlfn.AGGREGATE(9,7,AB28:AB37)</f>
        <v>0</v>
      </c>
      <c r="AI27" t="s">
        <v>619</v>
      </c>
    </row>
    <row r="28" spans="1:35" ht="21.95" customHeight="1">
      <c r="A28" s="129">
        <v>1</v>
      </c>
      <c r="B28" s="730"/>
      <c r="C28" s="730"/>
      <c r="D28" s="730"/>
      <c r="E28" s="730"/>
      <c r="F28" s="730"/>
      <c r="G28" s="730"/>
      <c r="H28" s="739" t="str">
        <f>IF(D28="","",IF(D28&gt;500,F28+G28*0.5^2,F28+G28*0.4^2))</f>
        <v/>
      </c>
      <c r="I28" s="730"/>
      <c r="J28" s="730"/>
      <c r="K28" s="748"/>
      <c r="L28" s="748"/>
      <c r="M28" s="847">
        <f t="shared" ref="M28:M37" si="0">(F28*365*24+G28*K28^2*I28*J28+G28*L28^2*I28*(24-J28)+G28*L28^2*(365-I28)*24)/1000</f>
        <v>0</v>
      </c>
      <c r="N28" s="842">
        <f>M28*'CO₂係数 '!$I$33</f>
        <v>0</v>
      </c>
      <c r="O28" s="749"/>
      <c r="P28" s="730"/>
      <c r="Q28" s="730"/>
      <c r="R28" s="699"/>
      <c r="S28" s="730"/>
      <c r="T28" s="730"/>
      <c r="U28" s="739" t="str">
        <f>IF(Q28="","",IF(Q28&gt;500,S28+T28*0.5^2,S28+T28*0.4^2))</f>
        <v/>
      </c>
      <c r="V28" s="841">
        <f t="shared" ref="V28:V37" si="1">(S28*365*24+T28*AD28^2*I28*J28+T28*AE28^2*I28*(24-J28)+T28*AE28^2*(365-I28)*24)/1000</f>
        <v>0</v>
      </c>
      <c r="W28" s="842">
        <f>V28*'CO₂係数 '!$I$33</f>
        <v>0</v>
      </c>
      <c r="X28" s="841">
        <f>IF(Q28="",0,IF(AND(O28="●",Q29="",Q30=""),M28+M29+M30-V28,IF(AND(O28="●",Q29=""),M28+M29-V28,M28-V28)))</f>
        <v>0</v>
      </c>
      <c r="Y28" s="843">
        <f>IF(Q28="",0,IF(AND(O28="●",Q29="",Q30=""),N28+N29+N30-W28,IF(AND(O28="●",Q29=""),N28+N29-W28,N28-W28)))</f>
        <v>0</v>
      </c>
      <c r="AA28" s="388">
        <f>M28*'CO₂係数 '!$C$33*0.0258</f>
        <v>0</v>
      </c>
      <c r="AB28" s="388">
        <f>V28*'CO₂係数 '!$C$33*0.0258</f>
        <v>0</v>
      </c>
      <c r="AD28" s="380">
        <f t="shared" ref="AD28:AD37" si="2">IF(AND(Q30="",O28="●",O30=""),(D28*K28+K29*D29+D30*K30)/Q28,IF(AND(Q29="",O28="●"),(D28*K28+D29*K29)/Q28,K28))</f>
        <v>0</v>
      </c>
      <c r="AE28" s="380">
        <f t="shared" ref="AE28:AE37" si="3">IF(AND(Q30="",O28="●",O30=""),(D28*L28+L29*D29+D30*L30)/Q28,IF(AND(Q29="",O28="●"),(D28*L28+D29*L29)/Q28,L28))</f>
        <v>0</v>
      </c>
      <c r="AI28" t="s">
        <v>620</v>
      </c>
    </row>
    <row r="29" spans="1:35" ht="21.95" customHeight="1">
      <c r="A29" s="751">
        <v>2</v>
      </c>
      <c r="B29" s="420"/>
      <c r="C29" s="420"/>
      <c r="D29" s="420"/>
      <c r="E29" s="420"/>
      <c r="F29" s="420"/>
      <c r="G29" s="420"/>
      <c r="H29" s="427" t="str">
        <f t="shared" ref="H29:H37" si="4">IF(D29="","",IF(D29&gt;500,F29+G29*0.5^2,F29+G29*0.4^2))</f>
        <v/>
      </c>
      <c r="I29" s="420"/>
      <c r="J29" s="420"/>
      <c r="K29" s="448"/>
      <c r="L29" s="448"/>
      <c r="M29" s="848">
        <f t="shared" si="0"/>
        <v>0</v>
      </c>
      <c r="N29" s="845">
        <f>M29*'CO₂係数 '!$I$33</f>
        <v>0</v>
      </c>
      <c r="O29" s="580"/>
      <c r="P29" s="420"/>
      <c r="Q29" s="420"/>
      <c r="R29" s="421"/>
      <c r="S29" s="420"/>
      <c r="T29" s="420"/>
      <c r="U29" s="427" t="str">
        <f t="shared" ref="U29:U37" si="5">IF(Q29="","",IF(Q29&gt;500,S29+T29*0.5^2,S29+T29*0.4^2))</f>
        <v/>
      </c>
      <c r="V29" s="844">
        <f t="shared" si="1"/>
        <v>0</v>
      </c>
      <c r="W29" s="845">
        <f>V29*'CO₂係数 '!$I$33</f>
        <v>0</v>
      </c>
      <c r="X29" s="844">
        <f t="shared" ref="X29:X37" si="6">IF(Q29="",0,IF(AND(O29="●",Q30="",Q31=""),M29+M30+M31-V29,IF(AND(O29="●",Q30=""),M29+M30-V29,M29-V29)))</f>
        <v>0</v>
      </c>
      <c r="Y29" s="846">
        <f t="shared" ref="Y29:Y37" si="7">IF(Q29="",0,IF(AND(O29="●",Q30="",Q31=""),N29+N30+N31-W29,IF(AND(O29="●",Q30=""),N29+N30-W29,N29-W29)))</f>
        <v>0</v>
      </c>
      <c r="AA29" s="388">
        <f>M29*'CO₂係数 '!$C$33*0.0258</f>
        <v>0</v>
      </c>
      <c r="AB29" s="388">
        <f>V29*'CO₂係数 '!$C$33*0.0258</f>
        <v>0</v>
      </c>
      <c r="AD29" s="380">
        <f t="shared" si="2"/>
        <v>0</v>
      </c>
      <c r="AE29" s="380">
        <f t="shared" si="3"/>
        <v>0</v>
      </c>
      <c r="AI29" t="s">
        <v>621</v>
      </c>
    </row>
    <row r="30" spans="1:35" ht="21.95" customHeight="1">
      <c r="A30" s="751">
        <v>3</v>
      </c>
      <c r="B30" s="420"/>
      <c r="C30" s="420"/>
      <c r="D30" s="420"/>
      <c r="E30" s="420"/>
      <c r="F30" s="420"/>
      <c r="G30" s="420"/>
      <c r="H30" s="427" t="str">
        <f t="shared" si="4"/>
        <v/>
      </c>
      <c r="I30" s="420"/>
      <c r="J30" s="420"/>
      <c r="K30" s="448"/>
      <c r="L30" s="448"/>
      <c r="M30" s="848">
        <f t="shared" si="0"/>
        <v>0</v>
      </c>
      <c r="N30" s="845">
        <f>M30*'CO₂係数 '!$I$33</f>
        <v>0</v>
      </c>
      <c r="O30" s="581"/>
      <c r="P30" s="420"/>
      <c r="Q30" s="420"/>
      <c r="R30" s="421"/>
      <c r="S30" s="420"/>
      <c r="T30" s="420"/>
      <c r="U30" s="427" t="str">
        <f t="shared" si="5"/>
        <v/>
      </c>
      <c r="V30" s="844">
        <f t="shared" si="1"/>
        <v>0</v>
      </c>
      <c r="W30" s="845">
        <f>V30*'CO₂係数 '!$I$33</f>
        <v>0</v>
      </c>
      <c r="X30" s="844">
        <f t="shared" si="6"/>
        <v>0</v>
      </c>
      <c r="Y30" s="846">
        <f t="shared" si="7"/>
        <v>0</v>
      </c>
      <c r="AA30" s="388">
        <f>M30*'CO₂係数 '!$C$33*0.0258</f>
        <v>0</v>
      </c>
      <c r="AB30" s="388">
        <f>V30*'CO₂係数 '!$C$33*0.0258</f>
        <v>0</v>
      </c>
      <c r="AD30" s="380">
        <f t="shared" si="2"/>
        <v>0</v>
      </c>
      <c r="AE30" s="380">
        <f t="shared" si="3"/>
        <v>0</v>
      </c>
      <c r="AI30" t="s">
        <v>622</v>
      </c>
    </row>
    <row r="31" spans="1:35" ht="21.95" customHeight="1">
      <c r="A31" s="751">
        <v>4</v>
      </c>
      <c r="B31" s="420"/>
      <c r="C31" s="420"/>
      <c r="D31" s="420"/>
      <c r="E31" s="420"/>
      <c r="F31" s="420"/>
      <c r="G31" s="420"/>
      <c r="H31" s="427" t="str">
        <f t="shared" si="4"/>
        <v/>
      </c>
      <c r="I31" s="420"/>
      <c r="J31" s="420"/>
      <c r="K31" s="448"/>
      <c r="L31" s="448"/>
      <c r="M31" s="848">
        <f t="shared" si="0"/>
        <v>0</v>
      </c>
      <c r="N31" s="845">
        <f>M31*'CO₂係数 '!$I$33</f>
        <v>0</v>
      </c>
      <c r="O31" s="581"/>
      <c r="P31" s="420"/>
      <c r="Q31" s="420"/>
      <c r="R31" s="421"/>
      <c r="S31" s="420"/>
      <c r="T31" s="420"/>
      <c r="U31" s="427" t="str">
        <f t="shared" si="5"/>
        <v/>
      </c>
      <c r="V31" s="844">
        <f t="shared" si="1"/>
        <v>0</v>
      </c>
      <c r="W31" s="845">
        <f>V31*'CO₂係数 '!$I$33</f>
        <v>0</v>
      </c>
      <c r="X31" s="844">
        <f t="shared" si="6"/>
        <v>0</v>
      </c>
      <c r="Y31" s="846">
        <f t="shared" si="7"/>
        <v>0</v>
      </c>
      <c r="AA31" s="388">
        <f>M31*'CO₂係数 '!$C$33*0.0258</f>
        <v>0</v>
      </c>
      <c r="AB31" s="388">
        <f>V31*'CO₂係数 '!$C$33*0.0258</f>
        <v>0</v>
      </c>
      <c r="AD31" s="380">
        <f t="shared" si="2"/>
        <v>0</v>
      </c>
      <c r="AE31" s="380">
        <f t="shared" si="3"/>
        <v>0</v>
      </c>
      <c r="AI31" t="s">
        <v>623</v>
      </c>
    </row>
    <row r="32" spans="1:35" ht="21.95" customHeight="1">
      <c r="A32" s="751">
        <v>5</v>
      </c>
      <c r="B32" s="420"/>
      <c r="C32" s="420"/>
      <c r="D32" s="420"/>
      <c r="E32" s="420"/>
      <c r="F32" s="420"/>
      <c r="G32" s="420"/>
      <c r="H32" s="427" t="str">
        <f t="shared" si="4"/>
        <v/>
      </c>
      <c r="I32" s="420"/>
      <c r="J32" s="420"/>
      <c r="K32" s="448"/>
      <c r="L32" s="448"/>
      <c r="M32" s="848">
        <f t="shared" si="0"/>
        <v>0</v>
      </c>
      <c r="N32" s="845">
        <f>M32*'CO₂係数 '!$I$33</f>
        <v>0</v>
      </c>
      <c r="O32" s="581"/>
      <c r="P32" s="420"/>
      <c r="Q32" s="420"/>
      <c r="R32" s="421"/>
      <c r="S32" s="420"/>
      <c r="T32" s="420"/>
      <c r="U32" s="427" t="str">
        <f t="shared" si="5"/>
        <v/>
      </c>
      <c r="V32" s="844">
        <f t="shared" si="1"/>
        <v>0</v>
      </c>
      <c r="W32" s="845">
        <f>V32*'CO₂係数 '!$I$33</f>
        <v>0</v>
      </c>
      <c r="X32" s="844">
        <f t="shared" si="6"/>
        <v>0</v>
      </c>
      <c r="Y32" s="846">
        <f t="shared" si="7"/>
        <v>0</v>
      </c>
      <c r="AA32" s="388">
        <f>M32*'CO₂係数 '!$C$33*0.0258</f>
        <v>0</v>
      </c>
      <c r="AB32" s="388">
        <f>V32*'CO₂係数 '!$C$33*0.0258</f>
        <v>0</v>
      </c>
      <c r="AD32" s="380">
        <f t="shared" si="2"/>
        <v>0</v>
      </c>
      <c r="AE32" s="380">
        <f t="shared" si="3"/>
        <v>0</v>
      </c>
      <c r="AI32" t="s">
        <v>624</v>
      </c>
    </row>
    <row r="33" spans="1:35" ht="21.95" customHeight="1">
      <c r="A33" s="751">
        <v>6</v>
      </c>
      <c r="B33" s="420"/>
      <c r="C33" s="420"/>
      <c r="D33" s="420"/>
      <c r="E33" s="420"/>
      <c r="F33" s="420"/>
      <c r="G33" s="420"/>
      <c r="H33" s="427" t="str">
        <f t="shared" si="4"/>
        <v/>
      </c>
      <c r="I33" s="420"/>
      <c r="J33" s="420"/>
      <c r="K33" s="448"/>
      <c r="L33" s="448"/>
      <c r="M33" s="848">
        <f t="shared" si="0"/>
        <v>0</v>
      </c>
      <c r="N33" s="845">
        <f>M33*'CO₂係数 '!$I$33</f>
        <v>0</v>
      </c>
      <c r="O33" s="581"/>
      <c r="P33" s="420"/>
      <c r="Q33" s="420"/>
      <c r="R33" s="421"/>
      <c r="S33" s="420"/>
      <c r="T33" s="420"/>
      <c r="U33" s="427" t="str">
        <f t="shared" si="5"/>
        <v/>
      </c>
      <c r="V33" s="844">
        <f t="shared" si="1"/>
        <v>0</v>
      </c>
      <c r="W33" s="845">
        <f>V33*'CO₂係数 '!$I$33</f>
        <v>0</v>
      </c>
      <c r="X33" s="844">
        <f t="shared" si="6"/>
        <v>0</v>
      </c>
      <c r="Y33" s="846">
        <f t="shared" si="7"/>
        <v>0</v>
      </c>
      <c r="AA33" s="388">
        <f>M33*'CO₂係数 '!$C$33*0.0258</f>
        <v>0</v>
      </c>
      <c r="AB33" s="388">
        <f>V33*'CO₂係数 '!$C$33*0.0258</f>
        <v>0</v>
      </c>
      <c r="AD33" s="380">
        <f t="shared" si="2"/>
        <v>0</v>
      </c>
      <c r="AE33" s="380">
        <f t="shared" si="3"/>
        <v>0</v>
      </c>
      <c r="AI33" t="s">
        <v>625</v>
      </c>
    </row>
    <row r="34" spans="1:35" ht="21.95" customHeight="1">
      <c r="A34" s="751">
        <v>7</v>
      </c>
      <c r="B34" s="420"/>
      <c r="C34" s="420"/>
      <c r="D34" s="420"/>
      <c r="E34" s="420"/>
      <c r="F34" s="420"/>
      <c r="G34" s="420"/>
      <c r="H34" s="427" t="str">
        <f t="shared" si="4"/>
        <v/>
      </c>
      <c r="I34" s="420"/>
      <c r="J34" s="420"/>
      <c r="K34" s="448"/>
      <c r="L34" s="448"/>
      <c r="M34" s="848">
        <f t="shared" si="0"/>
        <v>0</v>
      </c>
      <c r="N34" s="845">
        <f>M34*'CO₂係数 '!$I$33</f>
        <v>0</v>
      </c>
      <c r="O34" s="581"/>
      <c r="P34" s="420"/>
      <c r="Q34" s="420"/>
      <c r="R34" s="421"/>
      <c r="S34" s="420"/>
      <c r="T34" s="420"/>
      <c r="U34" s="427" t="str">
        <f t="shared" si="5"/>
        <v/>
      </c>
      <c r="V34" s="844">
        <f t="shared" si="1"/>
        <v>0</v>
      </c>
      <c r="W34" s="845">
        <f>V34*'CO₂係数 '!$I$33</f>
        <v>0</v>
      </c>
      <c r="X34" s="844">
        <f t="shared" si="6"/>
        <v>0</v>
      </c>
      <c r="Y34" s="846">
        <f t="shared" si="7"/>
        <v>0</v>
      </c>
      <c r="AA34" s="388">
        <f>M34*'CO₂係数 '!$C$33*0.0258</f>
        <v>0</v>
      </c>
      <c r="AB34" s="388">
        <f>V34*'CO₂係数 '!$C$33*0.0258</f>
        <v>0</v>
      </c>
      <c r="AD34" s="380">
        <f t="shared" si="2"/>
        <v>0</v>
      </c>
      <c r="AE34" s="380">
        <f t="shared" si="3"/>
        <v>0</v>
      </c>
      <c r="AI34" t="s">
        <v>626</v>
      </c>
    </row>
    <row r="35" spans="1:35" ht="21.95" customHeight="1">
      <c r="A35" s="751">
        <v>8</v>
      </c>
      <c r="B35" s="420"/>
      <c r="C35" s="420"/>
      <c r="D35" s="420"/>
      <c r="E35" s="420"/>
      <c r="F35" s="420"/>
      <c r="G35" s="420"/>
      <c r="H35" s="427" t="str">
        <f t="shared" si="4"/>
        <v/>
      </c>
      <c r="I35" s="420"/>
      <c r="J35" s="420"/>
      <c r="K35" s="448"/>
      <c r="L35" s="448"/>
      <c r="M35" s="848">
        <f t="shared" si="0"/>
        <v>0</v>
      </c>
      <c r="N35" s="845">
        <f>M35*'CO₂係数 '!$I$33</f>
        <v>0</v>
      </c>
      <c r="O35" s="581"/>
      <c r="P35" s="420"/>
      <c r="Q35" s="420"/>
      <c r="R35" s="421"/>
      <c r="S35" s="420"/>
      <c r="T35" s="420"/>
      <c r="U35" s="427" t="str">
        <f t="shared" si="5"/>
        <v/>
      </c>
      <c r="V35" s="844">
        <f t="shared" si="1"/>
        <v>0</v>
      </c>
      <c r="W35" s="845">
        <f>V35*'CO₂係数 '!$I$33</f>
        <v>0</v>
      </c>
      <c r="X35" s="844">
        <f t="shared" si="6"/>
        <v>0</v>
      </c>
      <c r="Y35" s="846">
        <f t="shared" si="7"/>
        <v>0</v>
      </c>
      <c r="AA35" s="388">
        <f>M35*'CO₂係数 '!$C$33*0.0258</f>
        <v>0</v>
      </c>
      <c r="AB35" s="388">
        <f>V35*'CO₂係数 '!$C$33*0.0258</f>
        <v>0</v>
      </c>
      <c r="AD35" s="380">
        <f t="shared" si="2"/>
        <v>0</v>
      </c>
      <c r="AE35" s="380">
        <f t="shared" si="3"/>
        <v>0</v>
      </c>
    </row>
    <row r="36" spans="1:35" ht="21.95" customHeight="1">
      <c r="A36" s="751">
        <v>9</v>
      </c>
      <c r="B36" s="420"/>
      <c r="C36" s="420"/>
      <c r="D36" s="420"/>
      <c r="E36" s="420"/>
      <c r="F36" s="420"/>
      <c r="G36" s="420"/>
      <c r="H36" s="427" t="str">
        <f t="shared" si="4"/>
        <v/>
      </c>
      <c r="I36" s="420"/>
      <c r="J36" s="420"/>
      <c r="K36" s="448"/>
      <c r="L36" s="448"/>
      <c r="M36" s="848">
        <f t="shared" si="0"/>
        <v>0</v>
      </c>
      <c r="N36" s="845">
        <f>M36*'CO₂係数 '!$I$33</f>
        <v>0</v>
      </c>
      <c r="O36" s="581"/>
      <c r="P36" s="420"/>
      <c r="Q36" s="420"/>
      <c r="R36" s="421"/>
      <c r="S36" s="420"/>
      <c r="T36" s="420"/>
      <c r="U36" s="427" t="str">
        <f t="shared" si="5"/>
        <v/>
      </c>
      <c r="V36" s="844">
        <f t="shared" si="1"/>
        <v>0</v>
      </c>
      <c r="W36" s="845">
        <f>V36*'CO₂係数 '!$I$33</f>
        <v>0</v>
      </c>
      <c r="X36" s="844">
        <f t="shared" si="6"/>
        <v>0</v>
      </c>
      <c r="Y36" s="846">
        <f t="shared" si="7"/>
        <v>0</v>
      </c>
      <c r="AA36" s="388">
        <f>M36*'CO₂係数 '!$C$33*0.0258</f>
        <v>0</v>
      </c>
      <c r="AB36" s="388">
        <f>V36*'CO₂係数 '!$C$33*0.0258</f>
        <v>0</v>
      </c>
      <c r="AD36" s="380">
        <f t="shared" si="2"/>
        <v>0</v>
      </c>
      <c r="AE36" s="380">
        <f t="shared" si="3"/>
        <v>0</v>
      </c>
    </row>
    <row r="37" spans="1:35" ht="21.95" customHeight="1">
      <c r="A37" s="751">
        <v>10</v>
      </c>
      <c r="B37" s="420"/>
      <c r="C37" s="420"/>
      <c r="D37" s="420"/>
      <c r="E37" s="420"/>
      <c r="F37" s="420"/>
      <c r="G37" s="420"/>
      <c r="H37" s="427" t="str">
        <f t="shared" si="4"/>
        <v/>
      </c>
      <c r="I37" s="420"/>
      <c r="J37" s="420"/>
      <c r="K37" s="448"/>
      <c r="L37" s="448"/>
      <c r="M37" s="848">
        <f t="shared" si="0"/>
        <v>0</v>
      </c>
      <c r="N37" s="845">
        <f>M37*'CO₂係数 '!$I$33</f>
        <v>0</v>
      </c>
      <c r="O37" s="581"/>
      <c r="P37" s="420"/>
      <c r="Q37" s="420"/>
      <c r="R37" s="421"/>
      <c r="S37" s="420"/>
      <c r="T37" s="420"/>
      <c r="U37" s="427" t="str">
        <f t="shared" si="5"/>
        <v/>
      </c>
      <c r="V37" s="844">
        <f t="shared" si="1"/>
        <v>0</v>
      </c>
      <c r="W37" s="845">
        <f>V37*'CO₂係数 '!$I$33</f>
        <v>0</v>
      </c>
      <c r="X37" s="844">
        <f t="shared" si="6"/>
        <v>0</v>
      </c>
      <c r="Y37" s="846">
        <f t="shared" si="7"/>
        <v>0</v>
      </c>
      <c r="AA37" s="388">
        <f>M37*'CO₂係数 '!$C$33*0.0258</f>
        <v>0</v>
      </c>
      <c r="AB37" s="388">
        <f>V37*'CO₂係数 '!$C$33*0.0258</f>
        <v>0</v>
      </c>
      <c r="AD37" s="380">
        <f t="shared" si="2"/>
        <v>0</v>
      </c>
      <c r="AE37" s="380">
        <f t="shared" si="3"/>
        <v>0</v>
      </c>
    </row>
  </sheetData>
  <sheetProtection algorithmName="SHA-512" hashValue="KHxX/5Ea6NBnXLkvXtSUCh6eyCEowOWbnCgeRBbTuzMYzE3nrGu5yNfQV5Q6anJZ0EiH3wkwDZRIIcpQGwWa2Q==" saltValue="8DdH1RjqU7YgQt0pch63YQ==" spinCount="100000" sheet="1" objects="1" scenarios="1" formatCells="0"/>
  <mergeCells count="9">
    <mergeCell ref="S1:Y1"/>
    <mergeCell ref="A23:A24"/>
    <mergeCell ref="M4:N4"/>
    <mergeCell ref="B5:D5"/>
    <mergeCell ref="B6:D6"/>
    <mergeCell ref="B7:D7"/>
    <mergeCell ref="B4:D4"/>
    <mergeCell ref="M6:Y11"/>
    <mergeCell ref="O4:Y4"/>
  </mergeCells>
  <phoneticPr fontId="3"/>
  <conditionalFormatting sqref="I7">
    <cfRule type="expression" dxfId="45" priority="8">
      <formula>$D$1="なし"</formula>
    </cfRule>
  </conditionalFormatting>
  <conditionalFormatting sqref="F7:G7">
    <cfRule type="expression" dxfId="44" priority="7">
      <formula>$D$1="なし"</formula>
    </cfRule>
  </conditionalFormatting>
  <conditionalFormatting sqref="M6:P11">
    <cfRule type="expression" dxfId="43" priority="84">
      <formula>D27-Q27&lt;0</formula>
    </cfRule>
  </conditionalFormatting>
  <conditionalFormatting sqref="V6:Y11">
    <cfRule type="expression" dxfId="42" priority="86">
      <formula>L27-Z27&lt;0</formula>
    </cfRule>
  </conditionalFormatting>
  <conditionalFormatting sqref="Q6:U11">
    <cfRule type="expression" dxfId="41" priority="87">
      <formula>H27-V27&lt;0</formula>
    </cfRule>
  </conditionalFormatting>
  <conditionalFormatting sqref="Q27">
    <cfRule type="expression" dxfId="40" priority="1">
      <formula>$Q$27-$D$27&gt;0</formula>
    </cfRule>
  </conditionalFormatting>
  <dataValidations count="5">
    <dataValidation type="list" allowBlank="1" showInputMessage="1" showErrorMessage="1" sqref="O28:O37" xr:uid="{92DF47AA-142C-40A0-AEA4-0AF02BB92E2D}">
      <formula1>"●"</formula1>
    </dataValidation>
    <dataValidation type="list" allowBlank="1" showInputMessage="1" showErrorMessage="1" sqref="E26 E28:E37 R26 R28:R37" xr:uid="{4964E709-6FEE-41A4-991F-A5870BF5AD87}">
      <formula1>"三相,単相"</formula1>
    </dataValidation>
    <dataValidation type="decimal" allowBlank="1" showInputMessage="1" showErrorMessage="1" error="最大24（時間）までの数値を記入します。" sqref="J28:J37" xr:uid="{581C0865-5583-4C9F-9E4F-6DC8D819E71B}">
      <formula1>0</formula1>
      <formula2>24</formula2>
    </dataValidation>
    <dataValidation type="decimal" allowBlank="1" showInputMessage="1" showErrorMessage="1" error="最大365（日）までの数値を記入します。" sqref="I28:I37" xr:uid="{4011B119-B880-488C-A5DC-7E5ABD656DBB}">
      <formula1>0</formula1>
      <formula2>365</formula2>
    </dataValidation>
    <dataValidation type="whole" allowBlank="1" showInputMessage="1" showErrorMessage="1" error="西暦で記入。2009年以降は対象外となります。" sqref="C28:C37" xr:uid="{B5182636-D8E2-4B73-8131-B57940BDC665}">
      <formula1>1900</formula1>
      <formula2>2023</formula2>
    </dataValidation>
  </dataValidations>
  <pageMargins left="0.27559055118110237" right="0.19685039370078741" top="0.74803149606299213" bottom="0.55118110236220474" header="0.31496062992125984" footer="0.31496062992125984"/>
  <pageSetup paperSize="9" scale="70" orientation="landscape" r:id="rId1"/>
  <headerFooter>
    <oddHeader>&amp;L様式第1号（別紙）</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7EEA1-59F1-47F8-87E9-5764553D140E}">
  <sheetPr>
    <pageSetUpPr fitToPage="1"/>
  </sheetPr>
  <dimension ref="A1:CU89"/>
  <sheetViews>
    <sheetView view="pageBreakPreview" topLeftCell="B10" zoomScaleNormal="100" zoomScaleSheetLayoutView="100" workbookViewId="0">
      <selection activeCell="D20" sqref="D20"/>
    </sheetView>
  </sheetViews>
  <sheetFormatPr defaultColWidth="9" defaultRowHeight="18.75"/>
  <cols>
    <col min="1" max="1" width="3.25" style="137" customWidth="1"/>
    <col min="2" max="2" width="16.875" style="137" customWidth="1"/>
    <col min="3" max="4" width="8.5" style="137" customWidth="1"/>
    <col min="5" max="5" width="5.625" style="137" customWidth="1"/>
    <col min="6" max="6" width="6.875" style="137" customWidth="1"/>
    <col min="7" max="7" width="4.875" style="137" customWidth="1"/>
    <col min="8" max="8" width="7.375" style="137" customWidth="1"/>
    <col min="9" max="9" width="6.375" style="137" customWidth="1"/>
    <col min="10" max="11" width="6.625" style="137" customWidth="1"/>
    <col min="12" max="12" width="5.25" style="137" customWidth="1"/>
    <col min="13" max="13" width="5.625" style="137" customWidth="1"/>
    <col min="14" max="14" width="6.375" style="137" customWidth="1"/>
    <col min="15" max="15" width="5.625" style="137" customWidth="1"/>
    <col min="16" max="16" width="8.375" style="137" customWidth="1"/>
    <col min="17" max="17" width="7.375" style="137" customWidth="1"/>
    <col min="18" max="19" width="5.875" style="137" customWidth="1"/>
    <col min="20" max="20" width="7.375" style="137" customWidth="1"/>
    <col min="21" max="21" width="14.25" style="137" customWidth="1"/>
    <col min="22" max="22" width="4.75" style="137" customWidth="1"/>
    <col min="23" max="31" width="5.625" style="137" customWidth="1"/>
    <col min="32" max="32" width="8" style="137" customWidth="1"/>
    <col min="33" max="34" width="5.375" style="137" customWidth="1"/>
    <col min="35" max="35" width="6.5" style="137" customWidth="1"/>
    <col min="36" max="36" width="9.25" style="137" customWidth="1"/>
    <col min="37" max="37" width="7.375" style="137" customWidth="1"/>
    <col min="38" max="38" width="7" style="137" customWidth="1"/>
    <col min="39" max="61" width="5.625" style="137" customWidth="1"/>
    <col min="62" max="69" width="5.625" style="141" customWidth="1"/>
    <col min="70" max="96" width="9" style="141" customWidth="1"/>
    <col min="97" max="99" width="9" style="141"/>
    <col min="100" max="16384" width="9" style="137"/>
  </cols>
  <sheetData>
    <row r="1" spans="1:99" ht="28.5" customHeight="1">
      <c r="A1" s="69" t="s">
        <v>633</v>
      </c>
      <c r="AZ1" s="137" t="s">
        <v>575</v>
      </c>
      <c r="BA1" s="137" t="s">
        <v>576</v>
      </c>
      <c r="BE1" s="59" t="s">
        <v>543</v>
      </c>
      <c r="BF1" s="59"/>
      <c r="BG1" s="59" t="s">
        <v>544</v>
      </c>
      <c r="BH1" s="59" t="s">
        <v>545</v>
      </c>
      <c r="BI1" s="59" t="s">
        <v>546</v>
      </c>
      <c r="BJ1" s="59" t="s">
        <v>547</v>
      </c>
      <c r="BK1" s="59" t="s">
        <v>548</v>
      </c>
      <c r="BL1" s="153" t="s">
        <v>588</v>
      </c>
    </row>
    <row r="2" spans="1:99">
      <c r="A2" s="136" t="s">
        <v>312</v>
      </c>
      <c r="B2" s="1"/>
      <c r="C2" s="1"/>
      <c r="D2" s="1"/>
      <c r="E2" s="1"/>
      <c r="F2" s="1"/>
      <c r="G2" s="1"/>
      <c r="H2" s="1"/>
      <c r="I2" s="1"/>
      <c r="J2" s="6"/>
      <c r="K2" s="6"/>
      <c r="L2" s="1"/>
      <c r="R2" s="258"/>
      <c r="S2" s="258"/>
      <c r="T2" s="109" t="s">
        <v>314</v>
      </c>
      <c r="V2" s="108" t="s">
        <v>315</v>
      </c>
      <c r="X2" s="70"/>
      <c r="Y2" s="70"/>
      <c r="Z2" s="70"/>
      <c r="AA2" s="70"/>
      <c r="AB2" s="70"/>
      <c r="AC2" s="70"/>
      <c r="AD2" s="70"/>
      <c r="AE2" s="70"/>
      <c r="AF2" s="70"/>
      <c r="AG2" s="70"/>
      <c r="AH2" s="70"/>
      <c r="AZ2" s="137" t="s">
        <v>530</v>
      </c>
      <c r="BA2" s="137" t="s">
        <v>531</v>
      </c>
      <c r="BB2" s="137" t="s">
        <v>532</v>
      </c>
      <c r="BE2" s="277" t="s">
        <v>549</v>
      </c>
      <c r="BF2" s="59" t="s">
        <v>599</v>
      </c>
      <c r="BG2" s="278">
        <v>45</v>
      </c>
      <c r="BH2" s="279">
        <v>40.799999999999997</v>
      </c>
      <c r="BI2" s="59" t="s">
        <v>550</v>
      </c>
      <c r="BJ2" s="59" t="s">
        <v>551</v>
      </c>
      <c r="BK2" s="59" t="s">
        <v>592</v>
      </c>
      <c r="BL2" s="153">
        <v>2.2440000000000002</v>
      </c>
      <c r="BN2" s="153" t="s">
        <v>543</v>
      </c>
      <c r="BO2" s="153"/>
    </row>
    <row r="3" spans="1:99" ht="20.100000000000001" customHeight="1">
      <c r="A3" s="1"/>
      <c r="B3" s="923" t="s">
        <v>0</v>
      </c>
      <c r="C3" s="924"/>
      <c r="D3" s="924"/>
      <c r="E3" s="924"/>
      <c r="F3" s="925"/>
      <c r="G3" s="130" t="s">
        <v>598</v>
      </c>
      <c r="H3" s="950" t="s">
        <v>2</v>
      </c>
      <c r="I3" s="951"/>
      <c r="J3" s="950" t="s">
        <v>3</v>
      </c>
      <c r="K3" s="985"/>
      <c r="L3" s="951"/>
      <c r="M3" s="950" t="s">
        <v>4</v>
      </c>
      <c r="N3" s="951"/>
      <c r="O3" s="217" t="s">
        <v>5</v>
      </c>
      <c r="T3" s="943" t="s">
        <v>11</v>
      </c>
      <c r="U3" s="944"/>
      <c r="V3" s="1056" t="str">
        <f>IF(AJ26="","",IF(OR(E26&lt;W26,L26&lt;AB26),"定格出力が増加しています。下蘭に事由を記載してください。",""))</f>
        <v/>
      </c>
      <c r="W3" s="1057"/>
      <c r="X3" s="1057"/>
      <c r="Y3" s="1057"/>
      <c r="Z3" s="1057"/>
      <c r="AA3" s="1057"/>
      <c r="AB3" s="1057"/>
      <c r="AC3" s="1057"/>
      <c r="AD3" s="1057"/>
      <c r="AE3" s="1057"/>
      <c r="AF3" s="1057"/>
      <c r="AG3" s="1057"/>
      <c r="AH3" s="1057"/>
      <c r="AI3" s="1057"/>
      <c r="AJ3" s="1057"/>
      <c r="AK3" s="1057"/>
      <c r="AL3" s="1058"/>
      <c r="AW3" s="250"/>
      <c r="AZ3" s="137" t="s">
        <v>534</v>
      </c>
      <c r="BA3" s="137" t="s">
        <v>535</v>
      </c>
      <c r="BB3" s="137" t="s">
        <v>536</v>
      </c>
      <c r="BE3" s="280"/>
      <c r="BF3" s="283" t="s">
        <v>573</v>
      </c>
      <c r="BG3" s="59">
        <v>50.8</v>
      </c>
      <c r="BH3" s="59">
        <v>45.8</v>
      </c>
      <c r="BI3" s="59" t="s">
        <v>552</v>
      </c>
      <c r="BJ3" s="59" t="s">
        <v>553</v>
      </c>
      <c r="BK3" s="59" t="s">
        <v>554</v>
      </c>
      <c r="BL3" s="153">
        <v>2.9988999999999999</v>
      </c>
      <c r="BN3" s="345" t="s">
        <v>530</v>
      </c>
      <c r="BO3" s="153" t="s">
        <v>599</v>
      </c>
      <c r="CH3" s="137"/>
      <c r="CI3" s="137"/>
      <c r="CJ3" s="137"/>
      <c r="CK3" s="137"/>
      <c r="CL3" s="137"/>
      <c r="CM3" s="137"/>
      <c r="CN3" s="137"/>
      <c r="CO3" s="137"/>
      <c r="CP3" s="137"/>
      <c r="CQ3" s="137"/>
      <c r="CR3" s="137"/>
      <c r="CS3" s="137"/>
      <c r="CT3" s="137"/>
      <c r="CU3" s="137"/>
    </row>
    <row r="4" spans="1:99" ht="20.100000000000001" customHeight="1">
      <c r="A4" s="1"/>
      <c r="B4" s="923" t="s">
        <v>55</v>
      </c>
      <c r="C4" s="924"/>
      <c r="D4" s="924"/>
      <c r="E4" s="924"/>
      <c r="F4" s="925"/>
      <c r="G4" s="393"/>
      <c r="H4" s="1048">
        <f>Q26</f>
        <v>126356.58914728681</v>
      </c>
      <c r="I4" s="1049"/>
      <c r="J4" s="1048">
        <f>AF26</f>
        <v>65292.996270203075</v>
      </c>
      <c r="K4" s="1050"/>
      <c r="L4" s="1049"/>
      <c r="M4" s="1048">
        <f>H4-J4</f>
        <v>61063.592877083734</v>
      </c>
      <c r="N4" s="1049"/>
      <c r="O4" s="219">
        <f>IFERROR(M4/H4,0)</f>
        <v>0.48326401724808604</v>
      </c>
      <c r="T4" s="19" t="s">
        <v>6</v>
      </c>
      <c r="U4" s="111"/>
      <c r="V4" s="111"/>
      <c r="W4" s="111"/>
      <c r="X4" s="111"/>
      <c r="Y4" s="111"/>
      <c r="Z4" s="111"/>
      <c r="AA4" s="111"/>
      <c r="AB4" s="111"/>
      <c r="AC4" s="111"/>
      <c r="AD4" s="111"/>
      <c r="AE4" s="111"/>
      <c r="AF4" s="111"/>
      <c r="AG4" s="111"/>
      <c r="AH4" s="111"/>
      <c r="AI4" s="111"/>
      <c r="AJ4" s="111"/>
      <c r="AK4" s="111"/>
      <c r="AL4" s="112"/>
      <c r="AX4" s="252"/>
      <c r="AZ4" s="137" t="s">
        <v>537</v>
      </c>
      <c r="BA4" s="137" t="s">
        <v>538</v>
      </c>
      <c r="BB4" s="137" t="s">
        <v>539</v>
      </c>
      <c r="BE4" s="280"/>
      <c r="BF4" s="283" t="s">
        <v>574</v>
      </c>
      <c r="BG4" s="284">
        <f>50.8/0.482</f>
        <v>105.39419087136929</v>
      </c>
      <c r="BH4" s="285">
        <f>45.8/0.482</f>
        <v>95.020746887966808</v>
      </c>
      <c r="BI4" s="286" t="s">
        <v>509</v>
      </c>
      <c r="BJ4" s="286" t="s">
        <v>590</v>
      </c>
      <c r="BK4" s="59" t="s">
        <v>592</v>
      </c>
      <c r="BL4" s="153">
        <v>6.22</v>
      </c>
      <c r="BN4" s="347"/>
      <c r="BO4" s="153" t="s">
        <v>572</v>
      </c>
      <c r="CH4" s="137"/>
      <c r="CI4" s="137"/>
      <c r="CJ4" s="137"/>
      <c r="CK4" s="137"/>
      <c r="CL4" s="137"/>
      <c r="CM4" s="137"/>
      <c r="CN4" s="137"/>
      <c r="CO4" s="137"/>
      <c r="CP4" s="137"/>
      <c r="CQ4" s="137"/>
      <c r="CR4" s="137"/>
      <c r="CS4" s="137"/>
      <c r="CT4" s="137"/>
      <c r="CU4" s="137"/>
    </row>
    <row r="5" spans="1:99" ht="20.100000000000001" customHeight="1">
      <c r="A5" s="1"/>
      <c r="B5" s="923" t="s">
        <v>7</v>
      </c>
      <c r="C5" s="924"/>
      <c r="D5" s="924"/>
      <c r="E5" s="924"/>
      <c r="F5" s="925"/>
      <c r="G5" s="392" t="s">
        <v>643</v>
      </c>
      <c r="H5" s="1060"/>
      <c r="I5" s="1061"/>
      <c r="J5" s="1060"/>
      <c r="K5" s="1062"/>
      <c r="L5" s="1061"/>
      <c r="M5" s="1060"/>
      <c r="N5" s="1061"/>
      <c r="O5" s="153"/>
      <c r="T5" s="1063"/>
      <c r="U5" s="1064"/>
      <c r="V5" s="1064"/>
      <c r="W5" s="1064"/>
      <c r="X5" s="1064"/>
      <c r="Y5" s="1064"/>
      <c r="Z5" s="1064"/>
      <c r="AA5" s="1064"/>
      <c r="AB5" s="1064"/>
      <c r="AC5" s="1064"/>
      <c r="AD5" s="1064"/>
      <c r="AE5" s="1064"/>
      <c r="AF5" s="1064"/>
      <c r="AG5" s="1064"/>
      <c r="AH5" s="1064"/>
      <c r="AI5" s="1064"/>
      <c r="AJ5" s="1064"/>
      <c r="AK5" s="1064"/>
      <c r="AL5" s="1065"/>
      <c r="AX5" s="252"/>
      <c r="AZ5" s="137" t="s">
        <v>577</v>
      </c>
      <c r="BA5" s="137" t="s">
        <v>531</v>
      </c>
      <c r="BB5" s="137" t="s">
        <v>532</v>
      </c>
      <c r="BE5" s="280"/>
      <c r="BF5" s="59" t="s">
        <v>510</v>
      </c>
      <c r="BG5" s="59">
        <v>54.6</v>
      </c>
      <c r="BH5" s="59">
        <v>49.2</v>
      </c>
      <c r="BI5" s="59" t="s">
        <v>552</v>
      </c>
      <c r="BJ5" s="59" t="s">
        <v>553</v>
      </c>
      <c r="BK5" s="59" t="s">
        <v>554</v>
      </c>
      <c r="BL5" s="153">
        <v>2.7027000000000001</v>
      </c>
      <c r="BN5" s="347"/>
      <c r="BO5" s="153" t="s">
        <v>609</v>
      </c>
      <c r="CH5" s="137"/>
      <c r="CI5" s="137"/>
      <c r="CJ5" s="137"/>
      <c r="CK5" s="137"/>
      <c r="CL5" s="137"/>
      <c r="CM5" s="137"/>
      <c r="CN5" s="137"/>
      <c r="CO5" s="137"/>
      <c r="CP5" s="137"/>
      <c r="CQ5" s="137"/>
      <c r="CR5" s="137"/>
      <c r="CS5" s="137"/>
      <c r="CT5" s="137"/>
      <c r="CU5" s="137"/>
    </row>
    <row r="6" spans="1:99" ht="20.100000000000001" customHeight="1">
      <c r="A6" s="1"/>
      <c r="B6" s="923" t="s">
        <v>9</v>
      </c>
      <c r="C6" s="924"/>
      <c r="D6" s="924"/>
      <c r="E6" s="924"/>
      <c r="F6" s="925"/>
      <c r="G6" s="125" t="s">
        <v>484</v>
      </c>
      <c r="H6" s="1051">
        <f>T26</f>
        <v>295.4674418604651</v>
      </c>
      <c r="I6" s="1052"/>
      <c r="J6" s="1051">
        <f>AI26</f>
        <v>195.80716651471201</v>
      </c>
      <c r="K6" s="1053"/>
      <c r="L6" s="1052"/>
      <c r="M6" s="1054">
        <f>H6-J6</f>
        <v>99.660275345753092</v>
      </c>
      <c r="N6" s="1055"/>
      <c r="O6" s="219">
        <f>IFERROR(M6/H6,0)</f>
        <v>0.33729697836832323</v>
      </c>
      <c r="T6" s="1066"/>
      <c r="U6" s="1067"/>
      <c r="V6" s="1067"/>
      <c r="W6" s="1067"/>
      <c r="X6" s="1067"/>
      <c r="Y6" s="1067"/>
      <c r="Z6" s="1067"/>
      <c r="AA6" s="1067"/>
      <c r="AB6" s="1067"/>
      <c r="AC6" s="1067"/>
      <c r="AD6" s="1067"/>
      <c r="AE6" s="1067"/>
      <c r="AF6" s="1067"/>
      <c r="AG6" s="1067"/>
      <c r="AH6" s="1067"/>
      <c r="AI6" s="1067"/>
      <c r="AJ6" s="1067"/>
      <c r="AK6" s="1067"/>
      <c r="AL6" s="1068"/>
      <c r="AX6" s="252"/>
      <c r="BE6" s="281"/>
      <c r="BF6" s="59" t="s">
        <v>571</v>
      </c>
      <c r="BG6" s="59">
        <f>W16</f>
        <v>0</v>
      </c>
      <c r="BH6" s="59">
        <f>W17</f>
        <v>0</v>
      </c>
      <c r="BI6" s="59" t="s">
        <v>531</v>
      </c>
      <c r="BJ6" s="59" t="s">
        <v>533</v>
      </c>
      <c r="BK6" s="59" t="s">
        <v>554</v>
      </c>
      <c r="BL6" s="153">
        <f>W18</f>
        <v>0</v>
      </c>
      <c r="BN6" s="347"/>
      <c r="BO6" s="153" t="s">
        <v>589</v>
      </c>
      <c r="CH6" s="137"/>
      <c r="CI6" s="137"/>
      <c r="CJ6" s="137"/>
      <c r="CK6" s="137"/>
      <c r="CL6" s="137"/>
      <c r="CM6" s="137"/>
      <c r="CN6" s="137"/>
      <c r="CO6" s="137"/>
      <c r="CP6" s="137"/>
      <c r="CQ6" s="137"/>
      <c r="CR6" s="137"/>
      <c r="CS6" s="137"/>
      <c r="CT6" s="137"/>
      <c r="CU6" s="137"/>
    </row>
    <row r="7" spans="1:99" ht="20.100000000000001" customHeight="1">
      <c r="A7" s="1"/>
      <c r="B7" s="400" t="s">
        <v>12</v>
      </c>
      <c r="C7" s="401"/>
      <c r="D7" s="401"/>
      <c r="E7" s="401"/>
      <c r="F7" s="402"/>
      <c r="G7" s="125" t="s">
        <v>13</v>
      </c>
      <c r="H7" s="1054">
        <f>AS26</f>
        <v>125015.99999999999</v>
      </c>
      <c r="I7" s="1055"/>
      <c r="J7" s="1054">
        <f>AY26</f>
        <v>85575.612631578959</v>
      </c>
      <c r="K7" s="1059"/>
      <c r="L7" s="1055"/>
      <c r="M7" s="1054">
        <f>H7-J7</f>
        <v>39440.387368421027</v>
      </c>
      <c r="N7" s="1055"/>
      <c r="O7" s="219">
        <f>IFERROR(M7/H7,0)</f>
        <v>0.31548271715957182</v>
      </c>
      <c r="R7" s="261"/>
      <c r="S7" s="261"/>
      <c r="T7" s="1066"/>
      <c r="U7" s="1067"/>
      <c r="V7" s="1067"/>
      <c r="W7" s="1067"/>
      <c r="X7" s="1067"/>
      <c r="Y7" s="1067"/>
      <c r="Z7" s="1067"/>
      <c r="AA7" s="1067"/>
      <c r="AB7" s="1067"/>
      <c r="AC7" s="1067"/>
      <c r="AD7" s="1067"/>
      <c r="AE7" s="1067"/>
      <c r="AF7" s="1067"/>
      <c r="AG7" s="1067"/>
      <c r="AH7" s="1067"/>
      <c r="AI7" s="1067"/>
      <c r="AJ7" s="1067"/>
      <c r="AK7" s="1067"/>
      <c r="AL7" s="1068"/>
      <c r="AX7" s="252"/>
      <c r="BE7" s="277" t="s">
        <v>555</v>
      </c>
      <c r="BF7" s="59" t="s">
        <v>556</v>
      </c>
      <c r="BG7" s="59">
        <v>36.700000000000003</v>
      </c>
      <c r="BH7" s="59">
        <v>34.200000000000003</v>
      </c>
      <c r="BI7" s="59" t="s">
        <v>557</v>
      </c>
      <c r="BJ7" s="59" t="s">
        <v>558</v>
      </c>
      <c r="BK7" s="59" t="s">
        <v>559</v>
      </c>
      <c r="BL7" s="153">
        <v>2.4895</v>
      </c>
      <c r="BN7" s="345" t="s">
        <v>555</v>
      </c>
      <c r="BO7" s="153" t="s">
        <v>556</v>
      </c>
      <c r="CH7" s="137"/>
      <c r="CI7" s="137"/>
      <c r="CJ7" s="137"/>
      <c r="CK7" s="137"/>
      <c r="CL7" s="137"/>
      <c r="CM7" s="137"/>
      <c r="CN7" s="137"/>
      <c r="CO7" s="137"/>
      <c r="CP7" s="137"/>
      <c r="CQ7" s="137"/>
      <c r="CR7" s="137"/>
      <c r="CS7" s="137"/>
      <c r="CT7" s="137"/>
      <c r="CU7" s="137"/>
    </row>
    <row r="8" spans="1:99" ht="19.5" customHeight="1">
      <c r="B8" s="298"/>
      <c r="C8" s="298"/>
      <c r="D8" s="298"/>
      <c r="E8" s="298"/>
      <c r="F8" s="298"/>
      <c r="G8" s="294"/>
      <c r="H8" s="299"/>
      <c r="I8" s="299"/>
      <c r="J8" s="299"/>
      <c r="K8" s="299"/>
      <c r="L8" s="299"/>
      <c r="M8" s="299"/>
      <c r="N8" s="299"/>
      <c r="O8" s="299"/>
      <c r="R8" s="260"/>
      <c r="S8" s="260"/>
      <c r="T8" s="1066"/>
      <c r="U8" s="1067"/>
      <c r="V8" s="1067"/>
      <c r="W8" s="1067"/>
      <c r="X8" s="1067"/>
      <c r="Y8" s="1067"/>
      <c r="Z8" s="1067"/>
      <c r="AA8" s="1067"/>
      <c r="AB8" s="1067"/>
      <c r="AC8" s="1067"/>
      <c r="AD8" s="1067"/>
      <c r="AE8" s="1067"/>
      <c r="AF8" s="1067"/>
      <c r="AG8" s="1067"/>
      <c r="AH8" s="1067"/>
      <c r="AI8" s="1067"/>
      <c r="AJ8" s="1067"/>
      <c r="AK8" s="1067"/>
      <c r="AL8" s="1068"/>
      <c r="AX8" s="252"/>
      <c r="BA8" s="59" t="s">
        <v>531</v>
      </c>
      <c r="BB8" s="141" t="s">
        <v>606</v>
      </c>
      <c r="BE8" s="280"/>
      <c r="BF8" s="59" t="s">
        <v>560</v>
      </c>
      <c r="BG8" s="59">
        <v>37.700000000000003</v>
      </c>
      <c r="BH8" s="59">
        <v>35.1</v>
      </c>
      <c r="BI8" s="59" t="s">
        <v>557</v>
      </c>
      <c r="BJ8" s="59" t="s">
        <v>558</v>
      </c>
      <c r="BK8" s="59" t="s">
        <v>559</v>
      </c>
      <c r="BL8" s="153">
        <v>2.585</v>
      </c>
      <c r="BN8" s="347"/>
      <c r="BO8" s="153" t="s">
        <v>560</v>
      </c>
      <c r="CH8" s="137"/>
      <c r="CI8" s="137"/>
      <c r="CJ8" s="137"/>
      <c r="CK8" s="137"/>
      <c r="CL8" s="137"/>
      <c r="CM8" s="137"/>
      <c r="CN8" s="137"/>
      <c r="CO8" s="137"/>
      <c r="CP8" s="137"/>
      <c r="CQ8" s="137"/>
      <c r="CR8" s="137"/>
      <c r="CS8" s="137"/>
      <c r="CT8" s="137"/>
      <c r="CU8" s="137"/>
    </row>
    <row r="9" spans="1:99" ht="20.25" customHeight="1">
      <c r="A9" s="109" t="s">
        <v>313</v>
      </c>
      <c r="T9" s="1066"/>
      <c r="U9" s="1067"/>
      <c r="V9" s="1067"/>
      <c r="W9" s="1067"/>
      <c r="X9" s="1067"/>
      <c r="Y9" s="1067"/>
      <c r="Z9" s="1067"/>
      <c r="AA9" s="1067"/>
      <c r="AB9" s="1067"/>
      <c r="AC9" s="1067"/>
      <c r="AD9" s="1067"/>
      <c r="AE9" s="1067"/>
      <c r="AF9" s="1067"/>
      <c r="AG9" s="1067"/>
      <c r="AH9" s="1067"/>
      <c r="AI9" s="1067"/>
      <c r="AJ9" s="1067"/>
      <c r="AK9" s="1067"/>
      <c r="AL9" s="1068"/>
      <c r="BA9" s="59" t="s">
        <v>557</v>
      </c>
      <c r="BB9" s="141" t="s">
        <v>608</v>
      </c>
      <c r="BE9" s="280"/>
      <c r="BF9" s="59" t="s">
        <v>561</v>
      </c>
      <c r="BG9" s="59">
        <v>39.1</v>
      </c>
      <c r="BH9" s="59">
        <v>36.6</v>
      </c>
      <c r="BI9" s="59" t="s">
        <v>557</v>
      </c>
      <c r="BJ9" s="59" t="s">
        <v>558</v>
      </c>
      <c r="BK9" s="59" t="s">
        <v>559</v>
      </c>
      <c r="BL9" s="153">
        <v>2.7096</v>
      </c>
      <c r="BN9" s="347"/>
      <c r="BO9" s="153" t="s">
        <v>561</v>
      </c>
      <c r="BR9" s="141" t="s">
        <v>644</v>
      </c>
      <c r="CH9" s="137"/>
      <c r="CI9" s="137"/>
      <c r="CJ9" s="137"/>
      <c r="CK9" s="137"/>
      <c r="CL9" s="137"/>
      <c r="CM9" s="137"/>
      <c r="CN9" s="137"/>
      <c r="CO9" s="137"/>
      <c r="CP9" s="137"/>
      <c r="CQ9" s="137"/>
      <c r="CR9" s="137"/>
      <c r="CS9" s="137"/>
      <c r="CT9" s="137"/>
      <c r="CU9" s="137"/>
    </row>
    <row r="10" spans="1:99" ht="20.25" customHeight="1">
      <c r="T10" s="1069"/>
      <c r="U10" s="1070"/>
      <c r="V10" s="1070"/>
      <c r="W10" s="1070"/>
      <c r="X10" s="1070"/>
      <c r="Y10" s="1070"/>
      <c r="Z10" s="1070"/>
      <c r="AA10" s="1070"/>
      <c r="AB10" s="1070"/>
      <c r="AC10" s="1070"/>
      <c r="AD10" s="1070"/>
      <c r="AE10" s="1070"/>
      <c r="AF10" s="1070"/>
      <c r="AG10" s="1070"/>
      <c r="AH10" s="1070"/>
      <c r="AI10" s="1070"/>
      <c r="AJ10" s="1070"/>
      <c r="AK10" s="1070"/>
      <c r="AL10" s="1071"/>
      <c r="AV10" s="153"/>
      <c r="AX10" s="153"/>
      <c r="BA10" s="59" t="s">
        <v>565</v>
      </c>
      <c r="BB10" s="141" t="s">
        <v>607</v>
      </c>
      <c r="BE10" s="280"/>
      <c r="BF10" s="59" t="s">
        <v>562</v>
      </c>
      <c r="BG10" s="59">
        <v>41.9</v>
      </c>
      <c r="BH10" s="59">
        <v>39.4</v>
      </c>
      <c r="BI10" s="59" t="s">
        <v>557</v>
      </c>
      <c r="BJ10" s="59" t="s">
        <v>558</v>
      </c>
      <c r="BK10" s="59" t="s">
        <v>559</v>
      </c>
      <c r="BL10" s="153">
        <v>2.7955999999999999</v>
      </c>
      <c r="BN10" s="347"/>
      <c r="BO10" s="153" t="s">
        <v>562</v>
      </c>
      <c r="BR10" s="141" t="s">
        <v>645</v>
      </c>
      <c r="CH10" s="137"/>
      <c r="CI10" s="137"/>
      <c r="CJ10" s="137"/>
      <c r="CK10" s="137"/>
      <c r="CL10" s="137"/>
      <c r="CM10" s="137"/>
      <c r="CN10" s="137"/>
      <c r="CO10" s="137"/>
      <c r="CP10" s="137"/>
      <c r="CQ10" s="137"/>
      <c r="CR10" s="137"/>
      <c r="CS10" s="137"/>
      <c r="CT10" s="137"/>
      <c r="CU10" s="137"/>
    </row>
    <row r="11" spans="1:99" ht="20.25" customHeight="1">
      <c r="U11" s="257"/>
      <c r="V11" s="257"/>
      <c r="W11" s="257"/>
      <c r="X11" s="257"/>
      <c r="Y11" s="257"/>
      <c r="Z11" s="257"/>
      <c r="AA11" s="257"/>
      <c r="AB11" s="257"/>
      <c r="AC11" s="257"/>
      <c r="AD11" s="257"/>
      <c r="AE11" s="257"/>
      <c r="AF11" s="257"/>
      <c r="AG11" s="257"/>
      <c r="AH11" s="257"/>
      <c r="AI11" s="257"/>
      <c r="AJ11" s="257"/>
      <c r="AK11" s="257"/>
      <c r="AL11" s="257"/>
      <c r="AM11" s="257"/>
      <c r="BE11" s="280"/>
      <c r="BF11" s="59" t="s">
        <v>563</v>
      </c>
      <c r="BG11" s="59">
        <v>41.9</v>
      </c>
      <c r="BH11" s="59">
        <v>39.4</v>
      </c>
      <c r="BI11" s="59" t="s">
        <v>557</v>
      </c>
      <c r="BJ11" s="59" t="s">
        <v>558</v>
      </c>
      <c r="BK11" s="59" t="s">
        <v>559</v>
      </c>
      <c r="BL11" s="153">
        <v>2.7955999999999999</v>
      </c>
      <c r="BN11" s="348"/>
      <c r="BO11" s="153" t="s">
        <v>563</v>
      </c>
      <c r="BR11" s="141" t="s">
        <v>675</v>
      </c>
      <c r="CH11" s="137"/>
      <c r="CI11" s="137"/>
      <c r="CJ11" s="137"/>
      <c r="CK11" s="137"/>
      <c r="CL11" s="137"/>
      <c r="CM11" s="137"/>
      <c r="CN11" s="137"/>
      <c r="CO11" s="137"/>
      <c r="CP11" s="137"/>
      <c r="CQ11" s="137"/>
      <c r="CR11" s="137"/>
      <c r="CS11" s="137"/>
      <c r="CT11" s="137"/>
      <c r="CU11" s="137"/>
    </row>
    <row r="12" spans="1:99" ht="20.25" customHeight="1">
      <c r="V12" s="184"/>
      <c r="W12" s="184"/>
      <c r="X12" s="184"/>
      <c r="Y12" s="257"/>
      <c r="Z12" s="257"/>
      <c r="AA12" s="257"/>
      <c r="AB12" s="257"/>
      <c r="AC12" s="257"/>
      <c r="AD12" s="257"/>
      <c r="AE12" s="257"/>
      <c r="AF12" s="257"/>
      <c r="AG12" s="257"/>
      <c r="AH12" s="257"/>
      <c r="AI12" s="257"/>
      <c r="AJ12" s="257"/>
      <c r="AK12" s="257"/>
      <c r="AL12" s="257"/>
      <c r="AM12" s="257"/>
      <c r="BE12" s="281"/>
      <c r="BF12" s="59" t="s">
        <v>569</v>
      </c>
      <c r="BG12" s="59">
        <f>W16</f>
        <v>0</v>
      </c>
      <c r="BH12" s="59">
        <f>W17</f>
        <v>0</v>
      </c>
      <c r="BI12" s="59" t="s">
        <v>557</v>
      </c>
      <c r="BJ12" s="59" t="s">
        <v>558</v>
      </c>
      <c r="BK12" s="59" t="s">
        <v>559</v>
      </c>
      <c r="BL12" s="153">
        <f>W18</f>
        <v>0</v>
      </c>
      <c r="BN12" s="153" t="s">
        <v>564</v>
      </c>
      <c r="BO12" s="153" t="s">
        <v>537</v>
      </c>
      <c r="BR12" s="141" t="s">
        <v>646</v>
      </c>
      <c r="CH12" s="137"/>
      <c r="CI12" s="137"/>
      <c r="CJ12" s="137"/>
      <c r="CK12" s="137"/>
      <c r="CL12" s="137"/>
      <c r="CM12" s="137"/>
      <c r="CN12" s="137"/>
      <c r="CO12" s="137"/>
      <c r="CP12" s="137"/>
      <c r="CQ12" s="137"/>
      <c r="CR12" s="137"/>
      <c r="CS12" s="137"/>
      <c r="CT12" s="137"/>
      <c r="CU12" s="137"/>
    </row>
    <row r="13" spans="1:99" ht="12" customHeight="1">
      <c r="U13" s="137" t="s">
        <v>642</v>
      </c>
      <c r="V13" s="257"/>
      <c r="W13" s="257"/>
      <c r="X13" s="257"/>
      <c r="Y13" s="257"/>
      <c r="Z13" s="257"/>
      <c r="AA13" s="257"/>
      <c r="AB13" s="257"/>
      <c r="AC13" s="257"/>
      <c r="AD13" s="257"/>
      <c r="AE13" s="257"/>
      <c r="AF13" s="257"/>
      <c r="AG13" s="257"/>
      <c r="AH13" s="257"/>
      <c r="AI13" s="257"/>
      <c r="AJ13" s="257"/>
      <c r="AK13" s="257"/>
      <c r="AL13" s="257"/>
      <c r="AM13" s="257"/>
      <c r="BE13" s="277" t="s">
        <v>564</v>
      </c>
      <c r="BF13" s="59" t="s">
        <v>537</v>
      </c>
      <c r="BG13" s="282">
        <v>3.6</v>
      </c>
      <c r="BH13" s="59">
        <v>3.6</v>
      </c>
      <c r="BI13" s="59" t="s">
        <v>565</v>
      </c>
      <c r="BJ13" s="346" t="s">
        <v>566</v>
      </c>
      <c r="BK13" s="59" t="s">
        <v>567</v>
      </c>
      <c r="BL13" s="153">
        <v>0.495</v>
      </c>
      <c r="BN13" s="345" t="s">
        <v>568</v>
      </c>
      <c r="BO13" s="153" t="s">
        <v>541</v>
      </c>
      <c r="BR13" s="141" t="s">
        <v>660</v>
      </c>
      <c r="CH13" s="137"/>
      <c r="CI13" s="137"/>
      <c r="CJ13" s="137"/>
      <c r="CK13" s="137"/>
      <c r="CL13" s="137"/>
      <c r="CM13" s="137"/>
      <c r="CN13" s="137"/>
      <c r="CO13" s="137"/>
      <c r="CP13" s="137"/>
      <c r="CQ13" s="137"/>
      <c r="CR13" s="137"/>
      <c r="CS13" s="137"/>
      <c r="CT13" s="137"/>
      <c r="CU13" s="137"/>
    </row>
    <row r="14" spans="1:99" ht="20.25" customHeight="1">
      <c r="U14" s="350" t="s">
        <v>578</v>
      </c>
      <c r="V14" s="1072" t="s">
        <v>530</v>
      </c>
      <c r="W14" s="1073"/>
      <c r="X14" s="1074"/>
      <c r="Y14" s="257"/>
      <c r="Z14" s="257"/>
      <c r="AA14" s="257"/>
      <c r="AB14" s="257"/>
      <c r="AC14" s="257"/>
      <c r="AD14" s="257"/>
      <c r="AE14" s="257"/>
      <c r="AF14" s="257"/>
      <c r="AG14" s="257"/>
      <c r="AH14" s="257"/>
      <c r="AI14" s="257"/>
      <c r="AJ14" s="257"/>
      <c r="AK14" s="257"/>
      <c r="AL14" s="257"/>
      <c r="AM14" s="257"/>
      <c r="BE14" s="281"/>
      <c r="BF14" s="59" t="s">
        <v>570</v>
      </c>
      <c r="BG14" s="59">
        <f>W16</f>
        <v>0</v>
      </c>
      <c r="BH14" s="59">
        <f>W17</f>
        <v>0</v>
      </c>
      <c r="BI14" s="59" t="s">
        <v>531</v>
      </c>
      <c r="BJ14" s="59" t="s">
        <v>566</v>
      </c>
      <c r="BK14" s="59" t="s">
        <v>567</v>
      </c>
      <c r="BL14" s="153">
        <f>W18</f>
        <v>0</v>
      </c>
      <c r="BN14" s="348"/>
      <c r="BO14" s="153" t="s">
        <v>542</v>
      </c>
      <c r="BR14" s="141" t="s">
        <v>659</v>
      </c>
    </row>
    <row r="15" spans="1:99" ht="20.25" customHeight="1">
      <c r="A15" s="214"/>
      <c r="B15" s="327"/>
      <c r="C15" s="327"/>
      <c r="D15" s="327"/>
      <c r="E15" s="328"/>
      <c r="F15" s="328"/>
      <c r="G15" s="328"/>
      <c r="H15" s="328"/>
      <c r="I15" s="328"/>
      <c r="J15" s="329"/>
      <c r="K15" s="329"/>
      <c r="L15" s="329"/>
      <c r="M15" s="328"/>
      <c r="N15" s="254"/>
      <c r="O15" s="254"/>
      <c r="P15" s="254"/>
      <c r="Q15" s="329"/>
      <c r="R15" s="329"/>
      <c r="S15" s="329"/>
      <c r="T15" s="254"/>
      <c r="U15" s="351" t="s">
        <v>605</v>
      </c>
      <c r="V15" s="355" t="s">
        <v>598</v>
      </c>
      <c r="W15" s="1072" t="s">
        <v>599</v>
      </c>
      <c r="X15" s="1074"/>
      <c r="Y15" s="215"/>
      <c r="Z15" s="215"/>
      <c r="AA15" s="215"/>
      <c r="AB15" s="215"/>
      <c r="AC15" s="215"/>
      <c r="AD15" s="215"/>
      <c r="AE15" s="215"/>
      <c r="AF15" s="216"/>
      <c r="AG15" s="216"/>
      <c r="AH15" s="216"/>
      <c r="AI15" s="216"/>
      <c r="AJ15" s="216"/>
      <c r="AK15" s="216"/>
      <c r="AL15" s="216"/>
      <c r="AM15" s="216"/>
      <c r="AN15" s="216"/>
      <c r="AO15" s="216"/>
      <c r="BE15" s="277" t="s">
        <v>568</v>
      </c>
      <c r="BF15" s="59" t="s">
        <v>541</v>
      </c>
      <c r="BG15" s="59">
        <v>25.7</v>
      </c>
      <c r="BH15" s="59">
        <v>24.4</v>
      </c>
      <c r="BI15" s="59" t="s">
        <v>552</v>
      </c>
      <c r="BJ15" s="59" t="s">
        <v>553</v>
      </c>
      <c r="BK15" s="59" t="s">
        <v>554</v>
      </c>
      <c r="BL15" s="153">
        <v>2.3275999999999999</v>
      </c>
      <c r="BR15" s="141" t="s">
        <v>666</v>
      </c>
    </row>
    <row r="16" spans="1:99" ht="20.25" customHeight="1">
      <c r="A16" s="214"/>
      <c r="B16" s="327"/>
      <c r="C16" s="327"/>
      <c r="D16" s="327"/>
      <c r="E16" s="328"/>
      <c r="F16" s="328"/>
      <c r="G16" s="328"/>
      <c r="H16" s="328"/>
      <c r="I16" s="328"/>
      <c r="J16" s="329"/>
      <c r="K16" s="329"/>
      <c r="L16" s="329"/>
      <c r="M16" s="328"/>
      <c r="N16" s="254"/>
      <c r="O16" s="254"/>
      <c r="P16" s="254"/>
      <c r="Q16" s="329"/>
      <c r="R16" s="254"/>
      <c r="S16" s="254"/>
      <c r="T16" s="262"/>
      <c r="U16" s="352" t="s">
        <v>602</v>
      </c>
      <c r="V16" s="349" t="s">
        <v>531</v>
      </c>
      <c r="W16" s="1075"/>
      <c r="X16" s="1076"/>
      <c r="Y16" s="215"/>
      <c r="Z16" s="215"/>
      <c r="AA16" s="215"/>
      <c r="AB16" s="215"/>
      <c r="AC16" s="215"/>
      <c r="AD16" s="215"/>
      <c r="AE16" s="215"/>
      <c r="AF16" s="216"/>
      <c r="AG16" s="216"/>
      <c r="AH16" s="216"/>
      <c r="AI16" s="216"/>
      <c r="AJ16" s="216"/>
      <c r="AK16" s="216"/>
      <c r="AL16" s="216"/>
      <c r="AM16" s="216"/>
      <c r="AN16" s="216"/>
      <c r="AO16" s="216"/>
      <c r="BE16" s="280"/>
      <c r="BF16" s="59" t="s">
        <v>542</v>
      </c>
      <c r="BG16" s="59">
        <v>29.4</v>
      </c>
      <c r="BH16" s="59">
        <v>27.9</v>
      </c>
      <c r="BI16" s="59" t="s">
        <v>552</v>
      </c>
      <c r="BJ16" s="59" t="s">
        <v>553</v>
      </c>
      <c r="BK16" s="59" t="s">
        <v>554</v>
      </c>
      <c r="BL16" s="153">
        <v>3.1692999999999998</v>
      </c>
      <c r="BR16" s="141" t="s">
        <v>661</v>
      </c>
    </row>
    <row r="17" spans="1:99" ht="21" customHeight="1">
      <c r="A17" s="140"/>
      <c r="B17" s="140"/>
      <c r="C17" s="140"/>
      <c r="D17" s="140"/>
      <c r="E17" s="182"/>
      <c r="F17" s="182"/>
      <c r="G17" s="328"/>
      <c r="H17" s="182"/>
      <c r="I17" s="182"/>
      <c r="J17" s="182"/>
      <c r="K17" s="182"/>
      <c r="L17" s="182"/>
      <c r="M17" s="182"/>
      <c r="N17" s="182"/>
      <c r="O17" s="182"/>
      <c r="P17" s="182"/>
      <c r="Q17" s="140"/>
      <c r="R17" s="140"/>
      <c r="S17" s="140"/>
      <c r="T17" s="140"/>
      <c r="U17" s="353" t="s">
        <v>603</v>
      </c>
      <c r="V17" s="349"/>
      <c r="W17" s="1072"/>
      <c r="X17" s="1074"/>
      <c r="Y17" s="182"/>
      <c r="Z17" s="182"/>
      <c r="AA17" s="182"/>
      <c r="AB17" s="182"/>
      <c r="AC17" s="182"/>
      <c r="AD17" s="182"/>
      <c r="AE17" s="182"/>
      <c r="AF17" s="182"/>
      <c r="AG17" s="182"/>
      <c r="AH17" s="182"/>
      <c r="AI17" s="182"/>
      <c r="AJ17" s="182"/>
      <c r="AK17" s="182"/>
      <c r="AL17" s="182"/>
      <c r="AM17" s="213"/>
      <c r="AN17" s="138"/>
      <c r="BE17" s="59" t="s">
        <v>540</v>
      </c>
      <c r="BF17" s="59" t="e">
        <f>#REF!</f>
        <v>#REF!</v>
      </c>
      <c r="BG17" s="59">
        <f>W16</f>
        <v>0</v>
      </c>
      <c r="BH17" s="59">
        <f>W17</f>
        <v>0</v>
      </c>
      <c r="BI17" s="59" t="s">
        <v>553</v>
      </c>
      <c r="BJ17" s="59" t="s">
        <v>554</v>
      </c>
      <c r="BK17" s="59" t="s">
        <v>554</v>
      </c>
      <c r="BL17" s="153">
        <f>W18</f>
        <v>0</v>
      </c>
      <c r="BM17" s="141" t="s">
        <v>606</v>
      </c>
      <c r="BR17" s="141" t="s">
        <v>662</v>
      </c>
    </row>
    <row r="18" spans="1:99" ht="21" customHeight="1">
      <c r="A18" s="140"/>
      <c r="B18" s="140"/>
      <c r="C18" s="140"/>
      <c r="D18" s="140"/>
      <c r="E18" s="182"/>
      <c r="F18" s="182"/>
      <c r="G18" s="328"/>
      <c r="H18" s="182"/>
      <c r="I18" s="182"/>
      <c r="J18" s="182"/>
      <c r="K18" s="182"/>
      <c r="L18" s="182"/>
      <c r="M18" s="182"/>
      <c r="N18" s="182"/>
      <c r="O18" s="182"/>
      <c r="P18" s="182"/>
      <c r="Q18" s="140"/>
      <c r="R18" s="140"/>
      <c r="S18" s="140"/>
      <c r="T18" s="140"/>
      <c r="U18" s="354" t="s">
        <v>604</v>
      </c>
      <c r="V18" s="356" t="str">
        <f>IFERROR(INDEX(BB8:BB10,MATCH(V16,BA8:BA10,0),1),"")</f>
        <v>t-CO₂/t</v>
      </c>
      <c r="W18" s="1077"/>
      <c r="X18" s="1078"/>
      <c r="Y18" s="182"/>
      <c r="Z18" s="182"/>
      <c r="AA18" s="182"/>
      <c r="AB18" s="182"/>
      <c r="AC18" s="182"/>
      <c r="AD18" s="182"/>
      <c r="AE18" s="182"/>
      <c r="AF18" s="182"/>
      <c r="AG18" s="182"/>
      <c r="AH18" s="182"/>
      <c r="AI18" s="182"/>
      <c r="AJ18" s="182"/>
      <c r="AK18" s="182"/>
      <c r="AL18" s="182"/>
      <c r="AM18" s="213"/>
      <c r="AN18" s="138"/>
      <c r="BE18" s="410"/>
      <c r="BF18" s="410"/>
      <c r="BG18" s="410"/>
      <c r="BH18" s="410"/>
      <c r="BI18" s="410"/>
      <c r="BJ18" s="410"/>
      <c r="BK18" s="410"/>
    </row>
    <row r="19" spans="1:99" ht="21" customHeight="1">
      <c r="A19" s="140"/>
      <c r="B19" s="140"/>
      <c r="C19" s="140"/>
      <c r="D19" s="140"/>
      <c r="E19" s="183"/>
      <c r="F19" s="183"/>
      <c r="G19" s="183"/>
      <c r="H19" s="183"/>
      <c r="I19" s="183"/>
      <c r="J19" s="183"/>
      <c r="K19" s="183"/>
      <c r="L19" s="182"/>
      <c r="M19" s="182"/>
      <c r="N19" s="182"/>
      <c r="O19" s="182"/>
      <c r="P19" s="182"/>
      <c r="Q19" s="140"/>
      <c r="R19" s="140"/>
      <c r="S19" s="140"/>
      <c r="T19" s="140"/>
      <c r="Y19" s="184"/>
      <c r="Z19" s="184"/>
      <c r="AA19" s="184"/>
      <c r="AB19" s="184"/>
      <c r="AC19" s="182"/>
      <c r="AD19" s="182"/>
      <c r="AE19" s="182"/>
      <c r="AF19" s="182"/>
      <c r="AG19" s="182"/>
      <c r="AH19" s="182"/>
      <c r="AI19" s="182"/>
      <c r="AJ19" s="182"/>
      <c r="AK19" s="182"/>
      <c r="AL19" s="182"/>
      <c r="AM19" s="141"/>
      <c r="BD19" s="281"/>
      <c r="BI19" s="141"/>
      <c r="CU19" s="137"/>
    </row>
    <row r="20" spans="1:99" ht="18" customHeight="1">
      <c r="A20" s="139"/>
      <c r="B20" s="213"/>
      <c r="C20" s="213"/>
      <c r="D20" s="395" t="s">
        <v>672</v>
      </c>
      <c r="E20" s="213"/>
      <c r="F20" s="213"/>
      <c r="G20" s="213"/>
      <c r="H20" s="213"/>
      <c r="I20" s="213"/>
      <c r="J20" s="213"/>
      <c r="K20" s="213"/>
      <c r="L20" s="213"/>
      <c r="M20" s="395" t="s">
        <v>651</v>
      </c>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140"/>
      <c r="AO20" s="140"/>
      <c r="BI20" s="141"/>
      <c r="CU20" s="137"/>
    </row>
    <row r="21" spans="1:99" ht="39.75" customHeight="1">
      <c r="A21" s="947" t="s">
        <v>0</v>
      </c>
      <c r="B21" s="220" t="s">
        <v>2</v>
      </c>
      <c r="C21" s="221"/>
      <c r="D21" s="221"/>
      <c r="E21" s="221"/>
      <c r="F21" s="221"/>
      <c r="G21" s="221"/>
      <c r="H21" s="221"/>
      <c r="I21" s="221"/>
      <c r="J21" s="221"/>
      <c r="K21" s="221"/>
      <c r="L21" s="221"/>
      <c r="M21" s="221"/>
      <c r="N21" s="221"/>
      <c r="O21" s="221"/>
      <c r="P21" s="221"/>
      <c r="Q21" s="222"/>
      <c r="R21" s="222"/>
      <c r="S21" s="222"/>
      <c r="T21" s="223"/>
      <c r="U21" s="224" t="s">
        <v>47</v>
      </c>
      <c r="V21" s="225"/>
      <c r="W21" s="225"/>
      <c r="X21" s="225"/>
      <c r="Y21" s="225"/>
      <c r="Z21" s="225"/>
      <c r="AA21" s="225"/>
      <c r="AB21" s="225"/>
      <c r="AC21" s="225"/>
      <c r="AD21" s="225"/>
      <c r="AE21" s="225"/>
      <c r="AF21" s="225"/>
      <c r="AG21" s="225"/>
      <c r="AH21" s="225"/>
      <c r="AI21" s="225"/>
      <c r="AJ21" s="919" t="s">
        <v>14</v>
      </c>
      <c r="AK21" s="964"/>
      <c r="AL21" s="920"/>
      <c r="AM21" s="142"/>
      <c r="AN21" s="141"/>
      <c r="AO21" s="141"/>
      <c r="AP21" s="137" t="s">
        <v>594</v>
      </c>
      <c r="AV21" s="137" t="s">
        <v>595</v>
      </c>
      <c r="BA21" s="141"/>
      <c r="BB21" s="141"/>
      <c r="BI21" s="141"/>
      <c r="CU21" s="137"/>
    </row>
    <row r="22" spans="1:99" ht="15" customHeight="1">
      <c r="A22" s="948"/>
      <c r="B22" s="227"/>
      <c r="C22" s="228"/>
      <c r="D22" s="228"/>
      <c r="E22" s="228"/>
      <c r="F22" s="228"/>
      <c r="G22" s="228"/>
      <c r="H22" s="228"/>
      <c r="I22" s="228"/>
      <c r="J22" s="228"/>
      <c r="K22" s="228"/>
      <c r="L22" s="228"/>
      <c r="M22" s="228"/>
      <c r="N22" s="333" t="s">
        <v>50</v>
      </c>
      <c r="O22" s="226"/>
      <c r="P22" s="226"/>
      <c r="Q22" s="226"/>
      <c r="R22" s="226"/>
      <c r="S22" s="226"/>
      <c r="T22" s="226"/>
      <c r="U22" s="227"/>
      <c r="V22" s="228"/>
      <c r="W22" s="228"/>
      <c r="X22" s="228"/>
      <c r="Y22" s="228"/>
      <c r="Z22" s="228"/>
      <c r="AA22" s="228"/>
      <c r="AB22" s="228"/>
      <c r="AC22" s="228"/>
      <c r="AD22" s="333" t="s">
        <v>50</v>
      </c>
      <c r="AE22" s="222"/>
      <c r="AF22" s="226"/>
      <c r="AG22" s="226"/>
      <c r="AH22" s="226"/>
      <c r="AI22" s="223"/>
      <c r="AJ22" s="921"/>
      <c r="AK22" s="965"/>
      <c r="AL22" s="922"/>
      <c r="AM22" s="142"/>
      <c r="AN22" s="141"/>
      <c r="AO22" s="141"/>
      <c r="BA22" s="141"/>
      <c r="BB22" s="141"/>
      <c r="BI22" s="141"/>
      <c r="CU22" s="137"/>
    </row>
    <row r="23" spans="1:99" s="141" customFormat="1" ht="23.25" customHeight="1">
      <c r="A23" s="949"/>
      <c r="B23" s="232" t="s">
        <v>15</v>
      </c>
      <c r="C23" s="232" t="s">
        <v>641</v>
      </c>
      <c r="D23" s="232" t="s">
        <v>671</v>
      </c>
      <c r="E23" s="1046" t="s">
        <v>670</v>
      </c>
      <c r="F23" s="249" t="s">
        <v>415</v>
      </c>
      <c r="G23" s="233" t="s">
        <v>423</v>
      </c>
      <c r="H23" s="249" t="s">
        <v>669</v>
      </c>
      <c r="I23" s="233" t="s">
        <v>663</v>
      </c>
      <c r="J23" s="249" t="s">
        <v>1</v>
      </c>
      <c r="K23" s="249" t="s">
        <v>657</v>
      </c>
      <c r="L23" s="1046" t="s">
        <v>416</v>
      </c>
      <c r="M23" s="233" t="s">
        <v>525</v>
      </c>
      <c r="N23" s="233" t="s">
        <v>526</v>
      </c>
      <c r="O23" s="233" t="s">
        <v>583</v>
      </c>
      <c r="P23" s="249" t="s">
        <v>593</v>
      </c>
      <c r="Q23" s="249" t="s">
        <v>658</v>
      </c>
      <c r="R23" s="249" t="s">
        <v>1</v>
      </c>
      <c r="S23" s="249" t="s">
        <v>640</v>
      </c>
      <c r="T23" s="233" t="s">
        <v>513</v>
      </c>
      <c r="U23" s="232" t="s">
        <v>15</v>
      </c>
      <c r="V23" s="233" t="s">
        <v>423</v>
      </c>
      <c r="W23" s="1046" t="s">
        <v>670</v>
      </c>
      <c r="X23" s="249" t="s">
        <v>669</v>
      </c>
      <c r="Y23" s="233" t="s">
        <v>663</v>
      </c>
      <c r="Z23" s="249" t="s">
        <v>1</v>
      </c>
      <c r="AA23" s="249" t="s">
        <v>657</v>
      </c>
      <c r="AB23" s="249" t="s">
        <v>528</v>
      </c>
      <c r="AC23" s="233" t="s">
        <v>525</v>
      </c>
      <c r="AD23" s="233" t="s">
        <v>249</v>
      </c>
      <c r="AE23" s="249" t="s">
        <v>667</v>
      </c>
      <c r="AF23" s="249" t="s">
        <v>679</v>
      </c>
      <c r="AG23" s="249" t="s">
        <v>1</v>
      </c>
      <c r="AH23" s="249" t="s">
        <v>680</v>
      </c>
      <c r="AI23" s="233" t="s">
        <v>513</v>
      </c>
      <c r="AJ23" s="234" t="s">
        <v>677</v>
      </c>
      <c r="AK23" s="234" t="s">
        <v>678</v>
      </c>
      <c r="AL23" s="234" t="s">
        <v>519</v>
      </c>
      <c r="AM23" s="143"/>
      <c r="AN23" s="144" t="s">
        <v>676</v>
      </c>
      <c r="AO23" s="144"/>
      <c r="AP23" s="195" t="s">
        <v>586</v>
      </c>
      <c r="AQ23" s="195" t="s">
        <v>587</v>
      </c>
      <c r="AR23" s="195" t="s">
        <v>585</v>
      </c>
      <c r="AS23" s="326" t="s">
        <v>597</v>
      </c>
      <c r="AT23" s="195" t="s">
        <v>588</v>
      </c>
      <c r="AU23" s="195"/>
      <c r="AV23" s="195" t="s">
        <v>586</v>
      </c>
      <c r="AW23" s="195" t="s">
        <v>587</v>
      </c>
      <c r="AX23" s="195" t="s">
        <v>585</v>
      </c>
      <c r="AY23" s="326" t="s">
        <v>597</v>
      </c>
      <c r="AZ23" s="195" t="s">
        <v>588</v>
      </c>
      <c r="BA23" s="146"/>
      <c r="BB23" s="146"/>
      <c r="BD23" s="137"/>
      <c r="BE23" s="137"/>
      <c r="BH23" s="137"/>
    </row>
    <row r="24" spans="1:99" s="141" customFormat="1" ht="23.25" customHeight="1">
      <c r="A24" s="133" t="s">
        <v>1</v>
      </c>
      <c r="B24" s="128"/>
      <c r="C24" s="128"/>
      <c r="D24" s="128"/>
      <c r="E24" s="1047"/>
      <c r="F24" s="129"/>
      <c r="G24" s="125" t="s">
        <v>45</v>
      </c>
      <c r="H24" s="276"/>
      <c r="I24" s="125" t="s">
        <v>596</v>
      </c>
      <c r="J24" s="276"/>
      <c r="K24" s="276" t="s">
        <v>639</v>
      </c>
      <c r="L24" s="1047"/>
      <c r="M24" s="125" t="s">
        <v>56</v>
      </c>
      <c r="N24" s="125" t="s">
        <v>22</v>
      </c>
      <c r="O24" s="125" t="s">
        <v>584</v>
      </c>
      <c r="P24" s="125" t="s">
        <v>591</v>
      </c>
      <c r="Q24" s="276"/>
      <c r="R24" s="276"/>
      <c r="S24" s="276" t="s">
        <v>668</v>
      </c>
      <c r="T24" s="125" t="s">
        <v>484</v>
      </c>
      <c r="U24" s="129"/>
      <c r="V24" s="125" t="s">
        <v>45</v>
      </c>
      <c r="W24" s="1047"/>
      <c r="X24" s="276"/>
      <c r="Y24" s="125" t="s">
        <v>596</v>
      </c>
      <c r="Z24" s="276"/>
      <c r="AA24" s="276" t="s">
        <v>639</v>
      </c>
      <c r="AB24" s="276"/>
      <c r="AC24" s="125" t="s">
        <v>56</v>
      </c>
      <c r="AD24" s="125" t="s">
        <v>268</v>
      </c>
      <c r="AE24" s="276" t="s">
        <v>668</v>
      </c>
      <c r="AF24" s="276"/>
      <c r="AG24" s="276"/>
      <c r="AH24" s="276" t="s">
        <v>668</v>
      </c>
      <c r="AI24" s="125" t="s">
        <v>484</v>
      </c>
      <c r="AJ24" s="125"/>
      <c r="AK24" s="125" t="s">
        <v>8</v>
      </c>
      <c r="AL24" s="125" t="s">
        <v>484</v>
      </c>
      <c r="AM24" s="143"/>
      <c r="AN24" s="144"/>
      <c r="AO24" s="144"/>
      <c r="BA24" s="146"/>
      <c r="BB24" s="146"/>
      <c r="BD24" s="137"/>
      <c r="BO24" s="154"/>
    </row>
    <row r="25" spans="1:99" s="141" customFormat="1" ht="23.25" customHeight="1">
      <c r="A25" s="357" t="s">
        <v>424</v>
      </c>
      <c r="B25" s="323" t="s">
        <v>232</v>
      </c>
      <c r="C25" s="408" t="s">
        <v>644</v>
      </c>
      <c r="D25" s="323"/>
      <c r="E25" s="301" t="s">
        <v>530</v>
      </c>
      <c r="F25" s="302" t="s">
        <v>383</v>
      </c>
      <c r="G25" s="324">
        <v>2</v>
      </c>
      <c r="H25" s="300" t="s">
        <v>599</v>
      </c>
      <c r="I25" s="318">
        <v>40</v>
      </c>
      <c r="J25" s="330" t="str">
        <f>IF(E25="","",VLOOKUP(H25,$BF$2:$BK$17,6,FALSE))</f>
        <v>m3（N)/h</v>
      </c>
      <c r="K25" s="330"/>
      <c r="L25" s="325" t="s">
        <v>674</v>
      </c>
      <c r="M25" s="319">
        <v>0.86</v>
      </c>
      <c r="N25" s="317">
        <v>2000</v>
      </c>
      <c r="O25" s="320">
        <v>0.5</v>
      </c>
      <c r="P25" s="330">
        <f>G25*I25*M25*N25*O25*AR25</f>
        <v>3096000</v>
      </c>
      <c r="Q25" s="330">
        <f>IF(O25="",G25*I25/M25*N25,G25*I25/M25*N25*O25)</f>
        <v>93023.255813953481</v>
      </c>
      <c r="R25" s="330" t="str">
        <f>IF(J25="","",IF(J25="kW","kW",LEFT(J25,FIND("/",J25)-1)))</f>
        <v>m3（N)</v>
      </c>
      <c r="S25" s="330"/>
      <c r="T25" s="332">
        <f>Q25*AT25*0.001</f>
        <v>208.74418604651163</v>
      </c>
      <c r="U25" s="323" t="s">
        <v>53</v>
      </c>
      <c r="V25" s="306">
        <v>2</v>
      </c>
      <c r="W25" s="301" t="s">
        <v>530</v>
      </c>
      <c r="X25" s="300" t="s">
        <v>599</v>
      </c>
      <c r="Y25" s="318">
        <v>40</v>
      </c>
      <c r="Z25" s="317" t="str">
        <f>IF(W25="","",VLOOKUP(X25,$BF$2:$BK$17,6,FALSE))</f>
        <v>m3（N)/h</v>
      </c>
      <c r="AA25" s="317"/>
      <c r="AB25" s="303" t="s">
        <v>27</v>
      </c>
      <c r="AC25" s="319">
        <v>0.95</v>
      </c>
      <c r="AD25" s="319"/>
      <c r="AE25" s="319"/>
      <c r="AF25" s="321">
        <f>P25/AC25/AX25</f>
        <v>72421.052631578947</v>
      </c>
      <c r="AG25" s="321" t="str">
        <f>IF(Z25="","",IF(Z25="kW","kW",LEFT(Z25,FIND("/",Z25)-1)))</f>
        <v>m3（N)</v>
      </c>
      <c r="AH25" s="321"/>
      <c r="AI25" s="321">
        <f>AF25*AZ25*0.001</f>
        <v>162.51284210526319</v>
      </c>
      <c r="AJ25" s="321">
        <f>IFERROR(Q25-AF25,"")</f>
        <v>20602.203182374535</v>
      </c>
      <c r="AK25" s="321"/>
      <c r="AL25" s="321">
        <f>IFERROR(T25-AI25,"")</f>
        <v>46.23134394124844</v>
      </c>
      <c r="AM25" s="143"/>
      <c r="AN25" s="144">
        <f t="shared" ref="AN25:AN36" si="0">MATCH(C25,$BR$9:$BR$17,0)</f>
        <v>1</v>
      </c>
      <c r="AO25" s="144"/>
      <c r="AP25" s="145">
        <f>VLOOKUP(H25,$BF$2:$BK$17,2,FALSE)</f>
        <v>45</v>
      </c>
      <c r="AQ25" s="145">
        <f>VLOOKUP(H25,$BF$2:$BK$17,3,FALSE)</f>
        <v>40.799999999999997</v>
      </c>
      <c r="AR25" s="146">
        <f>IF(L25="",VLOOKUP(H25,$BF$2:$BK$17,3,FALSE),VLOOKUP(H25,$BF$2:$BK$17,2,FALSE))</f>
        <v>45</v>
      </c>
      <c r="AS25" s="147">
        <f>Q25*AP25*0.0258</f>
        <v>107999.99999999999</v>
      </c>
      <c r="AT25" s="146">
        <f>VLOOKUP(H25,$BF$2:$BL$17,7,FALSE)</f>
        <v>2.2440000000000002</v>
      </c>
      <c r="AU25" s="146"/>
      <c r="AV25" s="145">
        <f>VLOOKUP(X25,$BF$2:$BK$17,2,FALSE)</f>
        <v>45</v>
      </c>
      <c r="AW25" s="145">
        <f>VLOOKUP(X25,$BF$2:$BK$17,3,FALSE)</f>
        <v>40.799999999999997</v>
      </c>
      <c r="AX25" s="146">
        <f>IF(R25="",VLOOKUP(X25,$BF$2:$BK$17,3,FALSE),VLOOKUP(X25,$BF$2:$BK$17,2,FALSE))</f>
        <v>45</v>
      </c>
      <c r="AY25" s="147">
        <f>AF25*AV25*0.0258</f>
        <v>84080.84210526316</v>
      </c>
      <c r="AZ25" s="146">
        <f>VLOOKUP(X25,$BF$2:$BL$17,7,FALSE)</f>
        <v>2.2440000000000002</v>
      </c>
      <c r="BA25" s="146"/>
      <c r="BB25" s="146"/>
      <c r="BO25" s="154"/>
      <c r="BR25" s="151"/>
      <c r="BY25" s="151"/>
    </row>
    <row r="26" spans="1:99" s="141" customFormat="1" ht="23.25" customHeight="1">
      <c r="A26" s="133" t="s">
        <v>30</v>
      </c>
      <c r="B26" s="315"/>
      <c r="C26" s="409"/>
      <c r="D26" s="391"/>
      <c r="E26" s="308"/>
      <c r="F26" s="307"/>
      <c r="G26" s="309">
        <f>_xlfn.AGGREGATE(9,7,G27:G36)</f>
        <v>3</v>
      </c>
      <c r="H26" s="305"/>
      <c r="I26" s="310"/>
      <c r="J26" s="304"/>
      <c r="K26" s="218"/>
      <c r="L26" s="308"/>
      <c r="M26" s="311"/>
      <c r="N26" s="305"/>
      <c r="O26" s="312"/>
      <c r="P26" s="218">
        <f>_xlfn.AGGREGATE(9,7,P27:P36)</f>
        <v>3248240</v>
      </c>
      <c r="Q26" s="135">
        <f>_xlfn.AGGREGATE(9,7,Q27:Q36)</f>
        <v>126356.58914728681</v>
      </c>
      <c r="R26" s="218" t="str">
        <f>RIGHT(J26,FIND("",J26))</f>
        <v/>
      </c>
      <c r="S26" s="218"/>
      <c r="T26" s="314">
        <f>_xlfn.AGGREGATE(9,7,T27:T36)</f>
        <v>295.4674418604651</v>
      </c>
      <c r="U26" s="316"/>
      <c r="V26" s="313">
        <f>_xlfn.AGGREGATE(9,7,V27:V36)</f>
        <v>1</v>
      </c>
      <c r="W26" s="308"/>
      <c r="X26" s="305"/>
      <c r="Y26" s="310"/>
      <c r="Z26" s="304"/>
      <c r="AA26" s="218"/>
      <c r="AB26" s="308"/>
      <c r="AC26" s="311"/>
      <c r="AD26" s="311"/>
      <c r="AE26" s="311"/>
      <c r="AF26" s="135">
        <f>_xlfn.AGGREGATE(9,7,AF27:AF36)</f>
        <v>65292.996270203075</v>
      </c>
      <c r="AG26" s="218" t="str">
        <f>RIGHT(Z26,FIND("",Z26))</f>
        <v/>
      </c>
      <c r="AH26" s="218"/>
      <c r="AI26" s="314">
        <f>_xlfn.AGGREGATE(9,7,AI27:AI36)</f>
        <v>195.80716651471201</v>
      </c>
      <c r="AJ26" s="135">
        <f>_xlfn.AGGREGATE(9,7,AJ27:AJ36)</f>
        <v>27730.259543750406</v>
      </c>
      <c r="AK26" s="135"/>
      <c r="AL26" s="314">
        <f>_xlfn.AGGREGATE(9,7,AL27:AL36)</f>
        <v>83.160275345753092</v>
      </c>
      <c r="AM26" s="143"/>
      <c r="AN26" s="144" t="e">
        <f t="shared" si="0"/>
        <v>#N/A</v>
      </c>
      <c r="AO26" s="144"/>
      <c r="AP26" s="145"/>
      <c r="AQ26" s="145"/>
      <c r="AR26" s="146"/>
      <c r="AS26" s="135">
        <f t="shared" ref="AS26" si="1">_xlfn.AGGREGATE(9,7,AS27:AS46)</f>
        <v>125015.99999999999</v>
      </c>
      <c r="AT26" s="146"/>
      <c r="AU26" s="146"/>
      <c r="AV26" s="145"/>
      <c r="AW26" s="145"/>
      <c r="AX26" s="146"/>
      <c r="AY26" s="135">
        <f t="shared" ref="AY26" si="2">_xlfn.AGGREGATE(9,7,AY27:AY46)</f>
        <v>85575.612631578959</v>
      </c>
      <c r="AZ26" s="146"/>
      <c r="BA26" s="146"/>
      <c r="BB26" s="146"/>
      <c r="BK26" s="264"/>
      <c r="BL26" s="264"/>
      <c r="BM26" s="157"/>
      <c r="BO26" s="154"/>
    </row>
    <row r="27" spans="1:99" s="141" customFormat="1" ht="23.25" customHeight="1">
      <c r="A27" s="22">
        <v>1</v>
      </c>
      <c r="B27" s="335"/>
      <c r="C27" s="335" t="s">
        <v>644</v>
      </c>
      <c r="D27" s="335"/>
      <c r="E27" s="334" t="s">
        <v>530</v>
      </c>
      <c r="F27" s="394">
        <v>2008</v>
      </c>
      <c r="G27" s="335">
        <v>1</v>
      </c>
      <c r="H27" s="287" t="s">
        <v>572</v>
      </c>
      <c r="I27" s="336">
        <v>40</v>
      </c>
      <c r="J27" s="218" t="str">
        <f t="shared" ref="J27:J36" si="3">IF(E27="","",VLOOKUP(H27,$BF$2:$BK$17,6,FALSE))</f>
        <v>kg/h</v>
      </c>
      <c r="K27" s="407"/>
      <c r="L27" s="411"/>
      <c r="M27" s="338">
        <v>0.86</v>
      </c>
      <c r="N27" s="339">
        <v>2000</v>
      </c>
      <c r="O27" s="340"/>
      <c r="P27" s="341">
        <f t="shared" ref="P27:P36" si="4">IFERROR(IF(L27="",G27*I27*M27*N27*AR27,G27*I27*M27*N27*O27*AR27),"")</f>
        <v>3151040</v>
      </c>
      <c r="Q27" s="135">
        <f t="shared" ref="Q27:Q36" si="5">IFERROR(IF(O27="",G27*I27/M27*N27,G27*I27/M27*N27*O27),"")</f>
        <v>93023.255813953481</v>
      </c>
      <c r="R27" s="321" t="str">
        <f t="shared" ref="R27:R36" si="6">IF(J27="","",IF(J27="kW","kW",LEFT(J27,FIND("/",J27)-1)))</f>
        <v>kg</v>
      </c>
      <c r="S27" s="321"/>
      <c r="T27" s="322">
        <f t="shared" ref="T27:T36" si="7">IFERROR(Q27*AT27*0.001,"")</f>
        <v>278.9674418604651</v>
      </c>
      <c r="U27" s="335"/>
      <c r="V27" s="335">
        <v>1</v>
      </c>
      <c r="W27" s="334" t="s">
        <v>530</v>
      </c>
      <c r="X27" s="287" t="s">
        <v>572</v>
      </c>
      <c r="Y27" s="336">
        <v>40</v>
      </c>
      <c r="Z27" s="342" t="str">
        <f t="shared" ref="Z27:Z36" si="8">IF(W27="","",VLOOKUP(X27,$BF$2:$BK$17,6,FALSE))</f>
        <v>kg/h</v>
      </c>
      <c r="AA27" s="342"/>
      <c r="AB27" s="337"/>
      <c r="AC27" s="338">
        <v>0.95</v>
      </c>
      <c r="AD27" s="338"/>
      <c r="AE27" s="412"/>
      <c r="AF27" s="321">
        <f t="shared" ref="AF27:AF36" si="9">IFERROR(P27/AC27/AX27,"")</f>
        <v>65292.996270203075</v>
      </c>
      <c r="AG27" s="321" t="str">
        <f t="shared" ref="AG27:AG36" si="10">IF(Z27="","",IF(Z27="kW","kW",LEFT(Z27,FIND("/",Z27)-1)))</f>
        <v>kg</v>
      </c>
      <c r="AH27" s="321"/>
      <c r="AI27" s="321">
        <f t="shared" ref="AI27:AI36" si="11">IFERROR(AF27*AZ27*0.001,"")</f>
        <v>195.80716651471201</v>
      </c>
      <c r="AJ27" s="135">
        <f t="shared" ref="AJ27:AJ36" si="12">IFERROR(Q27-AF27,"")</f>
        <v>27730.259543750406</v>
      </c>
      <c r="AK27" s="135"/>
      <c r="AL27" s="343">
        <f t="shared" ref="AL27:AL36" si="13">IFERROR(T27-AI27,"")</f>
        <v>83.160275345753092</v>
      </c>
      <c r="AM27" s="143"/>
      <c r="AN27" s="144">
        <f t="shared" si="0"/>
        <v>1</v>
      </c>
      <c r="AO27" s="144"/>
      <c r="AP27" s="145">
        <f t="shared" ref="AP27:AP36" si="14">VLOOKUP(H27,$BF$2:$BK$17,2,FALSE)</f>
        <v>50.8</v>
      </c>
      <c r="AQ27" s="145">
        <f t="shared" ref="AQ27:AQ36" si="15">VLOOKUP(H27,$BF$2:$BK$17,3,FALSE)</f>
        <v>45.8</v>
      </c>
      <c r="AR27" s="146">
        <f t="shared" ref="AR27:AR36" si="16">IF(L27="",VLOOKUP(H27,$BF$2:$BK$17,3,FALSE),VLOOKUP(H27,$BF$2:$BK$17,2,FALSE))</f>
        <v>45.8</v>
      </c>
      <c r="AS27" s="147">
        <f t="shared" ref="AS27:AS36" si="17">Q27*AP27*0.0258</f>
        <v>121919.99999999999</v>
      </c>
      <c r="AT27" s="146">
        <f t="shared" ref="AT27:AT36" si="18">VLOOKUP(H27,$BF$2:$BL$17,7,FALSE)</f>
        <v>2.9988999999999999</v>
      </c>
      <c r="AU27" s="146"/>
      <c r="AV27" s="145">
        <f t="shared" ref="AV27:AV36" si="19">VLOOKUP(X27,$BF$2:$BK$17,2,FALSE)</f>
        <v>50.8</v>
      </c>
      <c r="AW27" s="145">
        <f t="shared" ref="AW27:AW36" si="20">VLOOKUP(X27,$BF$2:$BK$17,3,FALSE)</f>
        <v>45.8</v>
      </c>
      <c r="AX27" s="146">
        <f t="shared" ref="AX27:AX36" si="21">IF(R27="",VLOOKUP(X27,$BF$2:$BK$17,3,FALSE),VLOOKUP(X27,$BF$2:$BK$17,2,FALSE))</f>
        <v>50.8</v>
      </c>
      <c r="AY27" s="147">
        <f t="shared" ref="AY27:AY35" si="22">AF27*AV27*0.0258</f>
        <v>85575.612631578959</v>
      </c>
      <c r="AZ27" s="146">
        <f t="shared" ref="AZ27:AZ36" si="23">VLOOKUP(X27,$BF$2:$BL$17,7,FALSE)</f>
        <v>2.9988999999999999</v>
      </c>
      <c r="BA27" s="146"/>
      <c r="BB27" s="146"/>
      <c r="BK27" s="264"/>
      <c r="BL27" s="264"/>
      <c r="BM27" s="157"/>
      <c r="BO27" s="154"/>
      <c r="BP27" s="154"/>
      <c r="BR27" s="263"/>
      <c r="BS27" s="157"/>
      <c r="BV27" s="154"/>
      <c r="BW27" s="154"/>
      <c r="BY27" s="264"/>
      <c r="BZ27" s="157"/>
    </row>
    <row r="28" spans="1:99" s="141" customFormat="1" ht="23.25" customHeight="1">
      <c r="A28" s="22">
        <v>2</v>
      </c>
      <c r="B28" s="335"/>
      <c r="C28" s="335"/>
      <c r="D28" s="335"/>
      <c r="E28" s="334" t="s">
        <v>534</v>
      </c>
      <c r="F28" s="394">
        <v>2009</v>
      </c>
      <c r="G28" s="335">
        <v>1</v>
      </c>
      <c r="H28" s="287" t="s">
        <v>556</v>
      </c>
      <c r="I28" s="336"/>
      <c r="J28" s="218" t="str">
        <f t="shared" si="3"/>
        <v>L/h</v>
      </c>
      <c r="K28" s="407"/>
      <c r="L28" s="411"/>
      <c r="M28" s="338"/>
      <c r="N28" s="339"/>
      <c r="O28" s="340"/>
      <c r="P28" s="341">
        <f t="shared" si="4"/>
        <v>0</v>
      </c>
      <c r="Q28" s="135" t="str">
        <f t="shared" si="5"/>
        <v/>
      </c>
      <c r="R28" s="321" t="str">
        <f t="shared" si="6"/>
        <v>L</v>
      </c>
      <c r="S28" s="321"/>
      <c r="T28" s="322" t="str">
        <f t="shared" si="7"/>
        <v/>
      </c>
      <c r="U28" s="335"/>
      <c r="V28" s="335"/>
      <c r="W28" s="334" t="s">
        <v>534</v>
      </c>
      <c r="X28" s="287" t="s">
        <v>560</v>
      </c>
      <c r="Y28" s="336"/>
      <c r="Z28" s="342" t="str">
        <f t="shared" si="8"/>
        <v>L/h</v>
      </c>
      <c r="AA28" s="342"/>
      <c r="AB28" s="337"/>
      <c r="AC28" s="338"/>
      <c r="AD28" s="338"/>
      <c r="AE28" s="412"/>
      <c r="AF28" s="321" t="str">
        <f t="shared" si="9"/>
        <v/>
      </c>
      <c r="AG28" s="321" t="str">
        <f t="shared" si="10"/>
        <v>L</v>
      </c>
      <c r="AH28" s="321"/>
      <c r="AI28" s="321" t="str">
        <f t="shared" si="11"/>
        <v/>
      </c>
      <c r="AJ28" s="135" t="str">
        <f t="shared" si="12"/>
        <v/>
      </c>
      <c r="AK28" s="135"/>
      <c r="AL28" s="343" t="str">
        <f t="shared" si="13"/>
        <v/>
      </c>
      <c r="AM28" s="143"/>
      <c r="AN28" s="144" t="e">
        <f t="shared" si="0"/>
        <v>#N/A</v>
      </c>
      <c r="AO28" s="144"/>
      <c r="AP28" s="145">
        <f t="shared" si="14"/>
        <v>36.700000000000003</v>
      </c>
      <c r="AQ28" s="145">
        <f t="shared" si="15"/>
        <v>34.200000000000003</v>
      </c>
      <c r="AR28" s="146">
        <f t="shared" si="16"/>
        <v>34.200000000000003</v>
      </c>
      <c r="AS28" s="147" t="e">
        <f t="shared" si="17"/>
        <v>#VALUE!</v>
      </c>
      <c r="AT28" s="146">
        <f t="shared" si="18"/>
        <v>2.4895</v>
      </c>
      <c r="AU28" s="146"/>
      <c r="AV28" s="145">
        <f t="shared" si="19"/>
        <v>37.700000000000003</v>
      </c>
      <c r="AW28" s="145">
        <f t="shared" si="20"/>
        <v>35.1</v>
      </c>
      <c r="AX28" s="146">
        <f t="shared" si="21"/>
        <v>37.700000000000003</v>
      </c>
      <c r="AY28" s="147" t="e">
        <f t="shared" si="22"/>
        <v>#VALUE!</v>
      </c>
      <c r="AZ28" s="146">
        <f t="shared" si="23"/>
        <v>2.585</v>
      </c>
      <c r="BA28" s="146"/>
      <c r="BB28" s="146"/>
      <c r="BD28" s="152"/>
      <c r="BI28" s="154"/>
      <c r="BJ28" s="263"/>
      <c r="BK28" s="264"/>
      <c r="BL28" s="264"/>
      <c r="BM28" s="157"/>
      <c r="BO28" s="154"/>
      <c r="BP28" s="154"/>
      <c r="BR28" s="263"/>
      <c r="BS28" s="157"/>
      <c r="BV28" s="154"/>
      <c r="BW28" s="154"/>
      <c r="BY28" s="264"/>
      <c r="BZ28" s="157"/>
    </row>
    <row r="29" spans="1:99" s="141" customFormat="1" ht="23.25" customHeight="1">
      <c r="A29" s="22">
        <v>3</v>
      </c>
      <c r="B29" s="335"/>
      <c r="C29" s="335"/>
      <c r="D29" s="335"/>
      <c r="E29" s="334" t="s">
        <v>537</v>
      </c>
      <c r="F29" s="394">
        <v>2009</v>
      </c>
      <c r="G29" s="335">
        <v>1</v>
      </c>
      <c r="H29" s="287" t="s">
        <v>537</v>
      </c>
      <c r="I29" s="336">
        <v>30</v>
      </c>
      <c r="J29" s="218" t="str">
        <f t="shared" si="3"/>
        <v>kW</v>
      </c>
      <c r="K29" s="407"/>
      <c r="L29" s="411"/>
      <c r="M29" s="338">
        <v>0.9</v>
      </c>
      <c r="N29" s="339">
        <v>1000</v>
      </c>
      <c r="O29" s="340"/>
      <c r="P29" s="341">
        <f t="shared" si="4"/>
        <v>97200</v>
      </c>
      <c r="Q29" s="135">
        <f t="shared" si="5"/>
        <v>33333.333333333336</v>
      </c>
      <c r="R29" s="321" t="str">
        <f t="shared" si="6"/>
        <v>kW</v>
      </c>
      <c r="S29" s="321"/>
      <c r="T29" s="322">
        <f t="shared" si="7"/>
        <v>16.5</v>
      </c>
      <c r="U29" s="335"/>
      <c r="V29" s="335"/>
      <c r="W29" s="334"/>
      <c r="X29" s="287"/>
      <c r="Y29" s="336"/>
      <c r="Z29" s="342" t="str">
        <f t="shared" si="8"/>
        <v/>
      </c>
      <c r="AA29" s="342"/>
      <c r="AB29" s="337"/>
      <c r="AC29" s="338"/>
      <c r="AD29" s="338"/>
      <c r="AE29" s="412"/>
      <c r="AF29" s="321" t="str">
        <f t="shared" si="9"/>
        <v/>
      </c>
      <c r="AG29" s="321" t="str">
        <f t="shared" si="10"/>
        <v/>
      </c>
      <c r="AH29" s="321"/>
      <c r="AI29" s="321" t="str">
        <f t="shared" si="11"/>
        <v/>
      </c>
      <c r="AJ29" s="135" t="str">
        <f t="shared" si="12"/>
        <v/>
      </c>
      <c r="AK29" s="135"/>
      <c r="AL29" s="343" t="str">
        <f t="shared" si="13"/>
        <v/>
      </c>
      <c r="AM29" s="143"/>
      <c r="AN29" s="144" t="e">
        <f t="shared" si="0"/>
        <v>#N/A</v>
      </c>
      <c r="AO29" s="144"/>
      <c r="AP29" s="145">
        <f t="shared" si="14"/>
        <v>3.6</v>
      </c>
      <c r="AQ29" s="145">
        <f t="shared" si="15"/>
        <v>3.6</v>
      </c>
      <c r="AR29" s="146">
        <f t="shared" si="16"/>
        <v>3.6</v>
      </c>
      <c r="AS29" s="147">
        <f t="shared" si="17"/>
        <v>3096.0000000000005</v>
      </c>
      <c r="AT29" s="146">
        <f t="shared" si="18"/>
        <v>0.495</v>
      </c>
      <c r="AU29" s="146"/>
      <c r="AV29" s="145" t="e">
        <f t="shared" si="19"/>
        <v>#N/A</v>
      </c>
      <c r="AW29" s="145" t="e">
        <f t="shared" si="20"/>
        <v>#N/A</v>
      </c>
      <c r="AX29" s="146" t="e">
        <f t="shared" si="21"/>
        <v>#N/A</v>
      </c>
      <c r="AY29" s="147" t="e">
        <f t="shared" si="22"/>
        <v>#VALUE!</v>
      </c>
      <c r="AZ29" s="146" t="e">
        <f t="shared" si="23"/>
        <v>#N/A</v>
      </c>
      <c r="BA29" s="146"/>
      <c r="BB29" s="146"/>
      <c r="BD29" s="152"/>
      <c r="BI29" s="154"/>
      <c r="BJ29" s="263"/>
      <c r="BK29" s="263"/>
      <c r="BL29" s="264"/>
      <c r="BM29" s="157"/>
      <c r="BO29" s="154"/>
      <c r="BP29" s="154"/>
      <c r="BR29" s="263"/>
      <c r="BS29" s="157"/>
      <c r="BV29" s="154"/>
      <c r="BW29" s="154"/>
      <c r="BY29" s="264"/>
      <c r="BZ29" s="157"/>
    </row>
    <row r="30" spans="1:99" s="141" customFormat="1" ht="23.25" customHeight="1">
      <c r="A30" s="22">
        <v>4</v>
      </c>
      <c r="B30" s="335"/>
      <c r="C30" s="335"/>
      <c r="D30" s="335"/>
      <c r="E30" s="334"/>
      <c r="F30" s="394">
        <v>2009</v>
      </c>
      <c r="G30" s="335"/>
      <c r="H30" s="287"/>
      <c r="I30" s="336"/>
      <c r="J30" s="218" t="str">
        <f t="shared" si="3"/>
        <v/>
      </c>
      <c r="K30" s="407"/>
      <c r="L30" s="411"/>
      <c r="M30" s="338"/>
      <c r="N30" s="339"/>
      <c r="O30" s="340"/>
      <c r="P30" s="341" t="str">
        <f t="shared" si="4"/>
        <v/>
      </c>
      <c r="Q30" s="135" t="str">
        <f t="shared" si="5"/>
        <v/>
      </c>
      <c r="R30" s="321" t="str">
        <f t="shared" si="6"/>
        <v/>
      </c>
      <c r="S30" s="321"/>
      <c r="T30" s="322" t="str">
        <f t="shared" si="7"/>
        <v/>
      </c>
      <c r="U30" s="335"/>
      <c r="V30" s="335"/>
      <c r="W30" s="334"/>
      <c r="X30" s="287"/>
      <c r="Y30" s="336"/>
      <c r="Z30" s="342" t="str">
        <f t="shared" si="8"/>
        <v/>
      </c>
      <c r="AA30" s="342"/>
      <c r="AB30" s="337"/>
      <c r="AC30" s="338"/>
      <c r="AD30" s="338"/>
      <c r="AE30" s="412"/>
      <c r="AF30" s="321" t="str">
        <f t="shared" si="9"/>
        <v/>
      </c>
      <c r="AG30" s="321" t="str">
        <f t="shared" si="10"/>
        <v/>
      </c>
      <c r="AH30" s="321"/>
      <c r="AI30" s="321" t="str">
        <f t="shared" si="11"/>
        <v/>
      </c>
      <c r="AJ30" s="135" t="str">
        <f t="shared" si="12"/>
        <v/>
      </c>
      <c r="AK30" s="135"/>
      <c r="AL30" s="343" t="str">
        <f t="shared" si="13"/>
        <v/>
      </c>
      <c r="AM30" s="143"/>
      <c r="AN30" s="144" t="e">
        <f t="shared" si="0"/>
        <v>#N/A</v>
      </c>
      <c r="AO30" s="144"/>
      <c r="AP30" s="145" t="e">
        <f t="shared" si="14"/>
        <v>#N/A</v>
      </c>
      <c r="AQ30" s="145" t="e">
        <f t="shared" si="15"/>
        <v>#N/A</v>
      </c>
      <c r="AR30" s="146" t="e">
        <f t="shared" si="16"/>
        <v>#N/A</v>
      </c>
      <c r="AS30" s="147" t="e">
        <f t="shared" si="17"/>
        <v>#VALUE!</v>
      </c>
      <c r="AT30" s="146" t="e">
        <f t="shared" si="18"/>
        <v>#N/A</v>
      </c>
      <c r="AU30" s="146"/>
      <c r="AV30" s="145" t="e">
        <f t="shared" si="19"/>
        <v>#N/A</v>
      </c>
      <c r="AW30" s="145" t="e">
        <f t="shared" si="20"/>
        <v>#N/A</v>
      </c>
      <c r="AX30" s="146" t="e">
        <f t="shared" si="21"/>
        <v>#N/A</v>
      </c>
      <c r="AY30" s="147" t="e">
        <f t="shared" si="22"/>
        <v>#VALUE!</v>
      </c>
      <c r="AZ30" s="146" t="e">
        <f t="shared" si="23"/>
        <v>#N/A</v>
      </c>
      <c r="BA30" s="146"/>
      <c r="BB30" s="146"/>
      <c r="BD30" s="152"/>
      <c r="BI30" s="154"/>
      <c r="BJ30" s="263"/>
      <c r="BK30" s="263"/>
      <c r="BL30" s="264"/>
      <c r="BM30" s="157"/>
      <c r="BO30" s="154"/>
      <c r="BP30" s="154"/>
      <c r="BR30" s="263"/>
      <c r="BS30" s="157"/>
      <c r="BV30" s="154"/>
      <c r="BW30" s="154"/>
      <c r="BY30" s="264"/>
      <c r="BZ30" s="157"/>
    </row>
    <row r="31" spans="1:99" s="141" customFormat="1" ht="23.25" customHeight="1">
      <c r="A31" s="22">
        <v>5</v>
      </c>
      <c r="B31" s="335"/>
      <c r="C31" s="335"/>
      <c r="D31" s="335"/>
      <c r="E31" s="334"/>
      <c r="F31" s="394">
        <v>2009</v>
      </c>
      <c r="G31" s="335"/>
      <c r="H31" s="287"/>
      <c r="I31" s="336"/>
      <c r="J31" s="218" t="str">
        <f t="shared" si="3"/>
        <v/>
      </c>
      <c r="K31" s="407"/>
      <c r="L31" s="411"/>
      <c r="M31" s="338"/>
      <c r="N31" s="339"/>
      <c r="O31" s="340"/>
      <c r="P31" s="341" t="str">
        <f t="shared" si="4"/>
        <v/>
      </c>
      <c r="Q31" s="135" t="str">
        <f t="shared" si="5"/>
        <v/>
      </c>
      <c r="R31" s="321" t="str">
        <f t="shared" si="6"/>
        <v/>
      </c>
      <c r="S31" s="321"/>
      <c r="T31" s="322" t="str">
        <f t="shared" si="7"/>
        <v/>
      </c>
      <c r="U31" s="335"/>
      <c r="V31" s="335"/>
      <c r="W31" s="334"/>
      <c r="X31" s="287"/>
      <c r="Y31" s="336"/>
      <c r="Z31" s="342" t="str">
        <f t="shared" si="8"/>
        <v/>
      </c>
      <c r="AA31" s="342"/>
      <c r="AB31" s="337"/>
      <c r="AC31" s="338"/>
      <c r="AD31" s="338"/>
      <c r="AE31" s="412"/>
      <c r="AF31" s="321" t="str">
        <f t="shared" si="9"/>
        <v/>
      </c>
      <c r="AG31" s="321" t="str">
        <f t="shared" si="10"/>
        <v/>
      </c>
      <c r="AH31" s="321"/>
      <c r="AI31" s="321" t="str">
        <f t="shared" si="11"/>
        <v/>
      </c>
      <c r="AJ31" s="135" t="str">
        <f t="shared" si="12"/>
        <v/>
      </c>
      <c r="AK31" s="135"/>
      <c r="AL31" s="343" t="str">
        <f t="shared" si="13"/>
        <v/>
      </c>
      <c r="AM31" s="143"/>
      <c r="AN31" s="144" t="e">
        <f t="shared" si="0"/>
        <v>#N/A</v>
      </c>
      <c r="AO31" s="144"/>
      <c r="AP31" s="145" t="e">
        <f t="shared" si="14"/>
        <v>#N/A</v>
      </c>
      <c r="AQ31" s="145" t="e">
        <f t="shared" si="15"/>
        <v>#N/A</v>
      </c>
      <c r="AR31" s="146" t="e">
        <f t="shared" si="16"/>
        <v>#N/A</v>
      </c>
      <c r="AS31" s="147" t="e">
        <f t="shared" si="17"/>
        <v>#VALUE!</v>
      </c>
      <c r="AT31" s="146" t="e">
        <f t="shared" si="18"/>
        <v>#N/A</v>
      </c>
      <c r="AU31" s="146"/>
      <c r="AV31" s="145" t="e">
        <f t="shared" si="19"/>
        <v>#N/A</v>
      </c>
      <c r="AW31" s="145" t="e">
        <f t="shared" si="20"/>
        <v>#N/A</v>
      </c>
      <c r="AX31" s="146" t="e">
        <f t="shared" si="21"/>
        <v>#N/A</v>
      </c>
      <c r="AY31" s="147" t="e">
        <f t="shared" si="22"/>
        <v>#VALUE!</v>
      </c>
      <c r="AZ31" s="146" t="e">
        <f t="shared" si="23"/>
        <v>#N/A</v>
      </c>
      <c r="BA31" s="146"/>
      <c r="BB31" s="146"/>
      <c r="BD31" s="152"/>
      <c r="BI31" s="154"/>
      <c r="BJ31" s="264"/>
      <c r="BK31" s="264"/>
      <c r="BL31" s="264"/>
      <c r="BM31" s="157"/>
      <c r="BO31" s="154"/>
      <c r="BP31" s="154"/>
      <c r="BR31" s="263"/>
      <c r="BS31" s="157"/>
      <c r="BV31" s="154"/>
      <c r="BW31" s="154"/>
      <c r="BY31" s="264"/>
      <c r="BZ31" s="157"/>
    </row>
    <row r="32" spans="1:99" s="141" customFormat="1" ht="23.25" customHeight="1">
      <c r="A32" s="22">
        <v>6</v>
      </c>
      <c r="B32" s="335"/>
      <c r="C32" s="335"/>
      <c r="D32" s="335"/>
      <c r="E32" s="334"/>
      <c r="F32" s="394">
        <v>2009</v>
      </c>
      <c r="G32" s="335"/>
      <c r="H32" s="287"/>
      <c r="I32" s="336"/>
      <c r="J32" s="218" t="str">
        <f t="shared" si="3"/>
        <v/>
      </c>
      <c r="K32" s="407"/>
      <c r="L32" s="411"/>
      <c r="M32" s="338"/>
      <c r="N32" s="339"/>
      <c r="O32" s="340"/>
      <c r="P32" s="341" t="str">
        <f t="shared" si="4"/>
        <v/>
      </c>
      <c r="Q32" s="135" t="str">
        <f t="shared" si="5"/>
        <v/>
      </c>
      <c r="R32" s="321" t="str">
        <f t="shared" si="6"/>
        <v/>
      </c>
      <c r="S32" s="321"/>
      <c r="T32" s="322" t="str">
        <f t="shared" si="7"/>
        <v/>
      </c>
      <c r="U32" s="335"/>
      <c r="V32" s="335"/>
      <c r="W32" s="334"/>
      <c r="X32" s="287"/>
      <c r="Y32" s="336"/>
      <c r="Z32" s="342" t="str">
        <f t="shared" si="8"/>
        <v/>
      </c>
      <c r="AA32" s="342"/>
      <c r="AB32" s="337"/>
      <c r="AC32" s="338"/>
      <c r="AD32" s="338"/>
      <c r="AE32" s="412"/>
      <c r="AF32" s="321" t="str">
        <f t="shared" si="9"/>
        <v/>
      </c>
      <c r="AG32" s="321" t="str">
        <f t="shared" si="10"/>
        <v/>
      </c>
      <c r="AH32" s="321"/>
      <c r="AI32" s="321" t="str">
        <f t="shared" si="11"/>
        <v/>
      </c>
      <c r="AJ32" s="135" t="str">
        <f t="shared" si="12"/>
        <v/>
      </c>
      <c r="AK32" s="135"/>
      <c r="AL32" s="343" t="str">
        <f t="shared" si="13"/>
        <v/>
      </c>
      <c r="AM32" s="143"/>
      <c r="AN32" s="144" t="e">
        <f t="shared" si="0"/>
        <v>#N/A</v>
      </c>
      <c r="AO32" s="144"/>
      <c r="AP32" s="145" t="e">
        <f t="shared" si="14"/>
        <v>#N/A</v>
      </c>
      <c r="AQ32" s="145" t="e">
        <f t="shared" si="15"/>
        <v>#N/A</v>
      </c>
      <c r="AR32" s="146" t="e">
        <f t="shared" si="16"/>
        <v>#N/A</v>
      </c>
      <c r="AS32" s="147" t="e">
        <f t="shared" si="17"/>
        <v>#VALUE!</v>
      </c>
      <c r="AT32" s="146" t="e">
        <f t="shared" si="18"/>
        <v>#N/A</v>
      </c>
      <c r="AU32" s="146"/>
      <c r="AV32" s="145" t="e">
        <f t="shared" si="19"/>
        <v>#N/A</v>
      </c>
      <c r="AW32" s="145" t="e">
        <f t="shared" si="20"/>
        <v>#N/A</v>
      </c>
      <c r="AX32" s="146" t="e">
        <f t="shared" si="21"/>
        <v>#N/A</v>
      </c>
      <c r="AY32" s="147" t="e">
        <f t="shared" si="22"/>
        <v>#VALUE!</v>
      </c>
      <c r="AZ32" s="146" t="e">
        <f t="shared" si="23"/>
        <v>#N/A</v>
      </c>
      <c r="BA32" s="146"/>
      <c r="BB32" s="146"/>
      <c r="BI32" s="154"/>
      <c r="BJ32" s="264"/>
      <c r="BK32" s="263"/>
      <c r="BL32" s="264"/>
      <c r="BM32" s="157"/>
      <c r="BO32" s="154"/>
      <c r="BP32" s="154"/>
      <c r="BR32" s="263"/>
      <c r="BS32" s="157"/>
      <c r="BV32" s="154"/>
      <c r="BW32" s="154"/>
      <c r="BY32" s="264"/>
      <c r="BZ32" s="157"/>
    </row>
    <row r="33" spans="1:95" s="141" customFormat="1" ht="23.25" customHeight="1">
      <c r="A33" s="22">
        <v>7</v>
      </c>
      <c r="B33" s="335"/>
      <c r="C33" s="335"/>
      <c r="D33" s="335"/>
      <c r="E33" s="334"/>
      <c r="F33" s="394">
        <v>2009</v>
      </c>
      <c r="G33" s="335"/>
      <c r="H33" s="287"/>
      <c r="I33" s="336"/>
      <c r="J33" s="218" t="str">
        <f t="shared" si="3"/>
        <v/>
      </c>
      <c r="K33" s="407"/>
      <c r="L33" s="411"/>
      <c r="M33" s="338"/>
      <c r="N33" s="339"/>
      <c r="O33" s="340"/>
      <c r="P33" s="341" t="str">
        <f t="shared" si="4"/>
        <v/>
      </c>
      <c r="Q33" s="135" t="str">
        <f t="shared" si="5"/>
        <v/>
      </c>
      <c r="R33" s="321" t="str">
        <f t="shared" si="6"/>
        <v/>
      </c>
      <c r="S33" s="321"/>
      <c r="T33" s="322" t="str">
        <f t="shared" si="7"/>
        <v/>
      </c>
      <c r="U33" s="335"/>
      <c r="V33" s="335"/>
      <c r="W33" s="334"/>
      <c r="X33" s="287"/>
      <c r="Y33" s="336"/>
      <c r="Z33" s="342" t="str">
        <f t="shared" si="8"/>
        <v/>
      </c>
      <c r="AA33" s="342"/>
      <c r="AB33" s="337"/>
      <c r="AC33" s="338"/>
      <c r="AD33" s="338"/>
      <c r="AE33" s="412"/>
      <c r="AF33" s="321" t="str">
        <f t="shared" si="9"/>
        <v/>
      </c>
      <c r="AG33" s="321" t="str">
        <f t="shared" si="10"/>
        <v/>
      </c>
      <c r="AH33" s="321"/>
      <c r="AI33" s="321" t="str">
        <f t="shared" si="11"/>
        <v/>
      </c>
      <c r="AJ33" s="135" t="str">
        <f t="shared" si="12"/>
        <v/>
      </c>
      <c r="AK33" s="135"/>
      <c r="AL33" s="343" t="str">
        <f t="shared" si="13"/>
        <v/>
      </c>
      <c r="AM33" s="143"/>
      <c r="AN33" s="144" t="e">
        <f t="shared" si="0"/>
        <v>#N/A</v>
      </c>
      <c r="AO33" s="144"/>
      <c r="AP33" s="145" t="e">
        <f t="shared" si="14"/>
        <v>#N/A</v>
      </c>
      <c r="AQ33" s="145" t="e">
        <f t="shared" si="15"/>
        <v>#N/A</v>
      </c>
      <c r="AR33" s="146" t="e">
        <f t="shared" si="16"/>
        <v>#N/A</v>
      </c>
      <c r="AS33" s="147" t="e">
        <f t="shared" si="17"/>
        <v>#VALUE!</v>
      </c>
      <c r="AT33" s="146" t="e">
        <f t="shared" si="18"/>
        <v>#N/A</v>
      </c>
      <c r="AU33" s="146"/>
      <c r="AV33" s="145" t="e">
        <f t="shared" si="19"/>
        <v>#N/A</v>
      </c>
      <c r="AW33" s="145" t="e">
        <f t="shared" si="20"/>
        <v>#N/A</v>
      </c>
      <c r="AX33" s="146" t="e">
        <f t="shared" si="21"/>
        <v>#N/A</v>
      </c>
      <c r="AY33" s="147" t="e">
        <f t="shared" si="22"/>
        <v>#VALUE!</v>
      </c>
      <c r="AZ33" s="146" t="e">
        <f t="shared" si="23"/>
        <v>#N/A</v>
      </c>
      <c r="BA33" s="146"/>
      <c r="BB33" s="146"/>
      <c r="BI33" s="154"/>
      <c r="BJ33" s="263"/>
      <c r="BK33" s="263"/>
      <c r="BL33" s="264"/>
      <c r="BM33" s="157"/>
      <c r="BO33" s="154"/>
      <c r="BP33" s="154"/>
      <c r="BR33" s="263"/>
      <c r="BS33" s="157"/>
      <c r="BV33" s="154"/>
      <c r="BW33" s="154"/>
      <c r="BY33" s="264"/>
      <c r="BZ33" s="157"/>
    </row>
    <row r="34" spans="1:95" s="141" customFormat="1" ht="23.25" customHeight="1">
      <c r="A34" s="22">
        <v>8</v>
      </c>
      <c r="B34" s="335"/>
      <c r="C34" s="335"/>
      <c r="D34" s="335"/>
      <c r="E34" s="334"/>
      <c r="F34" s="394">
        <v>2009</v>
      </c>
      <c r="G34" s="335"/>
      <c r="H34" s="287"/>
      <c r="I34" s="336"/>
      <c r="J34" s="218" t="str">
        <f t="shared" si="3"/>
        <v/>
      </c>
      <c r="K34" s="407"/>
      <c r="L34" s="411"/>
      <c r="M34" s="338"/>
      <c r="N34" s="339"/>
      <c r="O34" s="340"/>
      <c r="P34" s="341" t="str">
        <f t="shared" si="4"/>
        <v/>
      </c>
      <c r="Q34" s="135" t="str">
        <f t="shared" si="5"/>
        <v/>
      </c>
      <c r="R34" s="321" t="str">
        <f t="shared" si="6"/>
        <v/>
      </c>
      <c r="S34" s="321"/>
      <c r="T34" s="322" t="str">
        <f t="shared" si="7"/>
        <v/>
      </c>
      <c r="U34" s="335"/>
      <c r="V34" s="335"/>
      <c r="W34" s="334"/>
      <c r="X34" s="287"/>
      <c r="Y34" s="336"/>
      <c r="Z34" s="342" t="str">
        <f t="shared" si="8"/>
        <v/>
      </c>
      <c r="AA34" s="342"/>
      <c r="AB34" s="337"/>
      <c r="AC34" s="338"/>
      <c r="AD34" s="338"/>
      <c r="AE34" s="412"/>
      <c r="AF34" s="321" t="str">
        <f t="shared" si="9"/>
        <v/>
      </c>
      <c r="AG34" s="321" t="str">
        <f t="shared" si="10"/>
        <v/>
      </c>
      <c r="AH34" s="321"/>
      <c r="AI34" s="321" t="str">
        <f t="shared" si="11"/>
        <v/>
      </c>
      <c r="AJ34" s="135" t="str">
        <f t="shared" si="12"/>
        <v/>
      </c>
      <c r="AK34" s="135"/>
      <c r="AL34" s="343" t="str">
        <f t="shared" si="13"/>
        <v/>
      </c>
      <c r="AM34" s="143"/>
      <c r="AN34" s="144" t="e">
        <f t="shared" si="0"/>
        <v>#N/A</v>
      </c>
      <c r="AO34" s="144"/>
      <c r="AP34" s="145" t="e">
        <f t="shared" si="14"/>
        <v>#N/A</v>
      </c>
      <c r="AQ34" s="145" t="e">
        <f t="shared" si="15"/>
        <v>#N/A</v>
      </c>
      <c r="AR34" s="146" t="e">
        <f t="shared" si="16"/>
        <v>#N/A</v>
      </c>
      <c r="AS34" s="147" t="e">
        <f t="shared" si="17"/>
        <v>#VALUE!</v>
      </c>
      <c r="AT34" s="146" t="e">
        <f t="shared" si="18"/>
        <v>#N/A</v>
      </c>
      <c r="AU34" s="146"/>
      <c r="AV34" s="145" t="e">
        <f t="shared" si="19"/>
        <v>#N/A</v>
      </c>
      <c r="AW34" s="145" t="e">
        <f t="shared" si="20"/>
        <v>#N/A</v>
      </c>
      <c r="AX34" s="146" t="e">
        <f t="shared" si="21"/>
        <v>#N/A</v>
      </c>
      <c r="AY34" s="147" t="e">
        <f t="shared" si="22"/>
        <v>#VALUE!</v>
      </c>
      <c r="AZ34" s="146" t="e">
        <f t="shared" si="23"/>
        <v>#N/A</v>
      </c>
      <c r="BA34" s="146"/>
      <c r="BB34" s="146"/>
      <c r="BI34" s="154"/>
      <c r="BJ34" s="264"/>
      <c r="BK34" s="264"/>
      <c r="BL34" s="264"/>
      <c r="BM34" s="157"/>
      <c r="BO34" s="154"/>
      <c r="BP34" s="154"/>
      <c r="BR34" s="263"/>
      <c r="BS34" s="157"/>
      <c r="BV34" s="154"/>
      <c r="BW34" s="154"/>
      <c r="BY34" s="264"/>
      <c r="BZ34" s="157"/>
    </row>
    <row r="35" spans="1:95" s="141" customFormat="1" ht="24" customHeight="1">
      <c r="A35" s="22">
        <v>9</v>
      </c>
      <c r="B35" s="335"/>
      <c r="C35" s="335"/>
      <c r="D35" s="335"/>
      <c r="E35" s="334"/>
      <c r="F35" s="394">
        <v>2009</v>
      </c>
      <c r="G35" s="335"/>
      <c r="H35" s="287"/>
      <c r="I35" s="336"/>
      <c r="J35" s="218" t="str">
        <f t="shared" si="3"/>
        <v/>
      </c>
      <c r="K35" s="407"/>
      <c r="L35" s="411"/>
      <c r="M35" s="338"/>
      <c r="N35" s="339"/>
      <c r="O35" s="340"/>
      <c r="P35" s="341" t="str">
        <f t="shared" si="4"/>
        <v/>
      </c>
      <c r="Q35" s="135" t="str">
        <f t="shared" si="5"/>
        <v/>
      </c>
      <c r="R35" s="321" t="str">
        <f t="shared" si="6"/>
        <v/>
      </c>
      <c r="S35" s="321"/>
      <c r="T35" s="322" t="str">
        <f t="shared" si="7"/>
        <v/>
      </c>
      <c r="U35" s="335"/>
      <c r="V35" s="335"/>
      <c r="W35" s="334"/>
      <c r="X35" s="287"/>
      <c r="Y35" s="336"/>
      <c r="Z35" s="342" t="str">
        <f t="shared" si="8"/>
        <v/>
      </c>
      <c r="AA35" s="342"/>
      <c r="AB35" s="337"/>
      <c r="AC35" s="338"/>
      <c r="AD35" s="338"/>
      <c r="AE35" s="412"/>
      <c r="AF35" s="321" t="str">
        <f t="shared" si="9"/>
        <v/>
      </c>
      <c r="AG35" s="321" t="str">
        <f t="shared" si="10"/>
        <v/>
      </c>
      <c r="AH35" s="321"/>
      <c r="AI35" s="321" t="str">
        <f t="shared" si="11"/>
        <v/>
      </c>
      <c r="AJ35" s="135" t="str">
        <f t="shared" si="12"/>
        <v/>
      </c>
      <c r="AK35" s="135"/>
      <c r="AL35" s="343" t="str">
        <f t="shared" si="13"/>
        <v/>
      </c>
      <c r="AM35" s="143"/>
      <c r="AN35" s="144" t="e">
        <f t="shared" si="0"/>
        <v>#N/A</v>
      </c>
      <c r="AO35" s="144"/>
      <c r="AP35" s="145" t="e">
        <f t="shared" si="14"/>
        <v>#N/A</v>
      </c>
      <c r="AQ35" s="145" t="e">
        <f t="shared" si="15"/>
        <v>#N/A</v>
      </c>
      <c r="AR35" s="146" t="e">
        <f t="shared" si="16"/>
        <v>#N/A</v>
      </c>
      <c r="AS35" s="147" t="e">
        <f t="shared" si="17"/>
        <v>#VALUE!</v>
      </c>
      <c r="AT35" s="146" t="e">
        <f t="shared" si="18"/>
        <v>#N/A</v>
      </c>
      <c r="AU35" s="146"/>
      <c r="AV35" s="145" t="e">
        <f t="shared" si="19"/>
        <v>#N/A</v>
      </c>
      <c r="AW35" s="145" t="e">
        <f t="shared" si="20"/>
        <v>#N/A</v>
      </c>
      <c r="AX35" s="146" t="e">
        <f t="shared" si="21"/>
        <v>#N/A</v>
      </c>
      <c r="AY35" s="147" t="e">
        <f t="shared" si="22"/>
        <v>#VALUE!</v>
      </c>
      <c r="AZ35" s="146" t="e">
        <f t="shared" si="23"/>
        <v>#N/A</v>
      </c>
      <c r="BA35" s="146"/>
      <c r="BB35" s="146"/>
      <c r="BI35" s="154"/>
      <c r="BJ35" s="264"/>
      <c r="BK35" s="264"/>
      <c r="BL35" s="264"/>
      <c r="BM35" s="157"/>
      <c r="BO35" s="154"/>
      <c r="BP35" s="154"/>
      <c r="BR35" s="263"/>
      <c r="BS35" s="157"/>
      <c r="BV35" s="154"/>
      <c r="BW35" s="154"/>
      <c r="BY35" s="264"/>
      <c r="BZ35" s="157"/>
    </row>
    <row r="36" spans="1:95" s="141" customFormat="1" ht="24" customHeight="1">
      <c r="A36" s="22">
        <v>10</v>
      </c>
      <c r="B36" s="335"/>
      <c r="C36" s="335"/>
      <c r="D36" s="335"/>
      <c r="E36" s="334"/>
      <c r="F36" s="394">
        <v>2009</v>
      </c>
      <c r="G36" s="335"/>
      <c r="H36" s="287"/>
      <c r="I36" s="336"/>
      <c r="J36" s="218" t="str">
        <f t="shared" si="3"/>
        <v/>
      </c>
      <c r="K36" s="407"/>
      <c r="L36" s="411"/>
      <c r="M36" s="338"/>
      <c r="N36" s="339"/>
      <c r="O36" s="340"/>
      <c r="P36" s="341" t="str">
        <f t="shared" si="4"/>
        <v/>
      </c>
      <c r="Q36" s="135" t="str">
        <f t="shared" si="5"/>
        <v/>
      </c>
      <c r="R36" s="321" t="str">
        <f t="shared" si="6"/>
        <v/>
      </c>
      <c r="S36" s="321"/>
      <c r="T36" s="322" t="str">
        <f t="shared" si="7"/>
        <v/>
      </c>
      <c r="U36" s="335"/>
      <c r="V36" s="335"/>
      <c r="W36" s="334"/>
      <c r="X36" s="287"/>
      <c r="Y36" s="336"/>
      <c r="Z36" s="342" t="str">
        <f t="shared" si="8"/>
        <v/>
      </c>
      <c r="AA36" s="342"/>
      <c r="AB36" s="337"/>
      <c r="AC36" s="338"/>
      <c r="AD36" s="338"/>
      <c r="AE36" s="412"/>
      <c r="AF36" s="321" t="str">
        <f t="shared" si="9"/>
        <v/>
      </c>
      <c r="AG36" s="321" t="str">
        <f t="shared" si="10"/>
        <v/>
      </c>
      <c r="AH36" s="321"/>
      <c r="AI36" s="321" t="str">
        <f t="shared" si="11"/>
        <v/>
      </c>
      <c r="AJ36" s="135" t="str">
        <f t="shared" si="12"/>
        <v/>
      </c>
      <c r="AK36" s="135"/>
      <c r="AL36" s="343" t="str">
        <f t="shared" si="13"/>
        <v/>
      </c>
      <c r="AM36" s="143"/>
      <c r="AN36" s="144" t="e">
        <f t="shared" si="0"/>
        <v>#N/A</v>
      </c>
      <c r="AO36" s="144"/>
      <c r="AP36" s="145" t="e">
        <f t="shared" si="14"/>
        <v>#N/A</v>
      </c>
      <c r="AQ36" s="145" t="e">
        <f t="shared" si="15"/>
        <v>#N/A</v>
      </c>
      <c r="AR36" s="146" t="e">
        <f t="shared" si="16"/>
        <v>#N/A</v>
      </c>
      <c r="AS36" s="147" t="e">
        <f t="shared" si="17"/>
        <v>#VALUE!</v>
      </c>
      <c r="AT36" s="146" t="e">
        <f t="shared" si="18"/>
        <v>#N/A</v>
      </c>
      <c r="AU36" s="146"/>
      <c r="AV36" s="145" t="e">
        <f t="shared" si="19"/>
        <v>#N/A</v>
      </c>
      <c r="AW36" s="145" t="e">
        <f t="shared" si="20"/>
        <v>#N/A</v>
      </c>
      <c r="AX36" s="146" t="e">
        <f t="shared" si="21"/>
        <v>#N/A</v>
      </c>
      <c r="AY36" s="147" t="e">
        <f>AF36*AV36*0.0258</f>
        <v>#VALUE!</v>
      </c>
      <c r="AZ36" s="146" t="e">
        <f t="shared" si="23"/>
        <v>#N/A</v>
      </c>
      <c r="BA36" s="146"/>
      <c r="BB36" s="146"/>
      <c r="BI36" s="154"/>
      <c r="BJ36" s="263"/>
      <c r="BK36" s="263"/>
      <c r="BL36" s="264"/>
      <c r="BM36" s="157"/>
      <c r="BO36" s="154"/>
      <c r="BP36" s="154"/>
      <c r="BR36" s="263"/>
      <c r="BS36" s="157"/>
      <c r="BV36" s="154"/>
      <c r="BW36" s="154"/>
      <c r="BY36" s="264"/>
      <c r="BZ36" s="157"/>
    </row>
    <row r="37" spans="1:95" s="141" customFormat="1" ht="18" customHeight="1">
      <c r="A37" s="140"/>
      <c r="B37" s="140"/>
      <c r="C37" s="140"/>
      <c r="D37" s="140"/>
      <c r="E37" s="140"/>
      <c r="F37" s="196"/>
      <c r="G37" s="196"/>
      <c r="H37" s="196"/>
      <c r="I37" s="196"/>
      <c r="J37" s="331"/>
      <c r="K37" s="331"/>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344"/>
      <c r="AK37" s="344"/>
      <c r="AL37" s="344"/>
      <c r="AM37" s="143"/>
      <c r="AN37" s="144"/>
      <c r="AO37" s="144"/>
      <c r="AP37" s="145" t="e">
        <f>VLOOKUP(#REF!,$BF$2:$BK$17,2,FALSE)</f>
        <v>#REF!</v>
      </c>
      <c r="AQ37" s="145" t="e">
        <f>VLOOKUP(#REF!,$BF$2:$BK$17,3,FALSE)</f>
        <v>#REF!</v>
      </c>
      <c r="AR37" s="146" t="e">
        <f>IF(#REF!="",VLOOKUP(#REF!,$BF$2:$BK$17,3,FALSE),VLOOKUP(#REF!,$BF$2:$BK$17,2,FALSE))</f>
        <v>#REF!</v>
      </c>
      <c r="AS37" s="147" t="e">
        <f>#REF!*AP37*0.0258</f>
        <v>#REF!</v>
      </c>
      <c r="AT37" s="146" t="e">
        <f>VLOOKUP(#REF!,$BF$2:$BL$17,7,FALSE)</f>
        <v>#REF!</v>
      </c>
      <c r="AU37" s="146"/>
      <c r="AV37" s="145" t="e">
        <f>VLOOKUP(#REF!,$BF$2:$BK$17,2,FALSE)</f>
        <v>#REF!</v>
      </c>
      <c r="AW37" s="145" t="e">
        <f>VLOOKUP(#REF!,$BF$2:$BK$17,3,FALSE)</f>
        <v>#REF!</v>
      </c>
      <c r="AX37" s="146" t="e">
        <f>IF(#REF!="",VLOOKUP(#REF!,$BF$2:$BK$17,3,FALSE),VLOOKUP(#REF!,$BF$2:$BK$17,2,FALSE))</f>
        <v>#REF!</v>
      </c>
      <c r="AY37" s="147" t="e">
        <f>#REF!*AV37*0.0258</f>
        <v>#REF!</v>
      </c>
      <c r="AZ37" s="146" t="e">
        <f>VLOOKUP(#REF!,$BF$2:$BL$17,7,FALSE)</f>
        <v>#REF!</v>
      </c>
      <c r="BA37" s="146"/>
      <c r="BB37" s="146"/>
      <c r="BI37" s="154"/>
      <c r="BJ37" s="263"/>
      <c r="BK37" s="264"/>
      <c r="BL37" s="264"/>
      <c r="BM37" s="157"/>
      <c r="BP37" s="154"/>
      <c r="BR37" s="263"/>
      <c r="BS37" s="157"/>
      <c r="BV37" s="154"/>
      <c r="BW37" s="154"/>
      <c r="BY37" s="264"/>
      <c r="BZ37" s="157"/>
    </row>
    <row r="38" spans="1:95" s="141" customFormat="1" ht="18" customHeight="1">
      <c r="A38" s="140"/>
      <c r="B38" s="140"/>
      <c r="C38" s="140"/>
      <c r="D38" s="140"/>
      <c r="E38" s="183"/>
      <c r="F38" s="183"/>
      <c r="G38" s="183"/>
      <c r="H38" s="183"/>
      <c r="I38" s="183"/>
      <c r="J38" s="183"/>
      <c r="K38" s="183"/>
      <c r="L38" s="182"/>
      <c r="M38" s="182"/>
      <c r="N38" s="182"/>
      <c r="O38" s="182"/>
      <c r="P38" s="182"/>
      <c r="Q38" s="140"/>
      <c r="R38" s="140"/>
      <c r="S38" s="140"/>
      <c r="T38" s="140"/>
      <c r="U38" s="184"/>
      <c r="V38" s="184"/>
      <c r="W38" s="184"/>
      <c r="X38" s="184"/>
      <c r="Y38" s="184"/>
      <c r="Z38" s="184"/>
      <c r="AA38" s="184"/>
      <c r="AB38" s="184"/>
      <c r="AC38" s="182"/>
      <c r="AD38" s="182"/>
      <c r="AE38" s="182"/>
      <c r="AF38" s="182"/>
      <c r="AG38" s="182"/>
      <c r="AH38" s="182"/>
      <c r="AI38" s="182"/>
      <c r="AJ38" s="182"/>
      <c r="AK38" s="182"/>
      <c r="AL38" s="182"/>
      <c r="AM38" s="143"/>
      <c r="AN38" s="144"/>
      <c r="AO38" s="144"/>
      <c r="AP38" s="145" t="e">
        <f>VLOOKUP(#REF!,$BF$2:$BK$17,2,FALSE)</f>
        <v>#REF!</v>
      </c>
      <c r="AQ38" s="145" t="e">
        <f>VLOOKUP(#REF!,$BF$2:$BK$17,3,FALSE)</f>
        <v>#REF!</v>
      </c>
      <c r="AR38" s="146" t="e">
        <f>IF(#REF!="",VLOOKUP(#REF!,$BF$2:$BK$17,3,FALSE),VLOOKUP(#REF!,$BF$2:$BK$17,2,FALSE))</f>
        <v>#REF!</v>
      </c>
      <c r="AS38" s="147" t="e">
        <f>#REF!*AP38*0.0258</f>
        <v>#REF!</v>
      </c>
      <c r="AT38" s="146" t="e">
        <f>VLOOKUP(#REF!,$BF$2:$BL$17,7,FALSE)</f>
        <v>#REF!</v>
      </c>
      <c r="AU38" s="146"/>
      <c r="AV38" s="145" t="e">
        <f>VLOOKUP(#REF!,$BF$2:$BK$17,2,FALSE)</f>
        <v>#REF!</v>
      </c>
      <c r="AW38" s="145" t="e">
        <f>VLOOKUP(#REF!,$BF$2:$BK$17,3,FALSE)</f>
        <v>#REF!</v>
      </c>
      <c r="AX38" s="146" t="e">
        <f>IF(#REF!="",VLOOKUP(#REF!,$BF$2:$BK$17,3,FALSE),VLOOKUP(#REF!,$BF$2:$BK$17,2,FALSE))</f>
        <v>#REF!</v>
      </c>
      <c r="AY38" s="147" t="e">
        <f>#REF!*AV38*0.0258</f>
        <v>#REF!</v>
      </c>
      <c r="AZ38" s="146" t="e">
        <f>VLOOKUP(#REF!,$BF$2:$BL$17,7,FALSE)</f>
        <v>#REF!</v>
      </c>
      <c r="BA38" s="146"/>
      <c r="BB38" s="146"/>
      <c r="BI38" s="154"/>
      <c r="BJ38" s="264"/>
      <c r="BK38" s="264"/>
      <c r="BL38" s="264"/>
      <c r="BP38" s="154"/>
      <c r="BR38" s="263"/>
      <c r="BS38" s="157"/>
      <c r="BV38" s="154"/>
      <c r="BW38" s="154"/>
      <c r="BY38" s="264"/>
      <c r="BZ38" s="157"/>
    </row>
    <row r="39" spans="1:95" s="141" customFormat="1" ht="18" customHeight="1">
      <c r="A39" s="140"/>
      <c r="B39" s="140"/>
      <c r="C39" s="140"/>
      <c r="D39" s="140"/>
      <c r="E39" s="140"/>
      <c r="F39" s="185"/>
      <c r="G39" s="185"/>
      <c r="H39" s="186"/>
      <c r="I39" s="186"/>
      <c r="J39" s="187"/>
      <c r="K39" s="187"/>
      <c r="L39" s="187"/>
      <c r="M39" s="187"/>
      <c r="N39" s="187"/>
      <c r="O39" s="187"/>
      <c r="P39" s="187"/>
      <c r="Q39" s="140"/>
      <c r="R39" s="140"/>
      <c r="S39" s="140"/>
      <c r="T39" s="140"/>
      <c r="V39" s="140"/>
      <c r="W39" s="140"/>
      <c r="X39" s="140"/>
      <c r="Y39" s="140"/>
      <c r="Z39" s="140"/>
      <c r="AA39" s="140"/>
      <c r="AB39" s="140"/>
      <c r="AC39" s="185"/>
      <c r="AD39" s="185"/>
      <c r="AE39" s="185"/>
      <c r="AF39" s="185"/>
      <c r="AG39" s="185"/>
      <c r="AH39" s="185"/>
      <c r="AI39" s="185"/>
      <c r="AJ39" s="185"/>
      <c r="AK39" s="185"/>
      <c r="AL39" s="188"/>
      <c r="AM39" s="143"/>
      <c r="AN39" s="144"/>
      <c r="AO39" s="144"/>
      <c r="AP39" s="145" t="e">
        <f>VLOOKUP(#REF!,$BF$2:$BK$17,2,FALSE)</f>
        <v>#REF!</v>
      </c>
      <c r="AQ39" s="145" t="e">
        <f>VLOOKUP(#REF!,$BF$2:$BK$17,3,FALSE)</f>
        <v>#REF!</v>
      </c>
      <c r="AR39" s="146" t="e">
        <f>IF(#REF!="",VLOOKUP(#REF!,$BF$2:$BK$17,3,FALSE),VLOOKUP(#REF!,$BF$2:$BK$17,2,FALSE))</f>
        <v>#REF!</v>
      </c>
      <c r="AS39" s="147" t="e">
        <f>#REF!*AP39*0.0258</f>
        <v>#REF!</v>
      </c>
      <c r="AT39" s="146" t="e">
        <f>VLOOKUP(#REF!,$BF$2:$BL$17,7,FALSE)</f>
        <v>#REF!</v>
      </c>
      <c r="AU39" s="146"/>
      <c r="AV39" s="145" t="e">
        <f>VLOOKUP(#REF!,$BF$2:$BK$17,2,FALSE)</f>
        <v>#REF!</v>
      </c>
      <c r="AW39" s="145" t="e">
        <f>VLOOKUP(#REF!,$BF$2:$BK$17,3,FALSE)</f>
        <v>#REF!</v>
      </c>
      <c r="AX39" s="146" t="e">
        <f>IF(#REF!="",VLOOKUP(#REF!,$BF$2:$BK$17,3,FALSE),VLOOKUP(#REF!,$BF$2:$BK$17,2,FALSE))</f>
        <v>#REF!</v>
      </c>
      <c r="AY39" s="147" t="e">
        <f>#REF!*AV39*0.0258</f>
        <v>#REF!</v>
      </c>
      <c r="AZ39" s="146" t="e">
        <f>VLOOKUP(#REF!,$BF$2:$BL$17,7,FALSE)</f>
        <v>#REF!</v>
      </c>
      <c r="BA39" s="146"/>
      <c r="BB39" s="146"/>
      <c r="BI39" s="154"/>
      <c r="BJ39" s="263"/>
      <c r="BQ39" s="265"/>
      <c r="BR39" s="264"/>
      <c r="BT39" s="265"/>
      <c r="BV39" s="154"/>
      <c r="BX39" s="265"/>
      <c r="BY39" s="264"/>
      <c r="CA39" s="265"/>
    </row>
    <row r="40" spans="1:95" s="141" customFormat="1" ht="18" customHeight="1">
      <c r="A40" s="189"/>
      <c r="B40" s="190"/>
      <c r="C40" s="190"/>
      <c r="D40" s="190"/>
      <c r="E40" s="182"/>
      <c r="F40" s="182"/>
      <c r="G40" s="182"/>
      <c r="H40" s="182"/>
      <c r="I40" s="182"/>
      <c r="J40" s="182"/>
      <c r="K40" s="182"/>
      <c r="L40" s="182"/>
      <c r="M40" s="182"/>
      <c r="N40" s="182"/>
      <c r="O40" s="182"/>
      <c r="P40" s="182"/>
      <c r="U40" s="182"/>
      <c r="V40" s="182"/>
      <c r="W40" s="182"/>
      <c r="X40" s="182"/>
      <c r="Y40" s="182"/>
      <c r="Z40" s="182"/>
      <c r="AA40" s="182"/>
      <c r="AB40" s="182"/>
      <c r="AC40" s="182"/>
      <c r="AD40" s="182"/>
      <c r="AE40" s="182"/>
      <c r="AF40" s="182"/>
      <c r="AG40" s="182"/>
      <c r="AH40" s="182"/>
      <c r="AI40" s="182"/>
      <c r="AJ40" s="182"/>
      <c r="AK40" s="182"/>
      <c r="AM40" s="143"/>
      <c r="AN40" s="144"/>
      <c r="AO40" s="144"/>
      <c r="AP40" s="145" t="e">
        <f>VLOOKUP(#REF!,$BF$2:$BK$17,2,FALSE)</f>
        <v>#REF!</v>
      </c>
      <c r="AQ40" s="145" t="e">
        <f>VLOOKUP(#REF!,$BF$2:$BK$17,3,FALSE)</f>
        <v>#REF!</v>
      </c>
      <c r="AR40" s="146" t="e">
        <f>IF(#REF!="",VLOOKUP(#REF!,$BF$2:$BK$17,3,FALSE),VLOOKUP(#REF!,$BF$2:$BK$17,2,FALSE))</f>
        <v>#REF!</v>
      </c>
      <c r="AS40" s="147" t="e">
        <f>#REF!*AP40*0.0258</f>
        <v>#REF!</v>
      </c>
      <c r="AT40" s="146" t="e">
        <f>VLOOKUP(#REF!,$BF$2:$BL$17,7,FALSE)</f>
        <v>#REF!</v>
      </c>
      <c r="AU40" s="146"/>
      <c r="AV40" s="145" t="e">
        <f>VLOOKUP(#REF!,$BF$2:$BK$17,2,FALSE)</f>
        <v>#REF!</v>
      </c>
      <c r="AW40" s="145" t="e">
        <f>VLOOKUP(#REF!,$BF$2:$BK$17,3,FALSE)</f>
        <v>#REF!</v>
      </c>
      <c r="AX40" s="146" t="e">
        <f>IF(#REF!="",VLOOKUP(#REF!,$BF$2:$BK$17,3,FALSE),VLOOKUP(#REF!,$BF$2:$BK$17,2,FALSE))</f>
        <v>#REF!</v>
      </c>
      <c r="AY40" s="147" t="e">
        <f>#REF!*AV40*0.0258</f>
        <v>#REF!</v>
      </c>
      <c r="AZ40" s="146" t="e">
        <f>VLOOKUP(#REF!,$BF$2:$BL$17,7,FALSE)</f>
        <v>#REF!</v>
      </c>
      <c r="BA40" s="146"/>
      <c r="BB40" s="146"/>
      <c r="BI40" s="154"/>
      <c r="BJ40" s="264"/>
      <c r="CG40" s="266"/>
      <c r="CH40" s="266"/>
      <c r="CI40" s="266"/>
      <c r="CJ40" s="266"/>
      <c r="CK40" s="266"/>
      <c r="CL40" s="266"/>
      <c r="CM40" s="266"/>
      <c r="CN40" s="266"/>
      <c r="CO40" s="266"/>
      <c r="CP40" s="266"/>
    </row>
    <row r="41" spans="1:95" s="141" customFormat="1" ht="18" customHeight="1">
      <c r="A41" s="189"/>
      <c r="B41" s="193"/>
      <c r="C41" s="193"/>
      <c r="D41" s="193"/>
      <c r="E41" s="194"/>
      <c r="F41" s="194"/>
      <c r="G41" s="194"/>
      <c r="H41" s="194"/>
      <c r="I41" s="194"/>
      <c r="J41" s="194"/>
      <c r="K41" s="194"/>
      <c r="L41" s="195"/>
      <c r="M41" s="195"/>
      <c r="N41" s="195"/>
      <c r="O41" s="195"/>
      <c r="P41" s="195"/>
      <c r="Q41" s="182"/>
      <c r="R41" s="182"/>
      <c r="S41" s="182"/>
      <c r="T41" s="182"/>
      <c r="U41" s="194"/>
      <c r="V41" s="194"/>
      <c r="W41" s="194"/>
      <c r="X41" s="194"/>
      <c r="Y41" s="194"/>
      <c r="Z41" s="194"/>
      <c r="AA41" s="194"/>
      <c r="AB41" s="194"/>
      <c r="AC41" s="195"/>
      <c r="AD41" s="195"/>
      <c r="AE41" s="195"/>
      <c r="AF41" s="195"/>
      <c r="AG41" s="195"/>
      <c r="AH41" s="195"/>
      <c r="AI41" s="195"/>
      <c r="AJ41" s="195"/>
      <c r="AK41" s="195"/>
      <c r="AL41" s="182"/>
      <c r="AM41" s="143"/>
      <c r="AN41" s="144"/>
      <c r="AO41" s="144"/>
      <c r="AP41" s="145" t="e">
        <f>VLOOKUP(#REF!,$BF$2:$BK$17,2,FALSE)</f>
        <v>#REF!</v>
      </c>
      <c r="AQ41" s="145" t="e">
        <f>VLOOKUP(#REF!,$BF$2:$BK$17,3,FALSE)</f>
        <v>#REF!</v>
      </c>
      <c r="AR41" s="146" t="e">
        <f>IF(#REF!="",VLOOKUP(#REF!,$BF$2:$BK$17,3,FALSE),VLOOKUP(#REF!,$BF$2:$BK$17,2,FALSE))</f>
        <v>#REF!</v>
      </c>
      <c r="AS41" s="147" t="e">
        <f>#REF!*AP41*0.0258</f>
        <v>#REF!</v>
      </c>
      <c r="AT41" s="146" t="e">
        <f>VLOOKUP(#REF!,$BF$2:$BL$17,7,FALSE)</f>
        <v>#REF!</v>
      </c>
      <c r="AU41" s="146"/>
      <c r="AV41" s="145" t="e">
        <f>VLOOKUP(#REF!,$BF$2:$BK$17,2,FALSE)</f>
        <v>#REF!</v>
      </c>
      <c r="AW41" s="145" t="e">
        <f>VLOOKUP(#REF!,$BF$2:$BK$17,3,FALSE)</f>
        <v>#REF!</v>
      </c>
      <c r="AX41" s="146" t="e">
        <f>IF(#REF!="",VLOOKUP(#REF!,$BF$2:$BK$17,3,FALSE),VLOOKUP(#REF!,$BF$2:$BK$17,2,FALSE))</f>
        <v>#REF!</v>
      </c>
      <c r="AY41" s="147" t="e">
        <f>#REF!*AV41*0.0258</f>
        <v>#REF!</v>
      </c>
      <c r="AZ41" s="146" t="e">
        <f>VLOOKUP(#REF!,$BF$2:$BL$17,7,FALSE)</f>
        <v>#REF!</v>
      </c>
      <c r="BA41" s="146"/>
      <c r="BB41" s="146"/>
      <c r="CG41" s="266"/>
      <c r="CH41" s="267"/>
      <c r="CI41" s="266"/>
      <c r="CJ41" s="266"/>
      <c r="CK41" s="266"/>
      <c r="CL41" s="266"/>
      <c r="CM41" s="266"/>
      <c r="CN41" s="266"/>
      <c r="CO41" s="266"/>
      <c r="CP41" s="266"/>
    </row>
    <row r="42" spans="1:95" s="141" customFormat="1" ht="18" customHeight="1">
      <c r="A42" s="196"/>
      <c r="B42" s="196"/>
      <c r="C42" s="196"/>
      <c r="D42" s="196"/>
      <c r="E42" s="194"/>
      <c r="F42" s="194"/>
      <c r="G42" s="194"/>
      <c r="H42" s="194"/>
      <c r="I42" s="194"/>
      <c r="J42" s="194"/>
      <c r="K42" s="194"/>
      <c r="L42" s="195"/>
      <c r="M42" s="195"/>
      <c r="N42" s="195"/>
      <c r="O42" s="195"/>
      <c r="P42" s="195"/>
      <c r="Q42" s="182"/>
      <c r="R42" s="182"/>
      <c r="S42" s="182"/>
      <c r="T42" s="182"/>
      <c r="U42" s="194"/>
      <c r="V42" s="194"/>
      <c r="W42" s="194"/>
      <c r="X42" s="194"/>
      <c r="Y42" s="194"/>
      <c r="Z42" s="194"/>
      <c r="AA42" s="194"/>
      <c r="AB42" s="194"/>
      <c r="AC42" s="195"/>
      <c r="AD42" s="195"/>
      <c r="AE42" s="195"/>
      <c r="AF42" s="195"/>
      <c r="AG42" s="195"/>
      <c r="AH42" s="195"/>
      <c r="AI42" s="195"/>
      <c r="AJ42" s="195"/>
      <c r="AK42" s="195"/>
      <c r="AL42" s="182"/>
      <c r="AM42" s="143"/>
      <c r="AN42" s="144"/>
      <c r="AO42" s="144"/>
      <c r="AP42" s="145" t="e">
        <f>VLOOKUP(#REF!,$BF$2:$BK$17,2,FALSE)</f>
        <v>#REF!</v>
      </c>
      <c r="AQ42" s="145" t="e">
        <f>VLOOKUP(#REF!,$BF$2:$BK$17,3,FALSE)</f>
        <v>#REF!</v>
      </c>
      <c r="AR42" s="146" t="e">
        <f>IF(#REF!="",VLOOKUP(#REF!,$BF$2:$BK$17,3,FALSE),VLOOKUP(#REF!,$BF$2:$BK$17,2,FALSE))</f>
        <v>#REF!</v>
      </c>
      <c r="AS42" s="147" t="e">
        <f>#REF!*AP42*0.0258</f>
        <v>#REF!</v>
      </c>
      <c r="AT42" s="146" t="e">
        <f>VLOOKUP(#REF!,$BF$2:$BL$17,7,FALSE)</f>
        <v>#REF!</v>
      </c>
      <c r="AU42" s="146"/>
      <c r="AV42" s="145" t="e">
        <f>VLOOKUP(#REF!,$BF$2:$BK$17,2,FALSE)</f>
        <v>#REF!</v>
      </c>
      <c r="AW42" s="145" t="e">
        <f>VLOOKUP(#REF!,$BF$2:$BK$17,3,FALSE)</f>
        <v>#REF!</v>
      </c>
      <c r="AX42" s="146" t="e">
        <f>IF(#REF!="",VLOOKUP(#REF!,$BF$2:$BK$17,3,FALSE),VLOOKUP(#REF!,$BF$2:$BK$17,2,FALSE))</f>
        <v>#REF!</v>
      </c>
      <c r="AY42" s="147" t="e">
        <f>#REF!*AV42*0.0258</f>
        <v>#REF!</v>
      </c>
      <c r="AZ42" s="146" t="e">
        <f>VLOOKUP(#REF!,$BF$2:$BL$17,7,FALSE)</f>
        <v>#REF!</v>
      </c>
      <c r="BA42" s="146"/>
      <c r="BB42" s="146"/>
      <c r="CG42" s="266"/>
      <c r="CH42" s="267"/>
      <c r="CI42" s="266"/>
      <c r="CJ42" s="266"/>
      <c r="CK42" s="266"/>
      <c r="CL42" s="266"/>
      <c r="CM42" s="266"/>
      <c r="CN42" s="266"/>
      <c r="CO42" s="266"/>
      <c r="CP42" s="266"/>
    </row>
    <row r="43" spans="1:95" s="141" customFormat="1" ht="18" customHeight="1">
      <c r="B43" s="182"/>
      <c r="C43" s="182"/>
      <c r="D43" s="182"/>
      <c r="AM43" s="143"/>
      <c r="AN43" s="144"/>
      <c r="AO43" s="144"/>
      <c r="AP43" s="145" t="e">
        <f>VLOOKUP(#REF!,$BF$2:$BK$17,2,FALSE)</f>
        <v>#REF!</v>
      </c>
      <c r="AQ43" s="145" t="e">
        <f>VLOOKUP(#REF!,$BF$2:$BK$17,3,FALSE)</f>
        <v>#REF!</v>
      </c>
      <c r="AR43" s="146" t="e">
        <f>IF(#REF!="",VLOOKUP(#REF!,$BF$2:$BK$17,3,FALSE),VLOOKUP(#REF!,$BF$2:$BK$17,2,FALSE))</f>
        <v>#REF!</v>
      </c>
      <c r="AS43" s="147" t="e">
        <f>#REF!*AP43*0.0258</f>
        <v>#REF!</v>
      </c>
      <c r="AT43" s="146" t="e">
        <f>VLOOKUP(#REF!,$BF$2:$BL$17,7,FALSE)</f>
        <v>#REF!</v>
      </c>
      <c r="AU43" s="146"/>
      <c r="AV43" s="145" t="e">
        <f>VLOOKUP(#REF!,$BF$2:$BK$17,2,FALSE)</f>
        <v>#REF!</v>
      </c>
      <c r="AW43" s="145" t="e">
        <f>VLOOKUP(#REF!,$BF$2:$BK$17,3,FALSE)</f>
        <v>#REF!</v>
      </c>
      <c r="AX43" s="146" t="e">
        <f>IF(#REF!="",VLOOKUP(#REF!,$BF$2:$BK$17,3,FALSE),VLOOKUP(#REF!,$BF$2:$BK$17,2,FALSE))</f>
        <v>#REF!</v>
      </c>
      <c r="AY43" s="147" t="e">
        <f>#REF!*AV43*0.0258</f>
        <v>#REF!</v>
      </c>
      <c r="AZ43" s="146" t="e">
        <f>VLOOKUP(#REF!,$BF$2:$BL$17,7,FALSE)</f>
        <v>#REF!</v>
      </c>
      <c r="BA43" s="146"/>
      <c r="BB43" s="146"/>
      <c r="BN43" s="176"/>
      <c r="BO43" s="270"/>
      <c r="CG43" s="266"/>
      <c r="CH43" s="266"/>
      <c r="CI43" s="266"/>
      <c r="CJ43" s="266"/>
      <c r="CK43" s="266"/>
      <c r="CL43" s="266"/>
      <c r="CM43" s="266"/>
      <c r="CN43" s="266"/>
      <c r="CO43" s="266"/>
      <c r="CP43" s="266"/>
    </row>
    <row r="44" spans="1:95" s="141" customFormat="1" ht="18" customHeight="1">
      <c r="A44" s="137"/>
      <c r="B44" s="137"/>
      <c r="C44" s="137"/>
      <c r="D44" s="137"/>
      <c r="U44" s="197"/>
      <c r="V44" s="197"/>
      <c r="W44" s="197"/>
      <c r="X44" s="197"/>
      <c r="Y44" s="197"/>
      <c r="Z44" s="197"/>
      <c r="AA44" s="197"/>
      <c r="AB44" s="197"/>
      <c r="AC44" s="197"/>
      <c r="AD44" s="197"/>
      <c r="AE44" s="197"/>
      <c r="AM44" s="143"/>
      <c r="AN44" s="144"/>
      <c r="AO44" s="144"/>
      <c r="AP44" s="145" t="e">
        <f>VLOOKUP(#REF!,$BF$2:$BK$17,2,FALSE)</f>
        <v>#REF!</v>
      </c>
      <c r="AQ44" s="145" t="e">
        <f>VLOOKUP(#REF!,$BF$2:$BK$17,3,FALSE)</f>
        <v>#REF!</v>
      </c>
      <c r="AR44" s="146" t="e">
        <f>IF(#REF!="",VLOOKUP(#REF!,$BF$2:$BK$17,3,FALSE),VLOOKUP(#REF!,$BF$2:$BK$17,2,FALSE))</f>
        <v>#REF!</v>
      </c>
      <c r="AS44" s="147" t="e">
        <f>#REF!*AP44*0.0258</f>
        <v>#REF!</v>
      </c>
      <c r="AT44" s="146" t="e">
        <f>VLOOKUP(#REF!,$BF$2:$BL$17,7,FALSE)</f>
        <v>#REF!</v>
      </c>
      <c r="AU44" s="146"/>
      <c r="AV44" s="145" t="e">
        <f>VLOOKUP(#REF!,$BF$2:$BK$17,2,FALSE)</f>
        <v>#REF!</v>
      </c>
      <c r="AW44" s="145" t="e">
        <f>VLOOKUP(#REF!,$BF$2:$BK$17,3,FALSE)</f>
        <v>#REF!</v>
      </c>
      <c r="AX44" s="146" t="e">
        <f>IF(#REF!="",VLOOKUP(#REF!,$BF$2:$BK$17,3,FALSE),VLOOKUP(#REF!,$BF$2:$BK$17,2,FALSE))</f>
        <v>#REF!</v>
      </c>
      <c r="AY44" s="147" t="e">
        <f>#REF!*AV44*0.0258</f>
        <v>#REF!</v>
      </c>
      <c r="AZ44" s="146" t="e">
        <f>VLOOKUP(#REF!,$BF$2:$BL$17,7,FALSE)</f>
        <v>#REF!</v>
      </c>
      <c r="BA44" s="146"/>
      <c r="BB44" s="146"/>
      <c r="BN44" s="176"/>
      <c r="BO44" s="235"/>
      <c r="CD44" s="171"/>
      <c r="CG44" s="266"/>
      <c r="CH44" s="266"/>
      <c r="CI44" s="266"/>
      <c r="CJ44" s="266"/>
      <c r="CK44" s="266"/>
      <c r="CL44" s="266"/>
      <c r="CM44" s="266"/>
      <c r="CN44" s="266"/>
      <c r="CO44" s="266"/>
      <c r="CP44" s="266"/>
    </row>
    <row r="45" spans="1:95" s="141" customFormat="1" ht="15" customHeight="1">
      <c r="A45" s="137"/>
      <c r="B45" s="137"/>
      <c r="C45" s="137"/>
      <c r="D45" s="137"/>
      <c r="T45" s="154"/>
      <c r="U45" s="198"/>
      <c r="V45" s="198"/>
      <c r="W45" s="198"/>
      <c r="X45" s="198"/>
      <c r="Y45" s="198"/>
      <c r="Z45" s="198"/>
      <c r="AA45" s="198"/>
      <c r="AB45" s="182"/>
      <c r="AC45" s="182"/>
      <c r="AD45" s="182"/>
      <c r="AE45" s="182"/>
      <c r="AM45" s="143"/>
      <c r="AN45" s="144"/>
      <c r="AO45" s="137"/>
      <c r="AP45" s="145" t="e">
        <f>VLOOKUP(#REF!,$BF$2:$BK$17,2,FALSE)</f>
        <v>#REF!</v>
      </c>
      <c r="AQ45" s="145" t="e">
        <f>VLOOKUP(#REF!,$BF$2:$BK$17,3,FALSE)</f>
        <v>#REF!</v>
      </c>
      <c r="AR45" s="146" t="e">
        <f>IF(#REF!="",VLOOKUP(#REF!,$BF$2:$BK$17,3,FALSE),VLOOKUP(#REF!,$BF$2:$BK$17,2,FALSE))</f>
        <v>#REF!</v>
      </c>
      <c r="AS45" s="147" t="e">
        <f>#REF!*AP45*0.0258</f>
        <v>#REF!</v>
      </c>
      <c r="AT45" s="146" t="e">
        <f>VLOOKUP(#REF!,$BF$2:$BL$17,7,FALSE)</f>
        <v>#REF!</v>
      </c>
      <c r="AU45" s="146"/>
      <c r="AV45" s="145" t="e">
        <f>VLOOKUP(#REF!,$BF$2:$BK$17,2,FALSE)</f>
        <v>#REF!</v>
      </c>
      <c r="AW45" s="145" t="e">
        <f>VLOOKUP(#REF!,$BF$2:$BK$17,3,FALSE)</f>
        <v>#REF!</v>
      </c>
      <c r="AX45" s="146" t="e">
        <f>IF(#REF!="",VLOOKUP(#REF!,$BF$2:$BK$17,3,FALSE),VLOOKUP(#REF!,$BF$2:$BK$17,2,FALSE))</f>
        <v>#REF!</v>
      </c>
      <c r="AY45" s="147" t="e">
        <f>#REF!*AV45*0.0258</f>
        <v>#REF!</v>
      </c>
      <c r="AZ45" s="146" t="e">
        <f>VLOOKUP(#REF!,$BF$2:$BL$17,7,FALSE)</f>
        <v>#REF!</v>
      </c>
      <c r="BN45" s="176"/>
      <c r="BO45" s="235"/>
      <c r="CE45" s="171"/>
      <c r="CH45" s="266"/>
      <c r="CI45" s="266"/>
      <c r="CJ45" s="266"/>
      <c r="CK45" s="266"/>
      <c r="CL45" s="268"/>
      <c r="CM45" s="268"/>
      <c r="CN45" s="268"/>
      <c r="CO45" s="269"/>
      <c r="CP45" s="269"/>
      <c r="CQ45" s="269"/>
    </row>
    <row r="46" spans="1:95" s="141" customFormat="1" ht="15" customHeight="1">
      <c r="A46" s="137"/>
      <c r="B46" s="137"/>
      <c r="C46" s="137"/>
      <c r="D46" s="137"/>
      <c r="U46" s="198"/>
      <c r="V46" s="198"/>
      <c r="W46" s="198"/>
      <c r="X46" s="198"/>
      <c r="Y46" s="198"/>
      <c r="Z46" s="198"/>
      <c r="AA46" s="198"/>
      <c r="AB46" s="182"/>
      <c r="AC46" s="182"/>
      <c r="AD46" s="182"/>
      <c r="AE46" s="182"/>
      <c r="AN46" s="143"/>
      <c r="AO46" s="144"/>
      <c r="AP46" s="145" t="e">
        <f>VLOOKUP(#REF!,$BF$2:$BK$17,2,FALSE)</f>
        <v>#REF!</v>
      </c>
      <c r="AQ46" s="145" t="e">
        <f>VLOOKUP(#REF!,$BF$2:$BK$17,3,FALSE)</f>
        <v>#REF!</v>
      </c>
      <c r="AR46" s="146" t="e">
        <f>IF(#REF!="",VLOOKUP(#REF!,$BF$2:$BK$17,3,FALSE),VLOOKUP(#REF!,$BF$2:$BK$17,2,FALSE))</f>
        <v>#REF!</v>
      </c>
      <c r="AS46" s="147" t="e">
        <f>#REF!*AP46*0.0258</f>
        <v>#REF!</v>
      </c>
      <c r="AT46" s="146" t="e">
        <f>VLOOKUP(#REF!,$BF$2:$BL$17,7,FALSE)</f>
        <v>#REF!</v>
      </c>
      <c r="AU46" s="146"/>
      <c r="AV46" s="145" t="e">
        <f>VLOOKUP(#REF!,$BF$2:$BK$17,2,FALSE)</f>
        <v>#REF!</v>
      </c>
      <c r="AW46" s="145" t="e">
        <f>VLOOKUP(#REF!,$BF$2:$BK$17,3,FALSE)</f>
        <v>#REF!</v>
      </c>
      <c r="AX46" s="146" t="e">
        <f>IF(#REF!="",VLOOKUP(#REF!,$BF$2:$BK$17,3,FALSE),VLOOKUP(#REF!,$BF$2:$BK$17,2,FALSE))</f>
        <v>#REF!</v>
      </c>
      <c r="AY46" s="147" t="e">
        <f>#REF!*AV46*0.0258</f>
        <v>#REF!</v>
      </c>
      <c r="AZ46" s="146" t="e">
        <f>VLOOKUP(#REF!,$BF$2:$BL$17,7,FALSE)</f>
        <v>#REF!</v>
      </c>
      <c r="BN46" s="176"/>
      <c r="BO46" s="235"/>
      <c r="BP46" s="270"/>
      <c r="BQ46" s="176"/>
      <c r="BR46" s="237"/>
      <c r="BS46" s="238"/>
      <c r="BT46" s="271"/>
      <c r="BU46" s="271"/>
      <c r="BV46" s="176"/>
      <c r="CE46" s="171"/>
      <c r="CH46" s="266"/>
      <c r="CI46" s="266"/>
      <c r="CJ46" s="266"/>
      <c r="CK46" s="266"/>
      <c r="CL46" s="268"/>
      <c r="CM46" s="268"/>
      <c r="CN46" s="268"/>
      <c r="CO46" s="269"/>
      <c r="CP46" s="269"/>
      <c r="CQ46" s="269"/>
    </row>
    <row r="47" spans="1:95" s="141" customFormat="1" ht="15" customHeight="1">
      <c r="A47" s="137"/>
      <c r="B47" s="137"/>
      <c r="C47" s="137"/>
      <c r="D47" s="137"/>
      <c r="U47" s="199"/>
      <c r="W47" s="200"/>
      <c r="AM47" s="182"/>
      <c r="AN47" s="143"/>
      <c r="AO47" s="144"/>
      <c r="AP47" s="144"/>
      <c r="AQ47" s="145"/>
      <c r="AR47" s="145"/>
      <c r="AS47" s="146"/>
      <c r="AT47" s="146"/>
      <c r="AU47" s="146"/>
      <c r="AV47" s="146"/>
      <c r="AW47" s="146"/>
      <c r="AX47" s="146"/>
      <c r="AY47" s="146"/>
      <c r="AZ47" s="146"/>
      <c r="BN47" s="176"/>
      <c r="BO47" s="235"/>
      <c r="BP47" s="235"/>
      <c r="BQ47" s="176"/>
      <c r="BR47" s="176"/>
      <c r="BS47" s="176"/>
      <c r="BT47" s="176"/>
      <c r="BU47" s="176"/>
      <c r="BV47" s="176"/>
      <c r="CE47" s="171"/>
      <c r="CH47" s="266"/>
      <c r="CI47" s="266"/>
      <c r="CJ47" s="266"/>
      <c r="CK47" s="266"/>
      <c r="CL47" s="268"/>
      <c r="CM47" s="268"/>
      <c r="CN47" s="268"/>
      <c r="CO47" s="269"/>
      <c r="CP47" s="269"/>
      <c r="CQ47" s="269"/>
    </row>
    <row r="48" spans="1:95" s="141" customFormat="1" ht="15" customHeight="1">
      <c r="A48" s="137"/>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82"/>
      <c r="AN48" s="143"/>
      <c r="AO48" s="144"/>
      <c r="AP48" s="144"/>
      <c r="AQ48" s="145"/>
      <c r="AR48" s="145"/>
      <c r="AS48" s="146"/>
      <c r="AT48" s="146"/>
      <c r="AU48" s="146"/>
      <c r="AV48" s="146"/>
      <c r="AW48" s="146"/>
      <c r="AX48" s="146"/>
      <c r="AY48" s="146"/>
      <c r="AZ48" s="146"/>
      <c r="BN48" s="176"/>
      <c r="BO48" s="235"/>
      <c r="BP48" s="235"/>
      <c r="BQ48" s="176"/>
      <c r="BR48" s="176"/>
      <c r="BS48" s="176"/>
      <c r="BT48" s="176"/>
      <c r="BU48" s="176"/>
      <c r="BV48" s="176"/>
      <c r="CE48" s="171"/>
      <c r="CH48" s="266"/>
      <c r="CI48" s="266"/>
      <c r="CJ48" s="266"/>
      <c r="CK48" s="266"/>
      <c r="CL48" s="268"/>
      <c r="CM48" s="268"/>
      <c r="CN48" s="268"/>
      <c r="CO48" s="269"/>
      <c r="CP48" s="269"/>
      <c r="CQ48" s="269"/>
    </row>
    <row r="49" spans="1:95" s="141" customFormat="1" ht="1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88"/>
      <c r="AN49" s="143"/>
      <c r="AO49" s="144"/>
      <c r="AP49" s="144"/>
      <c r="AQ49" s="145"/>
      <c r="AR49" s="145"/>
      <c r="AS49" s="146"/>
      <c r="AT49" s="146"/>
      <c r="AU49" s="146"/>
      <c r="AV49" s="146"/>
      <c r="AW49" s="146"/>
      <c r="AX49" s="146"/>
      <c r="AY49" s="146"/>
      <c r="AZ49" s="146"/>
      <c r="BN49" s="176"/>
      <c r="BO49" s="235"/>
      <c r="BP49" s="235"/>
      <c r="BQ49" s="176"/>
      <c r="BR49" s="176"/>
      <c r="BS49" s="176"/>
      <c r="BT49" s="176"/>
      <c r="BU49" s="176"/>
      <c r="BV49" s="176"/>
      <c r="CE49" s="171"/>
      <c r="CH49" s="266"/>
      <c r="CI49" s="266"/>
      <c r="CJ49" s="266"/>
      <c r="CK49" s="266"/>
      <c r="CL49" s="268"/>
      <c r="CM49" s="268"/>
      <c r="CN49" s="268"/>
      <c r="CO49" s="269"/>
      <c r="CP49" s="269"/>
      <c r="CQ49" s="269"/>
    </row>
    <row r="50" spans="1:95" s="141" customFormat="1" ht="15" customHeight="1">
      <c r="A50" s="137"/>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N50" s="143"/>
      <c r="AO50" s="144"/>
      <c r="AP50" s="144"/>
      <c r="AQ50" s="145"/>
      <c r="AR50" s="145"/>
      <c r="AS50" s="146"/>
      <c r="AT50" s="146"/>
      <c r="AU50" s="146"/>
      <c r="AV50" s="146"/>
      <c r="AW50" s="146"/>
      <c r="AX50" s="146"/>
      <c r="AY50" s="146"/>
      <c r="AZ50" s="146"/>
      <c r="BN50" s="176"/>
      <c r="BO50" s="235"/>
      <c r="BP50" s="235"/>
      <c r="BQ50" s="176"/>
      <c r="BR50" s="176"/>
      <c r="BS50" s="176"/>
      <c r="BT50" s="176"/>
      <c r="BU50" s="176"/>
      <c r="BV50" s="176"/>
      <c r="CE50" s="171"/>
      <c r="CH50" s="266"/>
      <c r="CI50" s="266"/>
      <c r="CJ50" s="266"/>
      <c r="CK50" s="266"/>
      <c r="CL50" s="268"/>
      <c r="CM50" s="268"/>
      <c r="CN50" s="268"/>
      <c r="CO50" s="269"/>
      <c r="CP50" s="269"/>
      <c r="CQ50" s="269"/>
    </row>
    <row r="51" spans="1:95" s="141" customFormat="1" ht="15" customHeight="1">
      <c r="A51" s="137"/>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82"/>
      <c r="AN51" s="143"/>
      <c r="AO51" s="144"/>
      <c r="AP51" s="144"/>
      <c r="AQ51" s="145"/>
      <c r="AR51" s="145"/>
      <c r="AS51" s="146"/>
      <c r="AT51" s="146"/>
      <c r="AU51" s="146"/>
      <c r="AV51" s="146"/>
      <c r="AW51" s="146"/>
      <c r="AX51" s="146"/>
      <c r="AY51" s="146"/>
      <c r="AZ51" s="146"/>
      <c r="BN51" s="176"/>
      <c r="BO51" s="235"/>
      <c r="BP51" s="235"/>
      <c r="BQ51" s="176"/>
      <c r="BR51" s="176"/>
      <c r="BS51" s="176"/>
      <c r="BT51" s="176"/>
      <c r="BU51" s="176"/>
      <c r="BV51" s="176"/>
      <c r="CE51" s="171"/>
      <c r="CH51" s="266"/>
      <c r="CI51" s="266"/>
      <c r="CJ51" s="266"/>
      <c r="CK51" s="266"/>
      <c r="CL51" s="268"/>
      <c r="CM51" s="268"/>
      <c r="CN51" s="268"/>
      <c r="CO51" s="269"/>
      <c r="CP51" s="269"/>
      <c r="CQ51" s="269"/>
    </row>
    <row r="52" spans="1:95" s="141" customFormat="1" ht="15" customHeight="1">
      <c r="A52" s="137"/>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82"/>
      <c r="AN52" s="143"/>
      <c r="AO52" s="144"/>
      <c r="AP52" s="144"/>
      <c r="AQ52" s="145"/>
      <c r="AR52" s="145"/>
      <c r="AS52" s="146"/>
      <c r="AT52" s="146"/>
      <c r="AU52" s="146"/>
      <c r="AV52" s="146"/>
      <c r="AW52" s="146"/>
      <c r="AX52" s="146"/>
      <c r="AY52" s="146"/>
      <c r="AZ52" s="146"/>
      <c r="BN52" s="176"/>
      <c r="BO52" s="235"/>
      <c r="BP52" s="235"/>
      <c r="BQ52" s="176"/>
      <c r="BR52" s="176"/>
      <c r="BS52" s="176"/>
      <c r="BT52" s="176"/>
      <c r="BU52" s="176"/>
      <c r="BV52" s="176"/>
      <c r="CE52" s="171"/>
      <c r="CH52" s="266"/>
      <c r="CI52" s="266"/>
      <c r="CJ52" s="266"/>
      <c r="CK52" s="266"/>
      <c r="CL52" s="268"/>
      <c r="CM52" s="272"/>
      <c r="CN52" s="268"/>
      <c r="CO52" s="269"/>
      <c r="CP52" s="273"/>
      <c r="CQ52" s="269"/>
    </row>
    <row r="53" spans="1:95" s="141" customFormat="1" ht="15" customHeight="1">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N53" s="143"/>
      <c r="AO53" s="144"/>
      <c r="AP53" s="144"/>
      <c r="AQ53" s="145"/>
      <c r="AR53" s="145"/>
      <c r="AS53" s="146"/>
      <c r="AT53" s="146"/>
      <c r="AU53" s="146"/>
      <c r="AV53" s="146"/>
      <c r="AW53" s="146"/>
      <c r="AX53" s="146"/>
      <c r="AY53" s="146"/>
      <c r="AZ53" s="146"/>
      <c r="BG53" s="141" t="s">
        <v>383</v>
      </c>
      <c r="BN53" s="176"/>
      <c r="BO53" s="270"/>
      <c r="BP53" s="235"/>
      <c r="BQ53" s="176"/>
      <c r="BR53" s="176"/>
      <c r="BS53" s="176"/>
      <c r="BT53" s="176"/>
      <c r="BU53" s="176"/>
      <c r="BV53" s="176"/>
      <c r="CE53" s="171"/>
      <c r="CH53" s="266"/>
      <c r="CI53" s="266"/>
      <c r="CJ53" s="266"/>
      <c r="CK53" s="266"/>
      <c r="CL53" s="268"/>
      <c r="CM53" s="268"/>
      <c r="CN53" s="268"/>
      <c r="CO53" s="269"/>
      <c r="CP53" s="269"/>
      <c r="CQ53" s="269"/>
    </row>
    <row r="54" spans="1:95" s="141" customFormat="1" ht="15" customHeight="1">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N54" s="143"/>
      <c r="AO54" s="144"/>
      <c r="AP54" s="144"/>
      <c r="AQ54" s="145"/>
      <c r="AR54" s="145"/>
      <c r="AS54" s="146"/>
      <c r="AT54" s="146"/>
      <c r="AU54" s="146"/>
      <c r="AV54" s="146"/>
      <c r="AW54" s="146"/>
      <c r="AX54" s="146"/>
      <c r="AY54" s="146"/>
      <c r="AZ54" s="146"/>
      <c r="BG54" s="141" t="s">
        <v>385</v>
      </c>
      <c r="BN54" s="176"/>
      <c r="BO54" s="235"/>
      <c r="BP54" s="235"/>
      <c r="BQ54" s="176"/>
      <c r="BR54" s="176"/>
      <c r="BS54" s="176"/>
      <c r="BT54" s="176"/>
      <c r="BU54" s="176"/>
      <c r="BV54" s="176"/>
      <c r="CE54" s="171"/>
      <c r="CH54" s="266"/>
      <c r="CI54" s="266"/>
      <c r="CJ54" s="266"/>
      <c r="CK54" s="266"/>
      <c r="CL54" s="268"/>
      <c r="CM54" s="268"/>
      <c r="CN54" s="268"/>
      <c r="CO54" s="269"/>
      <c r="CP54" s="269"/>
      <c r="CQ54" s="269"/>
    </row>
    <row r="55" spans="1:95" s="141" customFormat="1" ht="15" customHeight="1">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N55" s="143"/>
      <c r="AO55" s="144"/>
      <c r="AP55" s="144"/>
      <c r="AQ55" s="145"/>
      <c r="AR55" s="145"/>
      <c r="AS55" s="146"/>
      <c r="AT55" s="146"/>
      <c r="AU55" s="146"/>
      <c r="AV55" s="146"/>
      <c r="AW55" s="146"/>
      <c r="AX55" s="146"/>
      <c r="AY55" s="146"/>
      <c r="AZ55" s="146"/>
      <c r="BG55" s="141" t="s">
        <v>387</v>
      </c>
      <c r="BN55" s="176"/>
      <c r="BO55" s="235"/>
      <c r="BP55" s="235"/>
      <c r="BQ55" s="176"/>
      <c r="BR55" s="176"/>
      <c r="BS55" s="176"/>
      <c r="BT55" s="176"/>
      <c r="BU55" s="176"/>
      <c r="BV55" s="176"/>
      <c r="CE55" s="171"/>
      <c r="CH55" s="266"/>
      <c r="CI55" s="266"/>
      <c r="CJ55" s="266"/>
      <c r="CK55" s="266"/>
      <c r="CL55" s="268"/>
      <c r="CM55" s="268"/>
      <c r="CN55" s="268"/>
      <c r="CO55" s="269"/>
      <c r="CP55" s="269"/>
      <c r="CQ55" s="269"/>
    </row>
    <row r="56" spans="1:95" s="141" customFormat="1" ht="15" customHeight="1">
      <c r="A56" s="137"/>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N56" s="143"/>
      <c r="AO56" s="144"/>
      <c r="AP56" s="144"/>
      <c r="AQ56" s="145"/>
      <c r="AR56" s="145"/>
      <c r="AS56" s="146"/>
      <c r="AT56" s="146"/>
      <c r="AU56" s="146"/>
      <c r="AV56" s="146"/>
      <c r="AW56" s="146"/>
      <c r="AX56" s="146"/>
      <c r="AY56" s="146"/>
      <c r="AZ56" s="146"/>
      <c r="BG56" s="141" t="s">
        <v>389</v>
      </c>
      <c r="BN56" s="176"/>
      <c r="BO56" s="235"/>
      <c r="BP56" s="270"/>
      <c r="BQ56" s="176"/>
      <c r="BR56" s="237"/>
      <c r="BS56" s="237"/>
      <c r="BT56" s="271"/>
      <c r="BU56" s="271"/>
      <c r="BV56" s="176"/>
      <c r="CE56" s="171"/>
      <c r="CH56" s="266"/>
      <c r="CI56" s="266"/>
      <c r="CJ56" s="266"/>
      <c r="CK56" s="266"/>
      <c r="CL56" s="268"/>
      <c r="CM56" s="268"/>
      <c r="CN56" s="266"/>
      <c r="CO56" s="269"/>
      <c r="CP56" s="269"/>
      <c r="CQ56" s="269"/>
    </row>
    <row r="57" spans="1:95" s="141" customFormat="1" ht="15" customHeight="1">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N57" s="143"/>
      <c r="AO57" s="144"/>
      <c r="AP57" s="144"/>
      <c r="AQ57" s="145"/>
      <c r="AR57" s="145"/>
      <c r="AS57" s="146"/>
      <c r="AT57" s="146"/>
      <c r="AU57" s="146"/>
      <c r="AV57" s="146"/>
      <c r="AW57" s="146"/>
      <c r="AX57" s="146"/>
      <c r="AY57" s="146"/>
      <c r="AZ57" s="146"/>
      <c r="BG57" s="141" t="s">
        <v>391</v>
      </c>
      <c r="BN57" s="176"/>
      <c r="BO57" s="235"/>
      <c r="BP57" s="235"/>
      <c r="BQ57" s="176"/>
      <c r="BR57" s="176"/>
      <c r="BS57" s="176"/>
      <c r="BT57" s="176"/>
      <c r="BU57" s="176"/>
      <c r="BV57" s="176"/>
      <c r="CE57" s="171"/>
      <c r="CH57" s="266"/>
      <c r="CI57" s="266"/>
      <c r="CJ57" s="266"/>
      <c r="CK57" s="266"/>
      <c r="CL57" s="266"/>
      <c r="CM57" s="268"/>
      <c r="CN57" s="266"/>
      <c r="CO57" s="269"/>
      <c r="CP57" s="269"/>
      <c r="CQ57" s="269"/>
    </row>
    <row r="58" spans="1:95" s="141" customFormat="1" ht="15" customHeight="1">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43"/>
      <c r="AO58" s="144"/>
      <c r="AP58" s="144"/>
      <c r="AQ58" s="145"/>
      <c r="AR58" s="145"/>
      <c r="AS58" s="146"/>
      <c r="AT58" s="146"/>
      <c r="AU58" s="146"/>
      <c r="AV58" s="146"/>
      <c r="AW58" s="146"/>
      <c r="AX58" s="146"/>
      <c r="AY58" s="146"/>
      <c r="AZ58" s="146"/>
      <c r="BG58" s="141" t="s">
        <v>393</v>
      </c>
      <c r="BN58" s="176"/>
      <c r="BO58" s="270"/>
      <c r="BP58" s="235"/>
      <c r="BQ58" s="176"/>
      <c r="BR58" s="176"/>
      <c r="BS58" s="176"/>
      <c r="BT58" s="176"/>
      <c r="BU58" s="176"/>
      <c r="BV58" s="176"/>
      <c r="CE58" s="171"/>
      <c r="CH58" s="266"/>
      <c r="CI58" s="266"/>
      <c r="CJ58" s="266"/>
      <c r="CK58" s="266"/>
      <c r="CL58" s="266"/>
      <c r="CM58" s="268"/>
      <c r="CN58" s="266"/>
      <c r="CO58" s="269"/>
      <c r="CP58" s="269"/>
      <c r="CQ58" s="269"/>
    </row>
    <row r="59" spans="1:95" s="141" customFormat="1" ht="15" customHeight="1">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43"/>
      <c r="AO59" s="144"/>
      <c r="AP59" s="144"/>
      <c r="AQ59" s="145"/>
      <c r="AR59" s="145"/>
      <c r="AS59" s="146"/>
      <c r="AT59" s="146"/>
      <c r="AU59" s="146"/>
      <c r="AV59" s="146"/>
      <c r="AW59" s="146"/>
      <c r="AX59" s="146"/>
      <c r="AY59" s="146"/>
      <c r="AZ59" s="146"/>
      <c r="BG59" s="141" t="s">
        <v>395</v>
      </c>
      <c r="BN59" s="176"/>
      <c r="BO59" s="235"/>
      <c r="BP59" s="235"/>
      <c r="BQ59" s="176"/>
      <c r="BR59" s="176"/>
      <c r="BS59" s="176"/>
      <c r="BT59" s="176"/>
      <c r="BU59" s="176"/>
      <c r="BV59" s="176"/>
      <c r="CE59" s="171"/>
      <c r="CH59" s="266"/>
      <c r="CI59" s="266"/>
      <c r="CJ59" s="266"/>
      <c r="CK59" s="266"/>
      <c r="CL59" s="266"/>
      <c r="CM59" s="268"/>
      <c r="CN59" s="266"/>
      <c r="CO59" s="269"/>
      <c r="CP59" s="269"/>
      <c r="CQ59" s="269"/>
    </row>
    <row r="60" spans="1:95" s="141" customFormat="1" ht="15" customHeight="1">
      <c r="A60" s="137"/>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c r="AN60" s="143"/>
      <c r="AO60" s="144"/>
      <c r="AP60" s="144"/>
      <c r="AQ60" s="145"/>
      <c r="AR60" s="145"/>
      <c r="AS60" s="146"/>
      <c r="AT60" s="146"/>
      <c r="AU60" s="146"/>
      <c r="AV60" s="146"/>
      <c r="AW60" s="146"/>
      <c r="AX60" s="146"/>
      <c r="AY60" s="146"/>
      <c r="AZ60" s="146"/>
      <c r="BG60" s="141" t="s">
        <v>396</v>
      </c>
      <c r="BN60" s="176"/>
      <c r="BO60" s="235"/>
      <c r="BP60" s="235"/>
      <c r="BQ60" s="176"/>
      <c r="BR60" s="176"/>
      <c r="BS60" s="176"/>
      <c r="BT60" s="176"/>
      <c r="BU60" s="176"/>
      <c r="BV60" s="176"/>
      <c r="CE60" s="171"/>
      <c r="CH60" s="266"/>
      <c r="CI60" s="266"/>
      <c r="CJ60" s="266"/>
      <c r="CK60" s="266"/>
      <c r="CL60" s="266"/>
      <c r="CM60" s="268"/>
      <c r="CN60" s="266"/>
      <c r="CO60" s="269"/>
      <c r="CP60" s="269"/>
      <c r="CQ60" s="269"/>
    </row>
    <row r="61" spans="1:95" s="141" customFormat="1" ht="15" customHeight="1">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43"/>
      <c r="AO61" s="144"/>
      <c r="AP61" s="144"/>
      <c r="AQ61" s="145"/>
      <c r="AR61" s="145"/>
      <c r="AS61" s="146"/>
      <c r="AT61" s="146"/>
      <c r="AU61" s="146"/>
      <c r="AV61" s="146"/>
      <c r="AW61" s="146"/>
      <c r="AX61" s="146"/>
      <c r="AY61" s="146"/>
      <c r="AZ61" s="146"/>
      <c r="BG61" s="141" t="s">
        <v>397</v>
      </c>
      <c r="BN61" s="176"/>
      <c r="BO61" s="235"/>
      <c r="BP61" s="270"/>
      <c r="BQ61" s="176"/>
      <c r="BR61" s="274"/>
      <c r="BS61" s="274"/>
      <c r="BT61" s="271"/>
      <c r="BU61" s="271"/>
      <c r="BV61" s="176"/>
      <c r="CE61" s="171"/>
      <c r="CH61" s="266"/>
      <c r="CI61" s="266"/>
      <c r="CJ61" s="266"/>
      <c r="CK61" s="266"/>
      <c r="CL61" s="266"/>
      <c r="CM61" s="268"/>
      <c r="CN61" s="266"/>
      <c r="CO61" s="269"/>
      <c r="CP61" s="269"/>
      <c r="CQ61" s="269"/>
    </row>
    <row r="62" spans="1:95" s="141" customFormat="1" ht="15" customHeight="1">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43"/>
      <c r="AO62" s="144"/>
      <c r="AP62" s="144"/>
      <c r="AQ62" s="145"/>
      <c r="AR62" s="145"/>
      <c r="AS62" s="146"/>
      <c r="AT62" s="146"/>
      <c r="AU62" s="146"/>
      <c r="AV62" s="146"/>
      <c r="AW62" s="146"/>
      <c r="AX62" s="146"/>
      <c r="AY62" s="146"/>
      <c r="AZ62" s="146"/>
      <c r="BG62" s="141" t="s">
        <v>398</v>
      </c>
      <c r="BN62" s="176"/>
      <c r="BO62" s="235"/>
      <c r="BP62" s="235"/>
      <c r="BQ62" s="176"/>
      <c r="BR62" s="176"/>
      <c r="BS62" s="176"/>
      <c r="BT62" s="176"/>
      <c r="BU62" s="176"/>
      <c r="BV62" s="176"/>
      <c r="CE62" s="171"/>
      <c r="CH62" s="266"/>
      <c r="CI62" s="266"/>
      <c r="CJ62" s="266"/>
      <c r="CK62" s="266"/>
      <c r="CL62" s="266"/>
      <c r="CM62" s="268"/>
      <c r="CN62" s="266"/>
      <c r="CO62" s="269"/>
      <c r="CP62" s="269"/>
      <c r="CQ62" s="269"/>
    </row>
    <row r="63" spans="1:95" s="141" customFormat="1" ht="15" customHeight="1">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43"/>
      <c r="AO63" s="144"/>
      <c r="AP63" s="144"/>
      <c r="AQ63" s="145"/>
      <c r="AR63" s="145"/>
      <c r="AS63" s="146"/>
      <c r="AT63" s="146"/>
      <c r="AU63" s="146"/>
      <c r="AV63" s="146"/>
      <c r="AW63" s="146"/>
      <c r="AX63" s="146"/>
      <c r="AY63" s="146"/>
      <c r="AZ63" s="146"/>
      <c r="BG63" s="141" t="s">
        <v>399</v>
      </c>
      <c r="BN63" s="176"/>
      <c r="BO63" s="270"/>
      <c r="BP63" s="235"/>
      <c r="BQ63" s="176"/>
      <c r="BR63" s="176"/>
      <c r="BS63" s="176"/>
      <c r="BT63" s="176"/>
      <c r="BU63" s="176"/>
      <c r="BV63" s="176"/>
      <c r="CE63" s="171"/>
      <c r="CH63" s="266"/>
      <c r="CI63" s="266"/>
      <c r="CJ63" s="266"/>
      <c r="CK63" s="266"/>
      <c r="CL63" s="266"/>
      <c r="CM63" s="268"/>
      <c r="CN63" s="266"/>
      <c r="CO63" s="269"/>
      <c r="CP63" s="269"/>
      <c r="CQ63" s="269"/>
    </row>
    <row r="64" spans="1:95" s="141" customFormat="1" ht="15" customHeight="1">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43"/>
      <c r="AO64" s="144"/>
      <c r="AP64" s="144"/>
      <c r="AQ64" s="145"/>
      <c r="AR64" s="145"/>
      <c r="AS64" s="146"/>
      <c r="AT64" s="146"/>
      <c r="AU64" s="146"/>
      <c r="AV64" s="146"/>
      <c r="AW64" s="146"/>
      <c r="AX64" s="146"/>
      <c r="AY64" s="146"/>
      <c r="AZ64" s="146"/>
      <c r="BG64" s="141" t="s">
        <v>400</v>
      </c>
      <c r="BN64" s="176"/>
      <c r="BO64" s="275"/>
      <c r="BP64" s="235"/>
      <c r="BQ64" s="176"/>
      <c r="BR64" s="176"/>
      <c r="BS64" s="176"/>
      <c r="BT64" s="176"/>
      <c r="BU64" s="176"/>
      <c r="BV64" s="176"/>
      <c r="CE64" s="171"/>
      <c r="CH64" s="266"/>
      <c r="CI64" s="266"/>
      <c r="CJ64" s="266"/>
      <c r="CK64" s="266"/>
      <c r="CL64" s="266"/>
      <c r="CM64" s="268"/>
      <c r="CN64" s="266"/>
      <c r="CO64" s="269"/>
      <c r="CP64" s="269"/>
      <c r="CQ64" s="269"/>
    </row>
    <row r="65" spans="1:95" s="141" customFormat="1" ht="15" customHeight="1">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43"/>
      <c r="AO65" s="144"/>
      <c r="AP65" s="144"/>
      <c r="AQ65" s="145"/>
      <c r="AR65" s="145"/>
      <c r="AS65" s="146"/>
      <c r="AT65" s="146"/>
      <c r="AU65" s="146"/>
      <c r="AV65" s="146"/>
      <c r="AW65" s="146"/>
      <c r="AX65" s="146"/>
      <c r="AY65" s="146"/>
      <c r="AZ65" s="146"/>
      <c r="BG65" s="141" t="s">
        <v>401</v>
      </c>
      <c r="BN65" s="176"/>
      <c r="BO65" s="235"/>
      <c r="BP65" s="235"/>
      <c r="BQ65" s="176"/>
      <c r="BR65" s="176"/>
      <c r="BS65" s="176"/>
      <c r="BT65" s="176"/>
      <c r="BU65" s="176"/>
      <c r="BV65" s="176"/>
      <c r="CE65" s="171"/>
      <c r="CH65" s="266"/>
      <c r="CI65" s="266"/>
      <c r="CJ65" s="266"/>
      <c r="CK65" s="266"/>
      <c r="CL65" s="266"/>
      <c r="CM65" s="268"/>
      <c r="CN65" s="266"/>
      <c r="CO65" s="269"/>
      <c r="CP65" s="269"/>
      <c r="CQ65" s="269"/>
    </row>
    <row r="66" spans="1:95" s="141" customFormat="1" ht="15" customHeight="1">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c r="AN66" s="143"/>
      <c r="AO66" s="144"/>
      <c r="AP66" s="144"/>
      <c r="AQ66" s="145"/>
      <c r="AR66" s="145"/>
      <c r="AS66" s="146"/>
      <c r="AT66" s="146"/>
      <c r="AU66" s="146"/>
      <c r="AV66" s="146"/>
      <c r="AW66" s="146"/>
      <c r="AX66" s="146"/>
      <c r="AY66" s="146"/>
      <c r="AZ66" s="146"/>
      <c r="BG66" s="141" t="s">
        <v>402</v>
      </c>
      <c r="BL66" s="202"/>
      <c r="BN66" s="176"/>
      <c r="BO66" s="235"/>
      <c r="BP66" s="270"/>
      <c r="BQ66" s="176"/>
      <c r="BR66" s="274"/>
      <c r="BS66" s="274"/>
      <c r="BT66" s="271"/>
      <c r="BU66" s="271"/>
      <c r="BV66" s="176"/>
      <c r="CE66" s="171"/>
      <c r="CH66" s="266"/>
      <c r="CI66" s="266"/>
      <c r="CJ66" s="266"/>
      <c r="CK66" s="266"/>
      <c r="CL66" s="266"/>
      <c r="CM66" s="268"/>
      <c r="CN66" s="266"/>
      <c r="CO66" s="269"/>
      <c r="CP66" s="269"/>
      <c r="CQ66" s="269"/>
    </row>
    <row r="67" spans="1:95" s="141" customFormat="1" ht="15" customHeight="1">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43"/>
      <c r="AO67" s="144"/>
      <c r="AP67" s="144"/>
      <c r="AQ67" s="145"/>
      <c r="AR67" s="145"/>
      <c r="AS67" s="146"/>
      <c r="AT67" s="146"/>
      <c r="AU67" s="146"/>
      <c r="AV67" s="146"/>
      <c r="AW67" s="146"/>
      <c r="AX67" s="146"/>
      <c r="AY67" s="146"/>
      <c r="AZ67" s="146"/>
      <c r="BG67" s="141" t="s">
        <v>403</v>
      </c>
      <c r="BN67" s="176"/>
      <c r="BO67" s="235"/>
      <c r="BP67" s="275"/>
      <c r="BQ67" s="176"/>
      <c r="BR67" s="202"/>
      <c r="BS67" s="202"/>
      <c r="BT67" s="202"/>
      <c r="BU67" s="202"/>
      <c r="BV67" s="176"/>
      <c r="CE67" s="171"/>
      <c r="CH67" s="266"/>
      <c r="CI67" s="266"/>
      <c r="CJ67" s="266"/>
      <c r="CK67" s="266"/>
      <c r="CL67" s="266"/>
      <c r="CM67" s="268"/>
      <c r="CN67" s="266"/>
      <c r="CO67" s="269"/>
      <c r="CP67" s="269"/>
      <c r="CQ67" s="269"/>
    </row>
    <row r="68" spans="1:95" s="141" customFormat="1" ht="15" customHeight="1">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c r="AN68" s="143"/>
      <c r="AO68" s="144"/>
      <c r="AP68" s="144"/>
      <c r="AQ68" s="145"/>
      <c r="AR68" s="145"/>
      <c r="AS68" s="146"/>
      <c r="AT68" s="146"/>
      <c r="AU68" s="146"/>
      <c r="AV68" s="146"/>
      <c r="AW68" s="146"/>
      <c r="AX68" s="146"/>
      <c r="AY68" s="146"/>
      <c r="AZ68" s="146"/>
      <c r="BG68" s="141" t="s">
        <v>404</v>
      </c>
      <c r="BK68" s="202"/>
      <c r="BP68" s="235"/>
      <c r="BQ68" s="176"/>
      <c r="BR68" s="176"/>
      <c r="BS68" s="176"/>
      <c r="BT68" s="176"/>
      <c r="BU68" s="176"/>
      <c r="BV68" s="176"/>
      <c r="CE68" s="171"/>
      <c r="CH68" s="266"/>
      <c r="CI68" s="266"/>
      <c r="CJ68" s="266"/>
      <c r="CK68" s="266"/>
      <c r="CL68" s="266"/>
      <c r="CM68" s="268"/>
      <c r="CN68" s="266"/>
      <c r="CO68" s="269"/>
      <c r="CP68" s="269"/>
      <c r="CQ68" s="269"/>
    </row>
    <row r="69" spans="1:95" s="141" customFormat="1" ht="15" customHeight="1">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43"/>
      <c r="AO69" s="144"/>
      <c r="AP69" s="144"/>
      <c r="AQ69" s="145"/>
      <c r="AR69" s="145"/>
      <c r="AS69" s="146"/>
      <c r="AT69" s="146"/>
      <c r="AU69" s="146"/>
      <c r="AV69" s="146"/>
      <c r="AW69" s="146"/>
      <c r="AX69" s="146"/>
      <c r="AY69" s="146"/>
      <c r="AZ69" s="146"/>
      <c r="BG69" s="141" t="s">
        <v>405</v>
      </c>
      <c r="BP69" s="235"/>
      <c r="BQ69" s="176"/>
      <c r="BR69" s="176"/>
      <c r="BS69" s="176"/>
      <c r="BT69" s="176"/>
      <c r="BU69" s="176"/>
      <c r="BV69" s="176"/>
      <c r="CE69" s="171"/>
      <c r="CH69" s="266"/>
      <c r="CI69" s="266"/>
      <c r="CJ69" s="266"/>
      <c r="CK69" s="266"/>
      <c r="CL69" s="266"/>
      <c r="CM69" s="268"/>
      <c r="CN69" s="266"/>
      <c r="CO69" s="269"/>
      <c r="CP69" s="269"/>
      <c r="CQ69" s="269"/>
    </row>
    <row r="70" spans="1:95" s="141" customFormat="1" ht="15" customHeight="1">
      <c r="A70" s="137"/>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43"/>
      <c r="AO70" s="144"/>
      <c r="AP70" s="144"/>
      <c r="AQ70" s="145"/>
      <c r="AR70" s="145"/>
      <c r="AS70" s="146"/>
      <c r="AT70" s="146"/>
      <c r="AU70" s="146"/>
      <c r="AV70" s="146"/>
      <c r="AW70" s="146"/>
      <c r="AX70" s="146"/>
      <c r="AY70" s="146"/>
      <c r="AZ70" s="146"/>
      <c r="BG70" s="141" t="s">
        <v>406</v>
      </c>
      <c r="BP70" s="235"/>
      <c r="BQ70" s="176"/>
      <c r="BR70" s="176"/>
      <c r="BS70" s="176"/>
      <c r="BT70" s="176"/>
      <c r="BU70" s="176"/>
      <c r="BV70" s="176"/>
      <c r="CH70" s="266"/>
      <c r="CI70" s="266"/>
      <c r="CJ70" s="266"/>
      <c r="CK70" s="266"/>
      <c r="CL70" s="266"/>
      <c r="CM70" s="268"/>
      <c r="CN70" s="266"/>
      <c r="CO70" s="269"/>
      <c r="CP70" s="269"/>
      <c r="CQ70" s="269"/>
    </row>
    <row r="71" spans="1:95" s="141" customFormat="1" ht="15" customHeight="1">
      <c r="A71" s="137"/>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43"/>
      <c r="AO71" s="144"/>
      <c r="AP71" s="144"/>
      <c r="AQ71" s="145"/>
      <c r="AR71" s="145"/>
      <c r="AS71" s="146"/>
      <c r="AT71" s="146"/>
      <c r="AU71" s="146"/>
      <c r="AV71" s="146"/>
      <c r="AW71" s="146"/>
      <c r="AX71" s="146"/>
      <c r="AY71" s="146"/>
      <c r="AZ71" s="146"/>
      <c r="BG71" s="141" t="s">
        <v>407</v>
      </c>
      <c r="CH71" s="266"/>
      <c r="CI71" s="266"/>
      <c r="CJ71" s="266"/>
      <c r="CK71" s="266"/>
      <c r="CL71" s="266"/>
      <c r="CM71" s="268"/>
      <c r="CN71" s="266"/>
      <c r="CO71" s="269"/>
      <c r="CP71" s="269"/>
      <c r="CQ71" s="269"/>
    </row>
    <row r="72" spans="1:95" s="141" customFormat="1" ht="15" customHeight="1">
      <c r="A72" s="137"/>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43"/>
      <c r="AO72" s="144"/>
      <c r="AP72" s="144"/>
      <c r="AQ72" s="145"/>
      <c r="AR72" s="145"/>
      <c r="AS72" s="146"/>
      <c r="AT72" s="146"/>
      <c r="AU72" s="146"/>
      <c r="AV72" s="146"/>
      <c r="AW72" s="146"/>
      <c r="AX72" s="146"/>
      <c r="AY72" s="146"/>
      <c r="AZ72" s="146"/>
      <c r="BG72" s="141" t="s">
        <v>408</v>
      </c>
    </row>
    <row r="73" spans="1:95" ht="15" customHeight="1">
      <c r="AN73" s="207"/>
      <c r="AP73" s="144"/>
      <c r="AQ73" s="145"/>
      <c r="AR73" s="145"/>
      <c r="AS73" s="146"/>
      <c r="AT73" s="146"/>
      <c r="AU73" s="146"/>
      <c r="AV73" s="146"/>
      <c r="AW73" s="146"/>
      <c r="AX73" s="146"/>
      <c r="AY73" s="146"/>
      <c r="AZ73" s="146"/>
      <c r="BD73" s="141"/>
      <c r="BE73" s="141"/>
      <c r="BF73" s="141"/>
      <c r="BG73" s="137" t="s">
        <v>409</v>
      </c>
      <c r="BH73" s="141"/>
      <c r="BI73" s="141"/>
    </row>
    <row r="74" spans="1:95">
      <c r="AN74" s="210"/>
      <c r="AP74" s="144"/>
      <c r="AQ74" s="145"/>
      <c r="AR74" s="145"/>
      <c r="AS74" s="146"/>
      <c r="AT74" s="146"/>
      <c r="AU74" s="146"/>
      <c r="AV74" s="146"/>
      <c r="AW74" s="146"/>
      <c r="AX74" s="146"/>
      <c r="AY74" s="146"/>
      <c r="AZ74" s="146"/>
      <c r="BD74" s="141"/>
      <c r="BE74" s="141"/>
    </row>
    <row r="75" spans="1:95" ht="16.5" customHeight="1">
      <c r="AN75" s="210"/>
      <c r="AQ75" s="208"/>
      <c r="AR75" s="208"/>
      <c r="BD75" s="209"/>
    </row>
    <row r="76" spans="1:95" ht="13.5" customHeight="1">
      <c r="AN76" s="210"/>
    </row>
    <row r="77" spans="1:95" ht="13.5" customHeight="1">
      <c r="AN77" s="140"/>
    </row>
    <row r="78" spans="1:95" ht="13.5" customHeight="1">
      <c r="AN78" s="210"/>
    </row>
    <row r="79" spans="1:95" ht="13.5" customHeight="1">
      <c r="AN79" s="211"/>
    </row>
    <row r="80" spans="1:95" ht="13.5" customHeight="1">
      <c r="AN80" s="211"/>
    </row>
    <row r="81" spans="40:40" ht="13.5" customHeight="1"/>
    <row r="82" spans="40:40" ht="13.5" customHeight="1">
      <c r="AN82" s="210"/>
    </row>
    <row r="83" spans="40:40" ht="13.5" customHeight="1">
      <c r="AN83" s="212"/>
    </row>
    <row r="84" spans="40:40" ht="13.5" customHeight="1">
      <c r="AN84" s="212"/>
    </row>
    <row r="85" spans="40:40" ht="13.5" customHeight="1"/>
    <row r="86" spans="40:40" ht="13.5" customHeight="1"/>
    <row r="88" spans="40:40" ht="13.5" customHeight="1"/>
    <row r="89" spans="40:40" ht="14.25" customHeight="1"/>
  </sheetData>
  <sheetProtection formatCells="0"/>
  <mergeCells count="32">
    <mergeCell ref="V3:AL3"/>
    <mergeCell ref="L23:L24"/>
    <mergeCell ref="H7:I7"/>
    <mergeCell ref="J7:L7"/>
    <mergeCell ref="M7:N7"/>
    <mergeCell ref="H5:I5"/>
    <mergeCell ref="J5:L5"/>
    <mergeCell ref="M5:N5"/>
    <mergeCell ref="W23:W24"/>
    <mergeCell ref="AJ21:AL22"/>
    <mergeCell ref="T5:AL10"/>
    <mergeCell ref="V14:X14"/>
    <mergeCell ref="W15:X15"/>
    <mergeCell ref="W16:X16"/>
    <mergeCell ref="W17:X17"/>
    <mergeCell ref="W18:X18"/>
    <mergeCell ref="B3:F3"/>
    <mergeCell ref="H3:I3"/>
    <mergeCell ref="J3:L3"/>
    <mergeCell ref="M3:N3"/>
    <mergeCell ref="T3:U3"/>
    <mergeCell ref="M4:N4"/>
    <mergeCell ref="B6:F6"/>
    <mergeCell ref="H6:I6"/>
    <mergeCell ref="J6:L6"/>
    <mergeCell ref="M6:N6"/>
    <mergeCell ref="B5:F5"/>
    <mergeCell ref="A21:A23"/>
    <mergeCell ref="E23:E24"/>
    <mergeCell ref="B4:F4"/>
    <mergeCell ref="H4:I4"/>
    <mergeCell ref="J4:L4"/>
  </mergeCells>
  <phoneticPr fontId="3"/>
  <conditionalFormatting sqref="H7:H8 J8:K8 R7:S8 O4 O6:O7 J7">
    <cfRule type="expression" dxfId="39" priority="6">
      <formula>#REF!="なし"</formula>
    </cfRule>
  </conditionalFormatting>
  <conditionalFormatting sqref="F25 U27:V36 AJ27:AK36 I27:Q36 G27:G36 B27:E36">
    <cfRule type="expression" dxfId="38" priority="5">
      <formula>$G$1="なし"</formula>
    </cfRule>
  </conditionalFormatting>
  <conditionalFormatting sqref="W27:W36">
    <cfRule type="expression" dxfId="37" priority="3">
      <formula>$G$1="なし"</formula>
    </cfRule>
  </conditionalFormatting>
  <conditionalFormatting sqref="Y27:AE36">
    <cfRule type="expression" dxfId="36" priority="4">
      <formula>$G$1="なし"</formula>
    </cfRule>
  </conditionalFormatting>
  <conditionalFormatting sqref="A20">
    <cfRule type="expression" dxfId="35" priority="7">
      <formula>#REF!&lt;&gt;2</formula>
    </cfRule>
  </conditionalFormatting>
  <conditionalFormatting sqref="A20">
    <cfRule type="expression" dxfId="34" priority="8">
      <formula>#REF!=2</formula>
    </cfRule>
  </conditionalFormatting>
  <conditionalFormatting sqref="F27:F36">
    <cfRule type="expression" dxfId="33" priority="2">
      <formula>$F$1="なし"</formula>
    </cfRule>
  </conditionalFormatting>
  <conditionalFormatting sqref="F27:F36">
    <cfRule type="cellIs" dxfId="32" priority="1" operator="greaterThan">
      <formula>2008</formula>
    </cfRule>
  </conditionalFormatting>
  <dataValidations count="11">
    <dataValidation type="list" allowBlank="1" showInputMessage="1" showErrorMessage="1" sqref="W15" xr:uid="{26BA95F5-1793-40E5-8C9F-A30931768E9C}">
      <formula1>INDIRECT(V14)</formula1>
    </dataValidation>
    <dataValidation type="list" allowBlank="1" showInputMessage="1" showErrorMessage="1" sqref="V16:V18" xr:uid="{10960FF4-3B47-47DE-A8D8-6F1BB4B077B8}">
      <formula1>$BA$8:$BA$10</formula1>
    </dataValidation>
    <dataValidation type="list" allowBlank="1" showInputMessage="1" showErrorMessage="1" sqref="E25 V14 E27:E36 W25 W27:W36" xr:uid="{ADF8CC11-015C-4DCD-8509-83D32D5AC781}">
      <formula1>$AZ$2:$AZ$5</formula1>
    </dataValidation>
    <dataValidation type="list" allowBlank="1" showInputMessage="1" showErrorMessage="1" sqref="E15:G19" xr:uid="{0D002669-F27F-4E29-A8AF-7B9A9111F181}">
      <formula1>$AS$4:$AS$9</formula1>
    </dataValidation>
    <dataValidation type="list" allowBlank="1" showInputMessage="1" showErrorMessage="1" error="プルダウンから選択してください。" sqref="L27:L36 L25 AB25 AB27:AB36" xr:uid="{7D85D07C-2BD7-435C-9FE0-44523FDA8F3D}">
      <formula1>"有,　"</formula1>
    </dataValidation>
    <dataValidation type="list" allowBlank="1" showInputMessage="1" showErrorMessage="1" sqref="H25 H27:H36" xr:uid="{AE1C7F42-5011-44BD-B5BD-1BE573DE3488}">
      <formula1>INDIRECT(E25)</formula1>
    </dataValidation>
    <dataValidation type="list" allowBlank="1" showInputMessage="1" showErrorMessage="1" sqref="F25" xr:uid="{60626767-5E2C-44E1-BC47-D53AC758E3C8}">
      <formula1>$BG$53:$BG$77</formula1>
    </dataValidation>
    <dataValidation type="whole" allowBlank="1" showInputMessage="1" showErrorMessage="1" sqref="V25" xr:uid="{6B7E692C-6D1B-4253-80F0-6753786A6C38}">
      <formula1>0</formula1>
      <formula2>G25</formula2>
    </dataValidation>
    <dataValidation type="list" allowBlank="1" showInputMessage="1" showErrorMessage="1" sqref="X25:X36" xr:uid="{923AB0D4-A634-4D19-808F-E3EDA242E340}">
      <formula1>INDIRECT(W25)</formula1>
    </dataValidation>
    <dataValidation type="whole" allowBlank="1" showInputMessage="1" showErrorMessage="1" sqref="F27:F36" xr:uid="{03EF810D-F7AE-4AFA-90CA-6401475050A9}">
      <formula1>1900</formula1>
      <formula2>2040</formula2>
    </dataValidation>
    <dataValidation type="list" allowBlank="1" showInputMessage="1" showErrorMessage="1" sqref="C27:C36 C25" xr:uid="{1E350D38-2105-484A-8434-07091B5EBA5A}">
      <formula1>$BR$9:$BR$17</formula1>
    </dataValidation>
  </dataValidations>
  <printOptions horizontalCentered="1"/>
  <pageMargins left="0.47" right="0.18" top="0.51181102362204722" bottom="0.35433070866141736" header="0.27559055118110237" footer="0.31496062992125984"/>
  <pageSetup paperSize="9" scale="5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33789-03FC-4088-8C82-323A7314E77B}">
  <sheetPr>
    <tabColor rgb="FF00B0F0"/>
    <pageSetUpPr fitToPage="1"/>
  </sheetPr>
  <dimension ref="A1:AK42"/>
  <sheetViews>
    <sheetView view="pageBreakPreview" topLeftCell="A5" zoomScale="85" zoomScaleNormal="100" zoomScaleSheetLayoutView="85" workbookViewId="0">
      <selection activeCell="N35" sqref="N35"/>
    </sheetView>
  </sheetViews>
  <sheetFormatPr defaultColWidth="9.5" defaultRowHeight="13.5"/>
  <cols>
    <col min="1" max="1" width="3.625" style="363" customWidth="1"/>
    <col min="2" max="2" width="14.25" style="363" customWidth="1"/>
    <col min="3" max="3" width="9.5" style="363"/>
    <col min="4" max="4" width="6.5" style="363" customWidth="1"/>
    <col min="5" max="5" width="5.75" style="363" customWidth="1"/>
    <col min="6" max="6" width="6.75" style="363" customWidth="1"/>
    <col min="7" max="7" width="5.25" style="363" customWidth="1"/>
    <col min="8" max="8" width="8.25" style="363" customWidth="1"/>
    <col min="9" max="10" width="5.75" style="363" customWidth="1"/>
    <col min="11" max="11" width="7.125" style="363" customWidth="1"/>
    <col min="12" max="12" width="6" style="363" customWidth="1"/>
    <col min="13" max="13" width="9.5" style="363" hidden="1" customWidth="1"/>
    <col min="14" max="16" width="8" style="363" customWidth="1"/>
    <col min="17" max="17" width="9.875" style="363" customWidth="1"/>
    <col min="18" max="18" width="13.5" style="363" customWidth="1"/>
    <col min="19" max="19" width="6" style="363" customWidth="1"/>
    <col min="20" max="20" width="6.375" style="363" customWidth="1"/>
    <col min="21" max="22" width="9.5" style="363"/>
    <col min="23" max="24" width="5.375" style="363" customWidth="1"/>
    <col min="25" max="25" width="9.5" style="363"/>
    <col min="26" max="26" width="9.5" style="363" customWidth="1"/>
    <col min="27" max="27" width="9.625" style="363" customWidth="1"/>
    <col min="28" max="29" width="9.5" style="363"/>
    <col min="30" max="37" width="9.5" style="363" hidden="1" customWidth="1"/>
    <col min="38" max="38" width="9.5" style="363" customWidth="1"/>
    <col min="39" max="16384" width="9.5" style="363"/>
  </cols>
  <sheetData>
    <row r="1" spans="1:35" ht="21">
      <c r="A1" s="358" t="s">
        <v>719</v>
      </c>
      <c r="B1" s="359"/>
      <c r="C1" s="359"/>
      <c r="D1" s="359"/>
      <c r="E1" s="359"/>
      <c r="F1" s="360"/>
      <c r="G1" s="361"/>
      <c r="H1" s="360"/>
      <c r="I1" s="360"/>
      <c r="J1" s="360"/>
      <c r="K1" s="360"/>
      <c r="L1" s="360"/>
      <c r="M1" s="362"/>
      <c r="N1" s="360"/>
      <c r="O1" s="359"/>
      <c r="P1" s="359"/>
      <c r="Q1" s="359"/>
      <c r="R1" s="359"/>
      <c r="S1" s="359"/>
      <c r="T1" s="359"/>
      <c r="U1" s="359"/>
      <c r="V1" s="359"/>
      <c r="W1" s="1079">
        <f>CO２削減量算定シート!O7</f>
        <v>0</v>
      </c>
      <c r="X1" s="1079"/>
      <c r="Y1" s="1079"/>
      <c r="Z1" s="1079"/>
      <c r="AA1" s="1079"/>
      <c r="AB1" s="1079"/>
      <c r="AC1" s="1079"/>
      <c r="AD1" s="359"/>
    </row>
    <row r="2" spans="1:35" ht="18.75">
      <c r="A2" s="136" t="s">
        <v>312</v>
      </c>
      <c r="B2" s="1"/>
      <c r="C2" s="359"/>
      <c r="D2" s="359"/>
      <c r="E2" s="359"/>
      <c r="F2" s="359"/>
      <c r="G2" s="359"/>
      <c r="H2" s="359"/>
      <c r="I2" s="359"/>
      <c r="J2" s="359"/>
      <c r="K2" s="359"/>
      <c r="L2" s="359"/>
      <c r="M2" s="359"/>
      <c r="N2" s="360"/>
      <c r="O2" s="359"/>
      <c r="P2" s="359"/>
      <c r="Q2" s="359"/>
      <c r="R2" s="109" t="s">
        <v>314</v>
      </c>
      <c r="S2" s="109"/>
      <c r="T2" s="499" t="s">
        <v>728</v>
      </c>
      <c r="U2" s="109"/>
      <c r="V2" s="137"/>
      <c r="Y2" s="137"/>
      <c r="Z2" s="70"/>
      <c r="AA2" s="70"/>
      <c r="AB2" s="70"/>
      <c r="AC2" s="70"/>
      <c r="AD2" s="70"/>
      <c r="AE2" s="70"/>
      <c r="AF2" s="137"/>
      <c r="AG2" s="137"/>
      <c r="AI2" s="137"/>
    </row>
    <row r="3" spans="1:35" ht="20.100000000000001" customHeight="1">
      <c r="A3" s="359"/>
      <c r="B3" s="1098" t="s">
        <v>0</v>
      </c>
      <c r="C3" s="1099"/>
      <c r="D3" s="482" t="s">
        <v>1</v>
      </c>
      <c r="E3" s="1092" t="s">
        <v>2</v>
      </c>
      <c r="F3" s="1092"/>
      <c r="G3" s="1092" t="s">
        <v>3</v>
      </c>
      <c r="H3" s="1092"/>
      <c r="I3" s="1084" t="s">
        <v>4</v>
      </c>
      <c r="J3" s="1085"/>
      <c r="K3" s="364" t="s">
        <v>5</v>
      </c>
      <c r="R3" s="19" t="s">
        <v>11</v>
      </c>
      <c r="S3" s="17"/>
      <c r="T3" s="1015" t="str">
        <f>IF(H27-V27&lt;0,"設備容量が増加していませんか？増加しているのであれば、下蘭に事由を記載してください。","")</f>
        <v/>
      </c>
      <c r="U3" s="1016"/>
      <c r="V3" s="1016"/>
      <c r="W3" s="1016"/>
      <c r="X3" s="1016"/>
      <c r="Y3" s="1016"/>
      <c r="Z3" s="1016"/>
      <c r="AA3" s="1016"/>
      <c r="AB3" s="1016"/>
      <c r="AC3" s="1017"/>
      <c r="AG3" s="363" t="s">
        <v>715</v>
      </c>
    </row>
    <row r="4" spans="1:35" ht="20.100000000000001" customHeight="1">
      <c r="A4" s="359"/>
      <c r="B4" s="1100" t="s">
        <v>7</v>
      </c>
      <c r="C4" s="1101"/>
      <c r="D4" s="470" t="s">
        <v>8</v>
      </c>
      <c r="E4" s="1093">
        <f>P27</f>
        <v>0</v>
      </c>
      <c r="F4" s="1093"/>
      <c r="G4" s="1093">
        <f>Z27</f>
        <v>0</v>
      </c>
      <c r="H4" s="1093"/>
      <c r="I4" s="1086">
        <f>E4-G4</f>
        <v>0</v>
      </c>
      <c r="J4" s="1087"/>
      <c r="K4" s="512">
        <f>IFERROR(I4/E4,0)</f>
        <v>0</v>
      </c>
      <c r="R4" s="19" t="s">
        <v>691</v>
      </c>
      <c r="S4" s="17"/>
      <c r="T4" s="17"/>
      <c r="U4" s="17"/>
      <c r="V4" s="111"/>
      <c r="W4" s="111"/>
      <c r="X4" s="111"/>
      <c r="Y4" s="111"/>
      <c r="Z4" s="111"/>
      <c r="AA4" s="111"/>
      <c r="AB4" s="111"/>
      <c r="AC4" s="112"/>
      <c r="AG4" s="363" t="s">
        <v>716</v>
      </c>
    </row>
    <row r="5" spans="1:35" ht="20.100000000000001" customHeight="1">
      <c r="A5" s="359"/>
      <c r="B5" s="1100" t="s">
        <v>9</v>
      </c>
      <c r="C5" s="1101"/>
      <c r="D5" s="470" t="s">
        <v>10</v>
      </c>
      <c r="E5" s="1094">
        <f>Q27</f>
        <v>0</v>
      </c>
      <c r="F5" s="1094"/>
      <c r="G5" s="1094">
        <f>AA27</f>
        <v>0</v>
      </c>
      <c r="H5" s="1094"/>
      <c r="I5" s="1088">
        <f>E5-G5</f>
        <v>0</v>
      </c>
      <c r="J5" s="1089"/>
      <c r="K5" s="512">
        <f>IFERROR(I5/E5,0)</f>
        <v>0</v>
      </c>
      <c r="R5" s="934"/>
      <c r="S5" s="935"/>
      <c r="T5" s="935"/>
      <c r="U5" s="935"/>
      <c r="V5" s="935"/>
      <c r="W5" s="935"/>
      <c r="X5" s="935"/>
      <c r="Y5" s="935"/>
      <c r="Z5" s="935"/>
      <c r="AA5" s="935"/>
      <c r="AB5" s="935"/>
      <c r="AC5" s="936"/>
      <c r="AG5" s="363" t="s">
        <v>717</v>
      </c>
    </row>
    <row r="6" spans="1:35" ht="20.100000000000001" customHeight="1">
      <c r="A6" s="359"/>
      <c r="B6" s="1096" t="s">
        <v>12</v>
      </c>
      <c r="C6" s="1097"/>
      <c r="D6" s="470" t="s">
        <v>13</v>
      </c>
      <c r="E6" s="1095">
        <f>E4*9.76*0.0258*0.001</f>
        <v>0</v>
      </c>
      <c r="F6" s="1095"/>
      <c r="G6" s="1095">
        <f>G4*9.76*0.0258*0.001</f>
        <v>0</v>
      </c>
      <c r="H6" s="1095"/>
      <c r="I6" s="1090">
        <f>E6-G6</f>
        <v>0</v>
      </c>
      <c r="J6" s="1091"/>
      <c r="K6" s="512">
        <f>IFERROR(I6/E6,0)</f>
        <v>0</v>
      </c>
      <c r="R6" s="937"/>
      <c r="S6" s="938"/>
      <c r="T6" s="938"/>
      <c r="U6" s="938"/>
      <c r="V6" s="938"/>
      <c r="W6" s="938"/>
      <c r="X6" s="938"/>
      <c r="Y6" s="938"/>
      <c r="Z6" s="938"/>
      <c r="AA6" s="938"/>
      <c r="AB6" s="938"/>
      <c r="AC6" s="939"/>
      <c r="AG6" s="363" t="s">
        <v>718</v>
      </c>
    </row>
    <row r="7" spans="1:35">
      <c r="A7" s="359"/>
      <c r="B7" s="359"/>
      <c r="C7" s="359"/>
      <c r="D7" s="359"/>
      <c r="E7" s="359"/>
      <c r="F7" s="359"/>
      <c r="G7" s="359"/>
      <c r="H7" s="359"/>
      <c r="I7" s="359"/>
      <c r="J7" s="359"/>
      <c r="K7" s="359"/>
      <c r="L7" s="359"/>
      <c r="M7" s="359"/>
      <c r="N7" s="359"/>
      <c r="R7" s="937"/>
      <c r="S7" s="938"/>
      <c r="T7" s="938"/>
      <c r="U7" s="938"/>
      <c r="V7" s="938"/>
      <c r="W7" s="938"/>
      <c r="X7" s="938"/>
      <c r="Y7" s="938"/>
      <c r="Z7" s="938"/>
      <c r="AA7" s="938"/>
      <c r="AB7" s="938"/>
      <c r="AC7" s="939"/>
      <c r="AG7" s="363" t="s">
        <v>890</v>
      </c>
    </row>
    <row r="8" spans="1:35" ht="18.75">
      <c r="A8" s="109" t="s">
        <v>313</v>
      </c>
      <c r="B8" s="137"/>
      <c r="C8" s="359"/>
      <c r="D8" s="359"/>
      <c r="E8" s="359"/>
      <c r="F8" s="359"/>
      <c r="G8" s="359"/>
      <c r="H8" s="359"/>
      <c r="I8" s="359"/>
      <c r="J8" s="359"/>
      <c r="K8" s="359"/>
      <c r="L8" s="359"/>
      <c r="M8" s="359"/>
      <c r="N8" s="359"/>
      <c r="R8" s="937"/>
      <c r="S8" s="938"/>
      <c r="T8" s="938"/>
      <c r="U8" s="938"/>
      <c r="V8" s="938"/>
      <c r="W8" s="938"/>
      <c r="X8" s="938"/>
      <c r="Y8" s="938"/>
      <c r="Z8" s="938"/>
      <c r="AA8" s="938"/>
      <c r="AB8" s="938"/>
      <c r="AC8" s="939"/>
    </row>
    <row r="9" spans="1:35">
      <c r="A9" s="366"/>
      <c r="B9" s="359"/>
      <c r="C9" s="359"/>
      <c r="D9" s="359"/>
      <c r="E9" s="359"/>
      <c r="F9" s="359"/>
      <c r="G9" s="359"/>
      <c r="H9" s="359"/>
      <c r="I9" s="359"/>
      <c r="J9" s="359"/>
      <c r="K9" s="359"/>
      <c r="L9" s="359"/>
      <c r="M9" s="359"/>
      <c r="N9" s="359"/>
      <c r="R9" s="937"/>
      <c r="S9" s="938"/>
      <c r="T9" s="938"/>
      <c r="U9" s="938"/>
      <c r="V9" s="938"/>
      <c r="W9" s="938"/>
      <c r="X9" s="938"/>
      <c r="Y9" s="938"/>
      <c r="Z9" s="938"/>
      <c r="AA9" s="938"/>
      <c r="AB9" s="938"/>
      <c r="AC9" s="939"/>
    </row>
    <row r="10" spans="1:35">
      <c r="A10" s="366"/>
      <c r="B10" s="359"/>
      <c r="C10" s="359"/>
      <c r="D10" s="359"/>
      <c r="E10" s="359"/>
      <c r="F10" s="359"/>
      <c r="G10" s="359"/>
      <c r="H10" s="359"/>
      <c r="I10" s="359"/>
      <c r="J10" s="359"/>
      <c r="K10" s="359"/>
      <c r="L10" s="359"/>
      <c r="M10" s="359"/>
      <c r="N10" s="359"/>
      <c r="R10" s="940"/>
      <c r="S10" s="941"/>
      <c r="T10" s="941"/>
      <c r="U10" s="941"/>
      <c r="V10" s="941"/>
      <c r="W10" s="941"/>
      <c r="X10" s="941"/>
      <c r="Y10" s="941"/>
      <c r="Z10" s="941"/>
      <c r="AA10" s="941"/>
      <c r="AB10" s="941"/>
      <c r="AC10" s="942"/>
    </row>
    <row r="11" spans="1:35">
      <c r="A11" s="366"/>
      <c r="B11" s="365"/>
      <c r="C11" s="365"/>
      <c r="D11" s="365"/>
      <c r="E11" s="365"/>
      <c r="F11" s="365"/>
      <c r="G11" s="365"/>
      <c r="H11" s="365"/>
      <c r="I11" s="365"/>
      <c r="J11" s="365"/>
      <c r="K11" s="365"/>
      <c r="L11" s="365"/>
      <c r="M11" s="365"/>
      <c r="N11" s="365"/>
      <c r="O11" s="365"/>
      <c r="P11" s="365"/>
      <c r="Q11" s="365"/>
      <c r="R11" s="365"/>
      <c r="S11" s="365"/>
      <c r="T11" s="365"/>
      <c r="U11" s="365"/>
      <c r="V11" s="365"/>
      <c r="W11" s="365"/>
      <c r="X11" s="365"/>
      <c r="Y11" s="359"/>
      <c r="Z11" s="359"/>
      <c r="AA11" s="359"/>
      <c r="AB11" s="359"/>
      <c r="AC11" s="359"/>
      <c r="AD11" s="359"/>
      <c r="AE11" s="359"/>
    </row>
    <row r="12" spans="1:35">
      <c r="A12" s="366"/>
      <c r="B12" s="365"/>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59"/>
      <c r="AB12" s="359"/>
      <c r="AC12" s="359"/>
      <c r="AD12" s="359"/>
      <c r="AE12" s="359"/>
      <c r="AF12" s="359"/>
      <c r="AG12" s="359"/>
    </row>
    <row r="13" spans="1:35">
      <c r="A13" s="366"/>
      <c r="B13" s="365"/>
      <c r="C13" s="365"/>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59"/>
      <c r="AB13" s="359"/>
      <c r="AC13" s="359"/>
      <c r="AD13" s="359"/>
      <c r="AE13" s="359"/>
      <c r="AF13" s="359"/>
      <c r="AG13" s="359"/>
    </row>
    <row r="14" spans="1:35">
      <c r="A14" s="366"/>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59"/>
      <c r="AB14" s="359"/>
      <c r="AC14" s="359"/>
      <c r="AD14" s="359"/>
      <c r="AE14" s="359"/>
      <c r="AF14" s="359"/>
      <c r="AG14" s="359"/>
    </row>
    <row r="15" spans="1:35">
      <c r="A15" s="366"/>
      <c r="B15" s="365"/>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59"/>
      <c r="AB15" s="359"/>
      <c r="AC15" s="359"/>
      <c r="AD15" s="359"/>
      <c r="AE15" s="359"/>
      <c r="AF15" s="359"/>
      <c r="AG15" s="359"/>
    </row>
    <row r="16" spans="1:35">
      <c r="A16" s="366"/>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59"/>
      <c r="AB16" s="359"/>
      <c r="AC16" s="359"/>
      <c r="AD16" s="359"/>
      <c r="AE16" s="359"/>
      <c r="AF16" s="359"/>
      <c r="AG16" s="359"/>
    </row>
    <row r="17" spans="1:37">
      <c r="A17" s="366"/>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59"/>
      <c r="AB17" s="359"/>
      <c r="AC17" s="359"/>
      <c r="AD17" s="359"/>
      <c r="AE17" s="359"/>
      <c r="AF17" s="359"/>
      <c r="AG17" s="359"/>
    </row>
    <row r="18" spans="1:37">
      <c r="A18" s="366"/>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59"/>
      <c r="AB18" s="359"/>
      <c r="AC18" s="359"/>
      <c r="AD18" s="359"/>
      <c r="AE18" s="359"/>
      <c r="AF18" s="359"/>
      <c r="AG18" s="359"/>
    </row>
    <row r="19" spans="1:37">
      <c r="A19" s="366"/>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59"/>
      <c r="AB19" s="359"/>
      <c r="AC19" s="359"/>
      <c r="AD19" s="359"/>
      <c r="AE19" s="359"/>
      <c r="AF19" s="359"/>
      <c r="AG19" s="359"/>
    </row>
    <row r="20" spans="1:37">
      <c r="A20" s="366"/>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59"/>
      <c r="AB20" s="359"/>
      <c r="AC20" s="359"/>
      <c r="AD20" s="359"/>
      <c r="AE20" s="359"/>
      <c r="AF20" s="359"/>
      <c r="AG20" s="359"/>
    </row>
    <row r="21" spans="1:37">
      <c r="A21" s="366"/>
      <c r="B21" s="365"/>
      <c r="C21" s="365"/>
      <c r="D21" s="365"/>
      <c r="E21" s="365"/>
      <c r="F21" s="365"/>
      <c r="G21" s="365"/>
      <c r="H21" s="365"/>
      <c r="I21" s="365" t="s">
        <v>893</v>
      </c>
      <c r="J21" s="365"/>
      <c r="K21" s="365"/>
      <c r="L21" s="365"/>
      <c r="M21" s="365"/>
      <c r="N21" s="365"/>
      <c r="O21" s="365" t="s">
        <v>725</v>
      </c>
      <c r="P21" s="365"/>
      <c r="R21" s="365"/>
      <c r="S21" s="365"/>
      <c r="T21" s="367"/>
      <c r="V21" s="365"/>
      <c r="W21" s="365"/>
      <c r="X21" s="651" t="s">
        <v>893</v>
      </c>
      <c r="Z21" s="365" t="s">
        <v>725</v>
      </c>
      <c r="AA21" s="359"/>
      <c r="AB21" s="359"/>
      <c r="AD21" s="359"/>
      <c r="AE21" s="359"/>
      <c r="AF21" s="359"/>
    </row>
    <row r="22" spans="1:37" ht="13.5" customHeight="1">
      <c r="A22" s="542" t="s">
        <v>0</v>
      </c>
      <c r="B22" s="539" t="s">
        <v>2</v>
      </c>
      <c r="C22" s="540"/>
      <c r="D22" s="540"/>
      <c r="E22" s="540"/>
      <c r="F22" s="540"/>
      <c r="G22" s="541"/>
      <c r="H22" s="540"/>
      <c r="I22" s="540"/>
      <c r="J22" s="540"/>
      <c r="K22" s="369"/>
      <c r="L22" s="369"/>
      <c r="M22" s="369"/>
      <c r="N22" s="369"/>
      <c r="O22" s="369"/>
      <c r="P22" s="369"/>
      <c r="Q22" s="369"/>
      <c r="R22" s="549" t="s">
        <v>3</v>
      </c>
      <c r="S22" s="540"/>
      <c r="T22" s="540"/>
      <c r="U22" s="540"/>
      <c r="V22" s="540"/>
      <c r="W22" s="540"/>
      <c r="X22" s="540"/>
      <c r="Y22" s="540"/>
      <c r="Z22" s="369"/>
      <c r="AA22" s="369"/>
      <c r="AB22" s="551" t="s">
        <v>14</v>
      </c>
      <c r="AC22" s="552"/>
      <c r="AD22" s="363" t="s">
        <v>891</v>
      </c>
      <c r="AG22" s="359"/>
      <c r="AH22" s="363" t="s">
        <v>726</v>
      </c>
      <c r="AK22" s="363" t="s">
        <v>727</v>
      </c>
    </row>
    <row r="23" spans="1:37">
      <c r="A23" s="543"/>
      <c r="B23" s="545"/>
      <c r="C23" s="546"/>
      <c r="D23" s="546"/>
      <c r="E23" s="546"/>
      <c r="F23" s="546"/>
      <c r="G23" s="547"/>
      <c r="H23" s="546"/>
      <c r="I23" s="546"/>
      <c r="J23" s="546"/>
      <c r="K23" s="333" t="s">
        <v>50</v>
      </c>
      <c r="L23" s="226"/>
      <c r="M23" s="226"/>
      <c r="N23" s="226"/>
      <c r="O23" s="369"/>
      <c r="P23" s="369"/>
      <c r="Q23" s="369"/>
      <c r="R23" s="550"/>
      <c r="S23" s="546"/>
      <c r="T23" s="546"/>
      <c r="U23" s="546"/>
      <c r="V23" s="546"/>
      <c r="W23" s="546"/>
      <c r="X23" s="546"/>
      <c r="Y23" s="546"/>
      <c r="Z23" s="333" t="s">
        <v>50</v>
      </c>
      <c r="AA23" s="369"/>
      <c r="AB23" s="553"/>
      <c r="AC23" s="548"/>
      <c r="AG23" s="369"/>
      <c r="AH23" s="369"/>
      <c r="AJ23" s="369"/>
      <c r="AK23" s="369"/>
    </row>
    <row r="24" spans="1:37" ht="40.5">
      <c r="A24" s="544"/>
      <c r="B24" s="513" t="s">
        <v>15</v>
      </c>
      <c r="C24" s="513" t="s">
        <v>693</v>
      </c>
      <c r="D24" s="513" t="s">
        <v>731</v>
      </c>
      <c r="E24" s="372" t="s">
        <v>423</v>
      </c>
      <c r="F24" s="513" t="s">
        <v>713</v>
      </c>
      <c r="G24" s="513" t="s">
        <v>16</v>
      </c>
      <c r="H24" s="373" t="s">
        <v>720</v>
      </c>
      <c r="I24" s="1080" t="s">
        <v>892</v>
      </c>
      <c r="J24" s="1081"/>
      <c r="K24" s="373" t="s">
        <v>794</v>
      </c>
      <c r="L24" s="556" t="s">
        <v>791</v>
      </c>
      <c r="M24" s="372" t="s">
        <v>721</v>
      </c>
      <c r="N24" s="371" t="s">
        <v>46</v>
      </c>
      <c r="O24" s="383" t="s">
        <v>724</v>
      </c>
      <c r="P24" s="371" t="s">
        <v>32</v>
      </c>
      <c r="Q24" s="374" t="s">
        <v>723</v>
      </c>
      <c r="R24" s="554" t="s">
        <v>15</v>
      </c>
      <c r="S24" s="372" t="s">
        <v>423</v>
      </c>
      <c r="T24" s="513" t="s">
        <v>713</v>
      </c>
      <c r="U24" s="513" t="s">
        <v>16</v>
      </c>
      <c r="V24" s="373" t="s">
        <v>720</v>
      </c>
      <c r="W24" s="1080" t="s">
        <v>892</v>
      </c>
      <c r="X24" s="1081"/>
      <c r="Y24" s="383" t="s">
        <v>724</v>
      </c>
      <c r="Z24" s="371" t="s">
        <v>32</v>
      </c>
      <c r="AA24" s="374" t="s">
        <v>722</v>
      </c>
      <c r="AB24" s="479" t="s">
        <v>729</v>
      </c>
      <c r="AC24" s="375" t="s">
        <v>730</v>
      </c>
      <c r="AG24" s="371" t="s">
        <v>17</v>
      </c>
      <c r="AH24" s="371"/>
      <c r="AJ24" s="371" t="s">
        <v>17</v>
      </c>
      <c r="AK24" s="383"/>
    </row>
    <row r="25" spans="1:37">
      <c r="A25" s="470" t="s">
        <v>1</v>
      </c>
      <c r="B25" s="514"/>
      <c r="C25" s="514"/>
      <c r="D25" s="514"/>
      <c r="E25" s="471" t="s">
        <v>45</v>
      </c>
      <c r="F25" s="514"/>
      <c r="G25" s="514"/>
      <c r="H25" s="471" t="s">
        <v>19</v>
      </c>
      <c r="I25" s="1082" t="s">
        <v>268</v>
      </c>
      <c r="J25" s="1083"/>
      <c r="K25" s="471" t="s">
        <v>793</v>
      </c>
      <c r="L25" s="471" t="s">
        <v>792</v>
      </c>
      <c r="M25" s="471" t="s">
        <v>22</v>
      </c>
      <c r="N25" s="471" t="s">
        <v>584</v>
      </c>
      <c r="O25" s="471" t="s">
        <v>268</v>
      </c>
      <c r="P25" s="470" t="s">
        <v>8</v>
      </c>
      <c r="Q25" s="472" t="s">
        <v>484</v>
      </c>
      <c r="R25" s="555"/>
      <c r="S25" s="471" t="s">
        <v>45</v>
      </c>
      <c r="T25" s="514"/>
      <c r="U25" s="514"/>
      <c r="V25" s="471" t="s">
        <v>19</v>
      </c>
      <c r="W25" s="1082" t="s">
        <v>268</v>
      </c>
      <c r="X25" s="1083"/>
      <c r="Y25" s="471" t="s">
        <v>268</v>
      </c>
      <c r="Z25" s="470" t="s">
        <v>8</v>
      </c>
      <c r="AA25" s="472" t="s">
        <v>484</v>
      </c>
      <c r="AB25" s="473" t="s">
        <v>8</v>
      </c>
      <c r="AC25" s="470" t="s">
        <v>484</v>
      </c>
      <c r="AG25" s="471" t="s">
        <v>21</v>
      </c>
      <c r="AH25" s="471" t="s">
        <v>22</v>
      </c>
      <c r="AJ25" s="471" t="s">
        <v>21</v>
      </c>
      <c r="AK25" s="471" t="s">
        <v>22</v>
      </c>
    </row>
    <row r="26" spans="1:37" ht="20.100000000000001" customHeight="1">
      <c r="A26" s="474" t="s">
        <v>23</v>
      </c>
      <c r="B26" s="571" t="s">
        <v>24</v>
      </c>
      <c r="C26" s="605" t="s">
        <v>714</v>
      </c>
      <c r="D26" s="571"/>
      <c r="E26" s="571">
        <v>2</v>
      </c>
      <c r="F26" s="571" t="s">
        <v>25</v>
      </c>
      <c r="G26" s="571" t="s">
        <v>26</v>
      </c>
      <c r="H26" s="571">
        <v>7.5</v>
      </c>
      <c r="I26" s="606">
        <f ca="1">IF(F26="","",INDEX(INDIRECT(F26&amp;"_"),MATCH(H26,rangeIE1,0),MATCH(G26,モーター効率!$A$1:$F$1,0)))</f>
        <v>0.88700000000000001</v>
      </c>
      <c r="J26" s="649"/>
      <c r="K26" s="607">
        <v>240</v>
      </c>
      <c r="L26" s="608">
        <v>10</v>
      </c>
      <c r="M26" s="609">
        <f t="shared" ref="M26:M28" si="0">K26*L26</f>
        <v>2400</v>
      </c>
      <c r="N26" s="610">
        <v>0.8</v>
      </c>
      <c r="O26" s="582"/>
      <c r="P26" s="494">
        <f ca="1">IF(E26="","",IF(O26="",E26*AG26*AH26,E26*AG26*O36*(1-O26)))</f>
        <v>32468.996617812852</v>
      </c>
      <c r="Q26" s="495">
        <f ca="1">IF(P26="","",P26*'CO₂係数 '!$I$33)</f>
        <v>16.072153325817361</v>
      </c>
      <c r="R26" s="569" t="s">
        <v>28</v>
      </c>
      <c r="S26" s="605">
        <v>2</v>
      </c>
      <c r="T26" s="571" t="s">
        <v>29</v>
      </c>
      <c r="U26" s="571" t="s">
        <v>26</v>
      </c>
      <c r="V26" s="571">
        <v>7.5</v>
      </c>
      <c r="W26" s="606">
        <f ca="1">IF(T26="","",INDEX(INDIRECT(T26&amp;"_"),MATCH(V26,rangeIE1,0),MATCH(U26,モーター効率!$A$1:$F$1,0)))</f>
        <v>0.90400000000000003</v>
      </c>
      <c r="X26" s="650"/>
      <c r="Y26" s="648">
        <v>0.2</v>
      </c>
      <c r="Z26" s="494">
        <f ca="1">IF(S26="","",IF(Y26="",S26*AJ26*AK26,S26*AJ26*AK26*(1-Y26)))</f>
        <v>25486.725663716818</v>
      </c>
      <c r="AA26" s="496">
        <f ca="1">IF(Z26="","",Z26*'CO₂係数 '!$I$33)</f>
        <v>12.615929203539824</v>
      </c>
      <c r="AB26" s="497">
        <f ca="1">IF(OR(P26="",Z26=""),"",P26-Z26)</f>
        <v>6982.270954096035</v>
      </c>
      <c r="AC26" s="498">
        <f ca="1">IF(OR(Q26="",AA26=""),"",Q26-AA26)</f>
        <v>3.4562241222775363</v>
      </c>
      <c r="AD26" s="363">
        <f>MATCH(C26,$AG$3:$AG$7,0)</f>
        <v>1</v>
      </c>
      <c r="AF26" s="363">
        <f ca="1">IFERROR(MATCH(H26,INDIRECT(F26&amp;"_出力"),0),0)</f>
        <v>9</v>
      </c>
      <c r="AG26" s="475">
        <f ca="1">IF(AND(AF26&lt;&gt;0,J26=0),H26/I26,H26/J26)</f>
        <v>8.4554678692220975</v>
      </c>
      <c r="AH26" s="480">
        <f>IF(N26="",M26,M26*N26)</f>
        <v>1920</v>
      </c>
      <c r="AI26" s="363">
        <f t="shared" ref="AI26" ca="1" si="1">IFERROR(MATCH(V26,INDIRECT(T26&amp;"_出力"),0),0)</f>
        <v>9</v>
      </c>
      <c r="AJ26" s="475">
        <f t="shared" ref="AJ26" ca="1" si="2">IF(AND(AI26&lt;&gt;0,X26=0),V26/W26,V26/X26)</f>
        <v>8.2964601769911503</v>
      </c>
      <c r="AK26" s="480">
        <f>AH26</f>
        <v>1920</v>
      </c>
    </row>
    <row r="27" spans="1:37" ht="20.100000000000001" customHeight="1" thickBot="1">
      <c r="A27" s="774" t="s">
        <v>30</v>
      </c>
      <c r="B27" s="779"/>
      <c r="C27" s="779"/>
      <c r="D27" s="779"/>
      <c r="E27" s="781">
        <f>SUM(E28:E42)</f>
        <v>0</v>
      </c>
      <c r="F27" s="779"/>
      <c r="G27" s="779"/>
      <c r="H27" s="781">
        <f>SUMPRODUCT(E28:E42*H$28:H$42)</f>
        <v>0</v>
      </c>
      <c r="I27" s="779"/>
      <c r="J27" s="779"/>
      <c r="K27" s="779"/>
      <c r="L27" s="779"/>
      <c r="M27" s="779"/>
      <c r="N27" s="779"/>
      <c r="O27" s="779"/>
      <c r="P27" s="775">
        <f>_xlfn.AGGREGATE(9,7,P28:P42)</f>
        <v>0</v>
      </c>
      <c r="Q27" s="782">
        <f>_xlfn.AGGREGATE(9,7,Q28:Q42)</f>
        <v>0</v>
      </c>
      <c r="R27" s="783"/>
      <c r="S27" s="780">
        <f>SUM(S28:S42)</f>
        <v>0</v>
      </c>
      <c r="T27" s="779"/>
      <c r="U27" s="779"/>
      <c r="V27" s="781">
        <f>SUMPRODUCT(S28:S42*V$28:V$42)</f>
        <v>0</v>
      </c>
      <c r="W27" s="779"/>
      <c r="X27" s="779"/>
      <c r="Y27" s="779"/>
      <c r="Z27" s="775">
        <f>_xlfn.AGGREGATE(9,7,Z28:Z42)</f>
        <v>0</v>
      </c>
      <c r="AA27" s="776">
        <f>_xlfn.AGGREGATE(9,7,AA28:AA42)</f>
        <v>0</v>
      </c>
      <c r="AB27" s="777">
        <f>IF(P27=0,Z27*-1,P27-Z27)</f>
        <v>0</v>
      </c>
      <c r="AC27" s="778">
        <f>IFERROR(AB27*'CO₂係数 '!I33,"")</f>
        <v>0</v>
      </c>
      <c r="AG27" s="477"/>
      <c r="AH27" s="477"/>
      <c r="AJ27" s="477"/>
      <c r="AK27" s="477"/>
    </row>
    <row r="28" spans="1:37" ht="20.100000000000001" customHeight="1">
      <c r="A28" s="476">
        <v>1</v>
      </c>
      <c r="B28" s="685"/>
      <c r="C28" s="685"/>
      <c r="D28" s="685"/>
      <c r="E28" s="685"/>
      <c r="F28" s="685"/>
      <c r="G28" s="685"/>
      <c r="H28" s="762"/>
      <c r="I28" s="763" t="str">
        <f ca="1">IFERROR(IF(OR(F28="",H28="",G28="")=TRUE,"",INDEX(INDIRECT(F28&amp;"_"),MATCH(H28,rangeIE1,0),MATCH(G28,モーター効率!$A$1:$F$1,0))),"")</f>
        <v/>
      </c>
      <c r="J28" s="764"/>
      <c r="K28" s="735"/>
      <c r="L28" s="736"/>
      <c r="M28" s="765">
        <f t="shared" si="0"/>
        <v>0</v>
      </c>
      <c r="N28" s="766"/>
      <c r="O28" s="767"/>
      <c r="P28" s="768" t="str">
        <f>IF(E28="","",IF(O28="",E28*AG28*AH28,E28*AG28*AH28*(1-O28)))</f>
        <v/>
      </c>
      <c r="Q28" s="769" t="str">
        <f>IF(P28="","",P28*'CO₂係数 '!$I$33)</f>
        <v/>
      </c>
      <c r="R28" s="770"/>
      <c r="S28" s="685"/>
      <c r="T28" s="685"/>
      <c r="U28" s="685"/>
      <c r="V28" s="762"/>
      <c r="W28" s="763" t="str">
        <f ca="1">IFERROR(IF(OR(T28="",V28="",U28="")=TRUE,"",INDEX(INDIRECT(T28&amp;"_"),MATCH(V28,rangeIE1,0),MATCH(U28,モーター効率!$A$1:$F$1,0))),"")</f>
        <v/>
      </c>
      <c r="X28" s="764"/>
      <c r="Y28" s="771"/>
      <c r="Z28" s="768" t="str">
        <f>IF(S28="","",IF(Y28="",S28*AJ28*AK28,S28*AJ28*AK28*(1-Y28)))</f>
        <v/>
      </c>
      <c r="AA28" s="485" t="str">
        <f>IF(Z28="","",Z28*'CO₂係数 '!$I$33)</f>
        <v/>
      </c>
      <c r="AB28" s="772" t="str">
        <f t="shared" ref="AB28:AB36" si="3">IF(OR(P28="",Z28=""),"",P28-Z28)</f>
        <v/>
      </c>
      <c r="AC28" s="773" t="str">
        <f t="shared" ref="AC28:AC36" si="4">IF(OR(Q28="",AA28=""),"",Q28-AA28)</f>
        <v/>
      </c>
      <c r="AD28" s="363" t="e">
        <f>MATCH(C28,$AG$3:$AG$7,0)</f>
        <v>#N/A</v>
      </c>
      <c r="AF28" s="363">
        <f ca="1">IFERROR(MATCH(H28,INDIRECT(F28&amp;"_出力"),0),0)</f>
        <v>0</v>
      </c>
      <c r="AG28" s="478" t="e">
        <f ca="1">IF(AND(AF28&lt;&gt;0,J28=0),H28/I28,H28/J28)</f>
        <v>#DIV/0!</v>
      </c>
      <c r="AH28" s="481">
        <f t="shared" ref="AH28:AH36" si="5">IF(N28="",M28,M28*N28)</f>
        <v>0</v>
      </c>
      <c r="AI28" s="363">
        <f ca="1">IFERROR(MATCH(V28,INDIRECT(T28&amp;"_出力"),0),0)</f>
        <v>0</v>
      </c>
      <c r="AJ28" s="478" t="e">
        <f ca="1">IF(AND(AI28&lt;&gt;0,X28=0),V28/W28,V28/X28)</f>
        <v>#DIV/0!</v>
      </c>
      <c r="AK28" s="492">
        <f t="shared" ref="AK28:AK36" si="6">AH28</f>
        <v>0</v>
      </c>
    </row>
    <row r="29" spans="1:37" ht="20.100000000000001" customHeight="1">
      <c r="A29" s="470">
        <v>2</v>
      </c>
      <c r="B29" s="489"/>
      <c r="C29" s="489"/>
      <c r="D29" s="489"/>
      <c r="E29" s="489"/>
      <c r="F29" s="489"/>
      <c r="G29" s="489"/>
      <c r="H29" s="490"/>
      <c r="I29" s="493" t="str">
        <f ca="1">IFERROR(IF(OR(F29="",H29="",G29="")=TRUE,"",INDEX(INDIRECT(F29&amp;"_"),MATCH(H29,rangeIE1,0),MATCH(G29,モーター効率!$A$1:$F$1,0))),"")</f>
        <v/>
      </c>
      <c r="J29" s="764"/>
      <c r="K29" s="537"/>
      <c r="L29" s="538"/>
      <c r="M29" s="665">
        <f t="shared" ref="M29:M42" si="7">K29*L29</f>
        <v>0</v>
      </c>
      <c r="N29" s="583"/>
      <c r="O29" s="584"/>
      <c r="P29" s="768" t="str">
        <f t="shared" ref="P29:P42" si="8">IF(E29="","",IF(O29="",E29*AG29*AH29,E29*AG29*AH29*(1-O29)))</f>
        <v/>
      </c>
      <c r="Q29" s="484" t="str">
        <f>IF(P29="","",P29*'CO₂係数 '!$I$33)</f>
        <v/>
      </c>
      <c r="R29" s="491"/>
      <c r="S29" s="489"/>
      <c r="T29" s="489"/>
      <c r="U29" s="489"/>
      <c r="V29" s="489"/>
      <c r="W29" s="493" t="str">
        <f ca="1">IFERROR(IF(OR(T29="",V29="",U29="")=TRUE,"",INDEX(INDIRECT(T29&amp;"_"),MATCH(V29,rangeIE1,0),MATCH(U29,モーター効率!$A$1:$F$1,0))),"")</f>
        <v/>
      </c>
      <c r="X29" s="764"/>
      <c r="Y29" s="585"/>
      <c r="Z29" s="483" t="str">
        <f t="shared" ref="Z29:Z42" si="9">IF(S29="","",IF(Y29="",S29*AJ29*AK29,S29*AJ29*AK29*(1-Y29)))</f>
        <v/>
      </c>
      <c r="AA29" s="486" t="str">
        <f>IF(Z29="","",Z29*'CO₂係数 '!$I$33)</f>
        <v/>
      </c>
      <c r="AB29" s="487" t="str">
        <f t="shared" si="3"/>
        <v/>
      </c>
      <c r="AC29" s="488" t="str">
        <f t="shared" si="4"/>
        <v/>
      </c>
      <c r="AD29" s="363" t="e">
        <f t="shared" ref="AD29:AD42" si="10">MATCH(C29,$AG$3:$AG$7,0)</f>
        <v>#N/A</v>
      </c>
      <c r="AF29" s="363">
        <f t="shared" ref="AF29:AF42" ca="1" si="11">IFERROR(MATCH(H29,INDIRECT(F29&amp;"_出力"),0),0)</f>
        <v>0</v>
      </c>
      <c r="AG29" s="478" t="e">
        <f ca="1">IF(AND(AF29&lt;&gt;0,J29=0),H29/I29,H29/J29)</f>
        <v>#DIV/0!</v>
      </c>
      <c r="AH29" s="481">
        <f t="shared" si="5"/>
        <v>0</v>
      </c>
      <c r="AI29" s="363">
        <f t="shared" ref="AI29:AI42" ca="1" si="12">IFERROR(MATCH(V29,INDIRECT(T29&amp;"_出力"),0),0)</f>
        <v>0</v>
      </c>
      <c r="AJ29" s="478" t="e">
        <f t="shared" ref="AJ29:AJ42" ca="1" si="13">IF(AND(AI29&lt;&gt;0,X29=0),V29/W29,V29/X29)</f>
        <v>#DIV/0!</v>
      </c>
      <c r="AK29" s="492">
        <f t="shared" si="6"/>
        <v>0</v>
      </c>
    </row>
    <row r="30" spans="1:37" ht="20.100000000000001" customHeight="1">
      <c r="A30" s="470">
        <v>3</v>
      </c>
      <c r="B30" s="489"/>
      <c r="C30" s="489"/>
      <c r="D30" s="489"/>
      <c r="E30" s="489"/>
      <c r="F30" s="489"/>
      <c r="G30" s="489"/>
      <c r="H30" s="490"/>
      <c r="I30" s="493" t="str">
        <f ca="1">IFERROR(IF(OR(F30="",H30="",G30="")=TRUE,"",INDEX(INDIRECT(F30&amp;"_"),MATCH(H30,rangeIE1,0),MATCH(G30,モーター効率!$A$1:$F$1,0))),"")</f>
        <v/>
      </c>
      <c r="J30" s="764"/>
      <c r="K30" s="537"/>
      <c r="L30" s="538"/>
      <c r="M30" s="665">
        <f t="shared" si="7"/>
        <v>0</v>
      </c>
      <c r="N30" s="583"/>
      <c r="O30" s="584"/>
      <c r="P30" s="768" t="str">
        <f t="shared" si="8"/>
        <v/>
      </c>
      <c r="Q30" s="484" t="str">
        <f>IF(P30="","",P30*'CO₂係数 '!$I$33)</f>
        <v/>
      </c>
      <c r="R30" s="491"/>
      <c r="S30" s="489"/>
      <c r="T30" s="489"/>
      <c r="U30" s="489"/>
      <c r="V30" s="489"/>
      <c r="W30" s="493" t="str">
        <f ca="1">IFERROR(IF(OR(T30="",V30="",U30="")=TRUE,"",INDEX(INDIRECT(T30&amp;"_"),MATCH(V30,rangeIE1,0),MATCH(U30,モーター効率!$A$1:$F$1,0))),"")</f>
        <v/>
      </c>
      <c r="X30" s="764"/>
      <c r="Y30" s="585"/>
      <c r="Z30" s="483" t="str">
        <f t="shared" si="9"/>
        <v/>
      </c>
      <c r="AA30" s="486" t="str">
        <f>IF(Z30="","",Z30*'CO₂係数 '!$I$33)</f>
        <v/>
      </c>
      <c r="AB30" s="487" t="str">
        <f t="shared" si="3"/>
        <v/>
      </c>
      <c r="AC30" s="488" t="str">
        <f t="shared" si="4"/>
        <v/>
      </c>
      <c r="AD30" s="363" t="e">
        <f t="shared" si="10"/>
        <v>#N/A</v>
      </c>
      <c r="AF30" s="363">
        <f t="shared" ca="1" si="11"/>
        <v>0</v>
      </c>
      <c r="AG30" s="478" t="e">
        <f t="shared" ref="AG30:AG42" ca="1" si="14">IF(AND(AF30&lt;&gt;0,J30=0),H30/I30,H30/J30)</f>
        <v>#DIV/0!</v>
      </c>
      <c r="AH30" s="481">
        <f t="shared" si="5"/>
        <v>0</v>
      </c>
      <c r="AI30" s="363">
        <f t="shared" ca="1" si="12"/>
        <v>0</v>
      </c>
      <c r="AJ30" s="478" t="e">
        <f t="shared" ca="1" si="13"/>
        <v>#DIV/0!</v>
      </c>
      <c r="AK30" s="492">
        <f t="shared" si="6"/>
        <v>0</v>
      </c>
    </row>
    <row r="31" spans="1:37" ht="20.100000000000001" customHeight="1">
      <c r="A31" s="470">
        <v>4</v>
      </c>
      <c r="B31" s="489"/>
      <c r="C31" s="489"/>
      <c r="D31" s="489"/>
      <c r="E31" s="489"/>
      <c r="F31" s="489"/>
      <c r="G31" s="489"/>
      <c r="H31" s="490"/>
      <c r="I31" s="493" t="str">
        <f ca="1">IFERROR(IF(OR(F31="",H31="",G31="")=TRUE,"",INDEX(INDIRECT(F31&amp;"_"),MATCH(H31,rangeIE1,0),MATCH(G31,モーター効率!$A$1:$F$1,0))),"")</f>
        <v/>
      </c>
      <c r="J31" s="764"/>
      <c r="K31" s="537"/>
      <c r="L31" s="538"/>
      <c r="M31" s="665">
        <f t="shared" si="7"/>
        <v>0</v>
      </c>
      <c r="N31" s="583"/>
      <c r="O31" s="584"/>
      <c r="P31" s="768" t="str">
        <f t="shared" si="8"/>
        <v/>
      </c>
      <c r="Q31" s="484" t="str">
        <f>IF(P31="","",P31*'CO₂係数 '!$I$33)</f>
        <v/>
      </c>
      <c r="R31" s="491"/>
      <c r="S31" s="489"/>
      <c r="T31" s="489"/>
      <c r="U31" s="489"/>
      <c r="V31" s="489"/>
      <c r="W31" s="493" t="str">
        <f ca="1">IFERROR(IF(OR(T31="",V31="",U31="")=TRUE,"",INDEX(INDIRECT(T31&amp;"_"),MATCH(V31,rangeIE1,0),MATCH(U31,モーター効率!$A$1:$F$1,0))),"")</f>
        <v/>
      </c>
      <c r="X31" s="764"/>
      <c r="Y31" s="585"/>
      <c r="Z31" s="483" t="str">
        <f t="shared" si="9"/>
        <v/>
      </c>
      <c r="AA31" s="486" t="str">
        <f>IF(Z31="","",Z31*'CO₂係数 '!$I$33)</f>
        <v/>
      </c>
      <c r="AB31" s="487" t="str">
        <f t="shared" si="3"/>
        <v/>
      </c>
      <c r="AC31" s="488" t="str">
        <f t="shared" si="4"/>
        <v/>
      </c>
      <c r="AD31" s="363" t="e">
        <f t="shared" si="10"/>
        <v>#N/A</v>
      </c>
      <c r="AF31" s="363">
        <f t="shared" ca="1" si="11"/>
        <v>0</v>
      </c>
      <c r="AG31" s="478" t="e">
        <f t="shared" ca="1" si="14"/>
        <v>#DIV/0!</v>
      </c>
      <c r="AH31" s="481">
        <f t="shared" si="5"/>
        <v>0</v>
      </c>
      <c r="AI31" s="363">
        <f t="shared" ca="1" si="12"/>
        <v>0</v>
      </c>
      <c r="AJ31" s="478" t="e">
        <f t="shared" ca="1" si="13"/>
        <v>#DIV/0!</v>
      </c>
      <c r="AK31" s="492">
        <f t="shared" si="6"/>
        <v>0</v>
      </c>
    </row>
    <row r="32" spans="1:37" ht="20.100000000000001" customHeight="1">
      <c r="A32" s="470">
        <v>5</v>
      </c>
      <c r="B32" s="489"/>
      <c r="C32" s="489"/>
      <c r="D32" s="489"/>
      <c r="E32" s="489"/>
      <c r="F32" s="489"/>
      <c r="G32" s="489"/>
      <c r="H32" s="490"/>
      <c r="I32" s="493" t="str">
        <f ca="1">IFERROR(IF(OR(F32="",H32="",G32="")=TRUE,"",INDEX(INDIRECT(F32&amp;"_"),MATCH(H32,rangeIE1,0),MATCH(G32,モーター効率!$A$1:$F$1,0))),"")</f>
        <v/>
      </c>
      <c r="J32" s="764"/>
      <c r="K32" s="537"/>
      <c r="L32" s="538"/>
      <c r="M32" s="665">
        <f t="shared" si="7"/>
        <v>0</v>
      </c>
      <c r="N32" s="583"/>
      <c r="O32" s="584"/>
      <c r="P32" s="768" t="str">
        <f t="shared" si="8"/>
        <v/>
      </c>
      <c r="Q32" s="484" t="str">
        <f>IF(P32="","",P32*'CO₂係数 '!$I$33)</f>
        <v/>
      </c>
      <c r="R32" s="491"/>
      <c r="S32" s="489"/>
      <c r="T32" s="489"/>
      <c r="U32" s="489"/>
      <c r="V32" s="489"/>
      <c r="W32" s="493" t="str">
        <f ca="1">IFERROR(IF(OR(T32="",V32="",U32="")=TRUE,"",INDEX(INDIRECT(T32&amp;"_"),MATCH(V32,rangeIE1,0),MATCH(U32,モーター効率!$A$1:$F$1,0))),"")</f>
        <v/>
      </c>
      <c r="X32" s="764"/>
      <c r="Y32" s="585"/>
      <c r="Z32" s="483" t="str">
        <f t="shared" si="9"/>
        <v/>
      </c>
      <c r="AA32" s="486" t="str">
        <f>IF(Z32="","",Z32*'CO₂係数 '!$I$33)</f>
        <v/>
      </c>
      <c r="AB32" s="487" t="str">
        <f t="shared" si="3"/>
        <v/>
      </c>
      <c r="AC32" s="488" t="str">
        <f t="shared" si="4"/>
        <v/>
      </c>
      <c r="AD32" s="363" t="e">
        <f t="shared" si="10"/>
        <v>#N/A</v>
      </c>
      <c r="AF32" s="363">
        <f t="shared" ca="1" si="11"/>
        <v>0</v>
      </c>
      <c r="AG32" s="478" t="e">
        <f t="shared" ca="1" si="14"/>
        <v>#DIV/0!</v>
      </c>
      <c r="AH32" s="481">
        <f t="shared" si="5"/>
        <v>0</v>
      </c>
      <c r="AI32" s="363">
        <f t="shared" ca="1" si="12"/>
        <v>0</v>
      </c>
      <c r="AJ32" s="478" t="e">
        <f t="shared" ca="1" si="13"/>
        <v>#DIV/0!</v>
      </c>
      <c r="AK32" s="492">
        <f t="shared" si="6"/>
        <v>0</v>
      </c>
    </row>
    <row r="33" spans="1:37" ht="20.100000000000001" customHeight="1">
      <c r="A33" s="470">
        <v>6</v>
      </c>
      <c r="B33" s="489"/>
      <c r="C33" s="489"/>
      <c r="D33" s="489"/>
      <c r="E33" s="489"/>
      <c r="F33" s="489"/>
      <c r="G33" s="489"/>
      <c r="H33" s="490"/>
      <c r="I33" s="493" t="str">
        <f ca="1">IFERROR(IF(OR(F33="",H33="",G33="")=TRUE,"",INDEX(INDIRECT(F33&amp;"_"),MATCH(H33,rangeIE1,0),MATCH(G33,モーター効率!$A$1:$F$1,0))),"")</f>
        <v/>
      </c>
      <c r="J33" s="764"/>
      <c r="K33" s="537"/>
      <c r="L33" s="538"/>
      <c r="M33" s="665">
        <f t="shared" si="7"/>
        <v>0</v>
      </c>
      <c r="N33" s="583"/>
      <c r="O33" s="584"/>
      <c r="P33" s="768" t="str">
        <f t="shared" si="8"/>
        <v/>
      </c>
      <c r="Q33" s="484" t="str">
        <f>IF(P33="","",P33*'CO₂係数 '!$I$33)</f>
        <v/>
      </c>
      <c r="R33" s="491"/>
      <c r="S33" s="489"/>
      <c r="T33" s="489"/>
      <c r="U33" s="489"/>
      <c r="V33" s="489"/>
      <c r="W33" s="493" t="str">
        <f ca="1">IFERROR(IF(OR(T33="",V33="",U33="")=TRUE,"",INDEX(INDIRECT(T33&amp;"_"),MATCH(V33,rangeIE1,0),MATCH(U33,モーター効率!$A$1:$F$1,0))),"")</f>
        <v/>
      </c>
      <c r="X33" s="764"/>
      <c r="Y33" s="585"/>
      <c r="Z33" s="483" t="str">
        <f t="shared" si="9"/>
        <v/>
      </c>
      <c r="AA33" s="486" t="str">
        <f>IF(Z33="","",Z33*'CO₂係数 '!$I$33)</f>
        <v/>
      </c>
      <c r="AB33" s="487" t="str">
        <f t="shared" si="3"/>
        <v/>
      </c>
      <c r="AC33" s="488" t="str">
        <f t="shared" si="4"/>
        <v/>
      </c>
      <c r="AD33" s="363" t="e">
        <f t="shared" si="10"/>
        <v>#N/A</v>
      </c>
      <c r="AF33" s="363">
        <f t="shared" ca="1" si="11"/>
        <v>0</v>
      </c>
      <c r="AG33" s="478" t="e">
        <f t="shared" ca="1" si="14"/>
        <v>#DIV/0!</v>
      </c>
      <c r="AH33" s="481">
        <f t="shared" si="5"/>
        <v>0</v>
      </c>
      <c r="AI33" s="363">
        <f t="shared" ca="1" si="12"/>
        <v>0</v>
      </c>
      <c r="AJ33" s="478" t="e">
        <f t="shared" ca="1" si="13"/>
        <v>#DIV/0!</v>
      </c>
      <c r="AK33" s="492">
        <f t="shared" si="6"/>
        <v>0</v>
      </c>
    </row>
    <row r="34" spans="1:37" ht="20.100000000000001" customHeight="1">
      <c r="A34" s="470">
        <v>7</v>
      </c>
      <c r="B34" s="489"/>
      <c r="C34" s="489"/>
      <c r="D34" s="489"/>
      <c r="E34" s="489"/>
      <c r="F34" s="489"/>
      <c r="G34" s="489"/>
      <c r="H34" s="490"/>
      <c r="I34" s="493" t="str">
        <f ca="1">IFERROR(IF(OR(F34="",H34="",G34="")=TRUE,"",INDEX(INDIRECT(F34&amp;"_"),MATCH(H34,rangeIE1,0),MATCH(G34,モーター効率!$A$1:$F$1,0))),"")</f>
        <v/>
      </c>
      <c r="J34" s="764"/>
      <c r="K34" s="537"/>
      <c r="L34" s="538"/>
      <c r="M34" s="665">
        <f t="shared" si="7"/>
        <v>0</v>
      </c>
      <c r="N34" s="583"/>
      <c r="O34" s="584"/>
      <c r="P34" s="768" t="str">
        <f t="shared" si="8"/>
        <v/>
      </c>
      <c r="Q34" s="484" t="str">
        <f>IF(P34="","",P34*'CO₂係数 '!$I$33)</f>
        <v/>
      </c>
      <c r="R34" s="491"/>
      <c r="S34" s="489"/>
      <c r="T34" s="489"/>
      <c r="U34" s="489"/>
      <c r="V34" s="489"/>
      <c r="W34" s="493" t="str">
        <f ca="1">IFERROR(IF(OR(T34="",V34="",U34="")=TRUE,"",INDEX(INDIRECT(T34&amp;"_"),MATCH(V34,rangeIE1,0),MATCH(U34,モーター効率!$A$1:$F$1,0))),"")</f>
        <v/>
      </c>
      <c r="X34" s="764"/>
      <c r="Y34" s="585"/>
      <c r="Z34" s="483" t="str">
        <f t="shared" si="9"/>
        <v/>
      </c>
      <c r="AA34" s="486" t="str">
        <f>IF(Z34="","",Z34*'CO₂係数 '!$I$33)</f>
        <v/>
      </c>
      <c r="AB34" s="487" t="str">
        <f t="shared" si="3"/>
        <v/>
      </c>
      <c r="AC34" s="488" t="str">
        <f t="shared" si="4"/>
        <v/>
      </c>
      <c r="AD34" s="363" t="e">
        <f t="shared" si="10"/>
        <v>#N/A</v>
      </c>
      <c r="AF34" s="363">
        <f t="shared" ca="1" si="11"/>
        <v>0</v>
      </c>
      <c r="AG34" s="478" t="e">
        <f t="shared" ca="1" si="14"/>
        <v>#DIV/0!</v>
      </c>
      <c r="AH34" s="481">
        <f t="shared" si="5"/>
        <v>0</v>
      </c>
      <c r="AI34" s="363">
        <f t="shared" ca="1" si="12"/>
        <v>0</v>
      </c>
      <c r="AJ34" s="478" t="e">
        <f t="shared" ca="1" si="13"/>
        <v>#DIV/0!</v>
      </c>
      <c r="AK34" s="492">
        <f t="shared" si="6"/>
        <v>0</v>
      </c>
    </row>
    <row r="35" spans="1:37" ht="20.100000000000001" customHeight="1">
      <c r="A35" s="470">
        <v>8</v>
      </c>
      <c r="B35" s="489"/>
      <c r="C35" s="489"/>
      <c r="D35" s="489"/>
      <c r="E35" s="489"/>
      <c r="F35" s="489"/>
      <c r="G35" s="489"/>
      <c r="H35" s="490"/>
      <c r="I35" s="493" t="str">
        <f ca="1">IFERROR(IF(OR(F35="",H35="",G35="")=TRUE,"",INDEX(INDIRECT(F35&amp;"_"),MATCH(H35,rangeIE1,0),MATCH(G35,モーター効率!$A$1:$F$1,0))),"")</f>
        <v/>
      </c>
      <c r="J35" s="764"/>
      <c r="K35" s="537"/>
      <c r="L35" s="538"/>
      <c r="M35" s="665">
        <f t="shared" si="7"/>
        <v>0</v>
      </c>
      <c r="N35" s="583"/>
      <c r="O35" s="584"/>
      <c r="P35" s="768" t="str">
        <f t="shared" si="8"/>
        <v/>
      </c>
      <c r="Q35" s="484" t="str">
        <f>IF(P35="","",P35*'CO₂係数 '!$I$33)</f>
        <v/>
      </c>
      <c r="R35" s="491"/>
      <c r="S35" s="489"/>
      <c r="T35" s="489"/>
      <c r="U35" s="489"/>
      <c r="V35" s="489"/>
      <c r="W35" s="493" t="str">
        <f ca="1">IFERROR(IF(OR(T35="",V35="",U35="")=TRUE,"",INDEX(INDIRECT(T35&amp;"_"),MATCH(V35,rangeIE1,0),MATCH(U35,モーター効率!$A$1:$F$1,0))),"")</f>
        <v/>
      </c>
      <c r="X35" s="764"/>
      <c r="Y35" s="585"/>
      <c r="Z35" s="483" t="str">
        <f t="shared" si="9"/>
        <v/>
      </c>
      <c r="AA35" s="486" t="str">
        <f>IF(Z35="","",Z35*'CO₂係数 '!$I$33)</f>
        <v/>
      </c>
      <c r="AB35" s="487" t="str">
        <f t="shared" si="3"/>
        <v/>
      </c>
      <c r="AC35" s="488" t="str">
        <f t="shared" si="4"/>
        <v/>
      </c>
      <c r="AD35" s="363" t="e">
        <f t="shared" si="10"/>
        <v>#N/A</v>
      </c>
      <c r="AF35" s="363">
        <f t="shared" ca="1" si="11"/>
        <v>0</v>
      </c>
      <c r="AG35" s="478" t="e">
        <f t="shared" ca="1" si="14"/>
        <v>#DIV/0!</v>
      </c>
      <c r="AH35" s="481">
        <f t="shared" si="5"/>
        <v>0</v>
      </c>
      <c r="AI35" s="363">
        <f t="shared" ca="1" si="12"/>
        <v>0</v>
      </c>
      <c r="AJ35" s="478" t="e">
        <f t="shared" ca="1" si="13"/>
        <v>#DIV/0!</v>
      </c>
      <c r="AK35" s="492">
        <f t="shared" si="6"/>
        <v>0</v>
      </c>
    </row>
    <row r="36" spans="1:37" ht="20.100000000000001" customHeight="1">
      <c r="A36" s="470">
        <v>9</v>
      </c>
      <c r="B36" s="489"/>
      <c r="C36" s="489"/>
      <c r="D36" s="489"/>
      <c r="E36" s="489"/>
      <c r="F36" s="489"/>
      <c r="G36" s="489"/>
      <c r="H36" s="490"/>
      <c r="I36" s="493" t="str">
        <f ca="1">IFERROR(IF(OR(F36="",H36="",G36="")=TRUE,"",INDEX(INDIRECT(F36&amp;"_"),MATCH(H36,rangeIE1,0),MATCH(G36,モーター効率!$A$1:$F$1,0))),"")</f>
        <v/>
      </c>
      <c r="J36" s="764"/>
      <c r="K36" s="537"/>
      <c r="L36" s="538"/>
      <c r="M36" s="665">
        <f t="shared" si="7"/>
        <v>0</v>
      </c>
      <c r="N36" s="583"/>
      <c r="O36" s="584"/>
      <c r="P36" s="768" t="str">
        <f t="shared" si="8"/>
        <v/>
      </c>
      <c r="Q36" s="484" t="str">
        <f>IF(P36="","",P36*'CO₂係数 '!$I$33)</f>
        <v/>
      </c>
      <c r="R36" s="491"/>
      <c r="S36" s="489"/>
      <c r="T36" s="489"/>
      <c r="U36" s="489"/>
      <c r="V36" s="489"/>
      <c r="W36" s="493" t="str">
        <f ca="1">IFERROR(IF(OR(T36="",V36="",U36="")=TRUE,"",INDEX(INDIRECT(T36&amp;"_"),MATCH(V36,rangeIE1,0),MATCH(U36,モーター効率!$A$1:$F$1,0))),"")</f>
        <v/>
      </c>
      <c r="X36" s="764"/>
      <c r="Y36" s="585"/>
      <c r="Z36" s="483" t="str">
        <f t="shared" si="9"/>
        <v/>
      </c>
      <c r="AA36" s="486" t="str">
        <f>IF(Z36="","",Z36*'CO₂係数 '!$I$33)</f>
        <v/>
      </c>
      <c r="AB36" s="487" t="str">
        <f t="shared" si="3"/>
        <v/>
      </c>
      <c r="AC36" s="488" t="str">
        <f t="shared" si="4"/>
        <v/>
      </c>
      <c r="AD36" s="363" t="e">
        <f t="shared" si="10"/>
        <v>#N/A</v>
      </c>
      <c r="AF36" s="363">
        <f t="shared" ca="1" si="11"/>
        <v>0</v>
      </c>
      <c r="AG36" s="478" t="e">
        <f t="shared" ca="1" si="14"/>
        <v>#DIV/0!</v>
      </c>
      <c r="AH36" s="481">
        <f t="shared" si="5"/>
        <v>0</v>
      </c>
      <c r="AI36" s="363">
        <f t="shared" ca="1" si="12"/>
        <v>0</v>
      </c>
      <c r="AJ36" s="478" t="e">
        <f t="shared" ca="1" si="13"/>
        <v>#DIV/0!</v>
      </c>
      <c r="AK36" s="492">
        <f t="shared" si="6"/>
        <v>0</v>
      </c>
    </row>
    <row r="37" spans="1:37" ht="20.100000000000001" customHeight="1">
      <c r="A37" s="470">
        <v>10</v>
      </c>
      <c r="B37" s="489"/>
      <c r="C37" s="489"/>
      <c r="D37" s="489"/>
      <c r="E37" s="489"/>
      <c r="F37" s="489"/>
      <c r="G37" s="489"/>
      <c r="H37" s="490"/>
      <c r="I37" s="493" t="str">
        <f ca="1">IFERROR(IF(OR(F37="",H37="",G37="")=TRUE,"",INDEX(INDIRECT(F37&amp;"_"),MATCH(H37,rangeIE1,0),MATCH(G37,モーター効率!$A$1:$F$1,0))),"")</f>
        <v/>
      </c>
      <c r="J37" s="764"/>
      <c r="K37" s="537"/>
      <c r="L37" s="538"/>
      <c r="M37" s="665">
        <f t="shared" si="7"/>
        <v>0</v>
      </c>
      <c r="N37" s="583"/>
      <c r="O37" s="584"/>
      <c r="P37" s="768" t="str">
        <f t="shared" si="8"/>
        <v/>
      </c>
      <c r="Q37" s="484" t="str">
        <f>IF(P37="","",P37*'CO₂係数 '!$I$33)</f>
        <v/>
      </c>
      <c r="R37" s="491"/>
      <c r="S37" s="489"/>
      <c r="T37" s="489"/>
      <c r="U37" s="489"/>
      <c r="V37" s="489"/>
      <c r="W37" s="493" t="str">
        <f ca="1">IFERROR(IF(OR(T37="",V37="",U37="")=TRUE,"",INDEX(INDIRECT(T37&amp;"_"),MATCH(V37,rangeIE1,0),MATCH(U37,モーター効率!$A$1:$F$1,0))),"")</f>
        <v/>
      </c>
      <c r="X37" s="764"/>
      <c r="Y37" s="585"/>
      <c r="Z37" s="483" t="str">
        <f t="shared" si="9"/>
        <v/>
      </c>
      <c r="AA37" s="486" t="str">
        <f>IF(Z37="","",Z37*'CO₂係数 '!$I$33)</f>
        <v/>
      </c>
      <c r="AB37" s="487" t="str">
        <f t="shared" ref="AB37:AB42" si="15">IF(OR(P37="",Z37=""),"",P37-Z37)</f>
        <v/>
      </c>
      <c r="AC37" s="488" t="str">
        <f t="shared" ref="AC37:AC42" si="16">IF(OR(Q37="",AA37=""),"",Q37-AA37)</f>
        <v/>
      </c>
      <c r="AD37" s="363" t="e">
        <f t="shared" si="10"/>
        <v>#N/A</v>
      </c>
      <c r="AF37" s="363">
        <f t="shared" ca="1" si="11"/>
        <v>0</v>
      </c>
      <c r="AG37" s="478" t="e">
        <f t="shared" ca="1" si="14"/>
        <v>#DIV/0!</v>
      </c>
      <c r="AH37" s="481">
        <f t="shared" ref="AH37:AH42" si="17">IF(N37="",M37,M37*N37)</f>
        <v>0</v>
      </c>
      <c r="AI37" s="363">
        <f t="shared" ca="1" si="12"/>
        <v>0</v>
      </c>
      <c r="AJ37" s="478" t="e">
        <f t="shared" ca="1" si="13"/>
        <v>#DIV/0!</v>
      </c>
      <c r="AK37" s="492">
        <f t="shared" ref="AK37:AK42" si="18">AH37</f>
        <v>0</v>
      </c>
    </row>
    <row r="38" spans="1:37" ht="20.100000000000001" customHeight="1">
      <c r="A38" s="470">
        <v>11</v>
      </c>
      <c r="B38" s="489"/>
      <c r="C38" s="489"/>
      <c r="D38" s="489"/>
      <c r="E38" s="489"/>
      <c r="F38" s="489"/>
      <c r="G38" s="489"/>
      <c r="H38" s="490"/>
      <c r="I38" s="493" t="str">
        <f ca="1">IFERROR(IF(OR(F38="",H38="",G38="")=TRUE,"",INDEX(INDIRECT(F38&amp;"_"),MATCH(H38,rangeIE1,0),MATCH(G38,モーター効率!$A$1:$F$1,0))),"")</f>
        <v/>
      </c>
      <c r="J38" s="764"/>
      <c r="K38" s="537"/>
      <c r="L38" s="538"/>
      <c r="M38" s="665">
        <f t="shared" si="7"/>
        <v>0</v>
      </c>
      <c r="N38" s="583"/>
      <c r="O38" s="584"/>
      <c r="P38" s="768" t="str">
        <f t="shared" si="8"/>
        <v/>
      </c>
      <c r="Q38" s="484" t="str">
        <f>IF(P38="","",P38*'CO₂係数 '!$I$33)</f>
        <v/>
      </c>
      <c r="R38" s="491"/>
      <c r="S38" s="489"/>
      <c r="T38" s="489"/>
      <c r="U38" s="489"/>
      <c r="V38" s="489"/>
      <c r="W38" s="493" t="str">
        <f ca="1">IFERROR(IF(OR(T38="",V38="",U38="")=TRUE,"",INDEX(INDIRECT(T38&amp;"_"),MATCH(V38,rangeIE1,0),MATCH(U38,モーター効率!$A$1:$F$1,0))),"")</f>
        <v/>
      </c>
      <c r="X38" s="764"/>
      <c r="Y38" s="585"/>
      <c r="Z38" s="483" t="str">
        <f t="shared" si="9"/>
        <v/>
      </c>
      <c r="AA38" s="486" t="str">
        <f>IF(Z38="","",Z38*'CO₂係数 '!$I$33)</f>
        <v/>
      </c>
      <c r="AB38" s="487" t="str">
        <f t="shared" si="15"/>
        <v/>
      </c>
      <c r="AC38" s="488" t="str">
        <f t="shared" si="16"/>
        <v/>
      </c>
      <c r="AD38" s="363" t="e">
        <f t="shared" si="10"/>
        <v>#N/A</v>
      </c>
      <c r="AF38" s="363">
        <f t="shared" ca="1" si="11"/>
        <v>0</v>
      </c>
      <c r="AG38" s="478" t="e">
        <f t="shared" ca="1" si="14"/>
        <v>#DIV/0!</v>
      </c>
      <c r="AH38" s="481">
        <f t="shared" si="17"/>
        <v>0</v>
      </c>
      <c r="AI38" s="363">
        <f t="shared" ca="1" si="12"/>
        <v>0</v>
      </c>
      <c r="AJ38" s="478" t="e">
        <f t="shared" ca="1" si="13"/>
        <v>#DIV/0!</v>
      </c>
      <c r="AK38" s="492">
        <f t="shared" si="18"/>
        <v>0</v>
      </c>
    </row>
    <row r="39" spans="1:37" ht="20.100000000000001" customHeight="1">
      <c r="A39" s="470">
        <v>12</v>
      </c>
      <c r="B39" s="489"/>
      <c r="C39" s="489"/>
      <c r="D39" s="489"/>
      <c r="E39" s="489"/>
      <c r="F39" s="489"/>
      <c r="G39" s="489"/>
      <c r="H39" s="490"/>
      <c r="I39" s="493" t="str">
        <f ca="1">IFERROR(IF(OR(F39="",H39="",G39="")=TRUE,"",INDEX(INDIRECT(F39&amp;"_"),MATCH(H39,rangeIE1,0),MATCH(G39,モーター効率!$A$1:$F$1,0))),"")</f>
        <v/>
      </c>
      <c r="J39" s="764"/>
      <c r="K39" s="537"/>
      <c r="L39" s="538"/>
      <c r="M39" s="665">
        <f t="shared" si="7"/>
        <v>0</v>
      </c>
      <c r="N39" s="583"/>
      <c r="O39" s="584"/>
      <c r="P39" s="768" t="str">
        <f t="shared" si="8"/>
        <v/>
      </c>
      <c r="Q39" s="484" t="str">
        <f>IF(P39="","",P39*'CO₂係数 '!$I$33)</f>
        <v/>
      </c>
      <c r="R39" s="491"/>
      <c r="S39" s="489"/>
      <c r="T39" s="489"/>
      <c r="U39" s="489"/>
      <c r="V39" s="489"/>
      <c r="W39" s="493" t="str">
        <f ca="1">IFERROR(IF(OR(T39="",V39="",U39="")=TRUE,"",INDEX(INDIRECT(T39&amp;"_"),MATCH(V39,rangeIE1,0),MATCH(U39,モーター効率!$A$1:$F$1,0))),"")</f>
        <v/>
      </c>
      <c r="X39" s="764"/>
      <c r="Y39" s="585"/>
      <c r="Z39" s="483" t="str">
        <f t="shared" si="9"/>
        <v/>
      </c>
      <c r="AA39" s="486" t="str">
        <f>IF(Z39="","",Z39*'CO₂係数 '!$I$33)</f>
        <v/>
      </c>
      <c r="AB39" s="487" t="str">
        <f t="shared" si="15"/>
        <v/>
      </c>
      <c r="AC39" s="488" t="str">
        <f t="shared" si="16"/>
        <v/>
      </c>
      <c r="AD39" s="363" t="e">
        <f t="shared" si="10"/>
        <v>#N/A</v>
      </c>
      <c r="AF39" s="363">
        <f t="shared" ca="1" si="11"/>
        <v>0</v>
      </c>
      <c r="AG39" s="478" t="e">
        <f t="shared" ca="1" si="14"/>
        <v>#DIV/0!</v>
      </c>
      <c r="AH39" s="481">
        <f t="shared" si="17"/>
        <v>0</v>
      </c>
      <c r="AI39" s="363">
        <f t="shared" ca="1" si="12"/>
        <v>0</v>
      </c>
      <c r="AJ39" s="478" t="e">
        <f t="shared" ca="1" si="13"/>
        <v>#DIV/0!</v>
      </c>
      <c r="AK39" s="492">
        <f t="shared" si="18"/>
        <v>0</v>
      </c>
    </row>
    <row r="40" spans="1:37" ht="20.100000000000001" customHeight="1">
      <c r="A40" s="470">
        <v>13</v>
      </c>
      <c r="B40" s="489"/>
      <c r="C40" s="489"/>
      <c r="D40" s="489"/>
      <c r="E40" s="489"/>
      <c r="F40" s="489"/>
      <c r="G40" s="489"/>
      <c r="H40" s="490"/>
      <c r="I40" s="493" t="str">
        <f ca="1">IFERROR(IF(OR(F40="",H40="",G40="")=TRUE,"",INDEX(INDIRECT(F40&amp;"_"),MATCH(H40,rangeIE1,0),MATCH(G40,モーター効率!$A$1:$F$1,0))),"")</f>
        <v/>
      </c>
      <c r="J40" s="764"/>
      <c r="K40" s="537"/>
      <c r="L40" s="538"/>
      <c r="M40" s="665">
        <f t="shared" si="7"/>
        <v>0</v>
      </c>
      <c r="N40" s="583"/>
      <c r="O40" s="584"/>
      <c r="P40" s="768" t="str">
        <f t="shared" si="8"/>
        <v/>
      </c>
      <c r="Q40" s="484" t="str">
        <f>IF(P40="","",P40*'CO₂係数 '!$I$33)</f>
        <v/>
      </c>
      <c r="R40" s="491"/>
      <c r="S40" s="489"/>
      <c r="T40" s="489"/>
      <c r="U40" s="489"/>
      <c r="V40" s="489"/>
      <c r="W40" s="493" t="str">
        <f ca="1">IFERROR(IF(OR(T40="",V40="",U40="")=TRUE,"",INDEX(INDIRECT(T40&amp;"_"),MATCH(V40,rangeIE1,0),MATCH(U40,モーター効率!$A$1:$F$1,0))),"")</f>
        <v/>
      </c>
      <c r="X40" s="764"/>
      <c r="Y40" s="585"/>
      <c r="Z40" s="483" t="str">
        <f t="shared" si="9"/>
        <v/>
      </c>
      <c r="AA40" s="486" t="str">
        <f>IF(Z40="","",Z40*'CO₂係数 '!$I$33)</f>
        <v/>
      </c>
      <c r="AB40" s="487" t="str">
        <f t="shared" si="15"/>
        <v/>
      </c>
      <c r="AC40" s="488" t="str">
        <f t="shared" si="16"/>
        <v/>
      </c>
      <c r="AD40" s="363" t="e">
        <f t="shared" si="10"/>
        <v>#N/A</v>
      </c>
      <c r="AF40" s="363">
        <f t="shared" ca="1" si="11"/>
        <v>0</v>
      </c>
      <c r="AG40" s="478" t="e">
        <f t="shared" ca="1" si="14"/>
        <v>#DIV/0!</v>
      </c>
      <c r="AH40" s="481">
        <f t="shared" si="17"/>
        <v>0</v>
      </c>
      <c r="AI40" s="363">
        <f t="shared" ca="1" si="12"/>
        <v>0</v>
      </c>
      <c r="AJ40" s="478" t="e">
        <f t="shared" ca="1" si="13"/>
        <v>#DIV/0!</v>
      </c>
      <c r="AK40" s="492">
        <f t="shared" si="18"/>
        <v>0</v>
      </c>
    </row>
    <row r="41" spans="1:37" ht="20.100000000000001" customHeight="1">
      <c r="A41" s="470">
        <v>14</v>
      </c>
      <c r="B41" s="489"/>
      <c r="C41" s="489"/>
      <c r="D41" s="489"/>
      <c r="E41" s="489"/>
      <c r="F41" s="489"/>
      <c r="G41" s="489"/>
      <c r="H41" s="490"/>
      <c r="I41" s="493" t="str">
        <f ca="1">IFERROR(IF(OR(F41="",H41="",G41="")=TRUE,"",INDEX(INDIRECT(F41&amp;"_"),MATCH(H41,rangeIE1,0),MATCH(G41,モーター効率!$A$1:$F$1,0))),"")</f>
        <v/>
      </c>
      <c r="J41" s="764"/>
      <c r="K41" s="537"/>
      <c r="L41" s="538"/>
      <c r="M41" s="665">
        <f t="shared" si="7"/>
        <v>0</v>
      </c>
      <c r="N41" s="583"/>
      <c r="O41" s="584"/>
      <c r="P41" s="768" t="str">
        <f t="shared" si="8"/>
        <v/>
      </c>
      <c r="Q41" s="484" t="str">
        <f>IF(P41="","",P41*'CO₂係数 '!$I$33)</f>
        <v/>
      </c>
      <c r="R41" s="491"/>
      <c r="S41" s="489"/>
      <c r="T41" s="489"/>
      <c r="U41" s="489"/>
      <c r="V41" s="489"/>
      <c r="W41" s="493" t="str">
        <f ca="1">IFERROR(IF(OR(T41="",V41="",U41="")=TRUE,"",INDEX(INDIRECT(T41&amp;"_"),MATCH(V41,rangeIE1,0),MATCH(U41,モーター効率!$A$1:$F$1,0))),"")</f>
        <v/>
      </c>
      <c r="X41" s="764"/>
      <c r="Y41" s="585"/>
      <c r="Z41" s="483" t="str">
        <f t="shared" si="9"/>
        <v/>
      </c>
      <c r="AA41" s="486" t="str">
        <f>IF(Z41="","",Z41*'CO₂係数 '!$I$33)</f>
        <v/>
      </c>
      <c r="AB41" s="487" t="str">
        <f t="shared" si="15"/>
        <v/>
      </c>
      <c r="AC41" s="488" t="str">
        <f t="shared" si="16"/>
        <v/>
      </c>
      <c r="AD41" s="363" t="e">
        <f t="shared" si="10"/>
        <v>#N/A</v>
      </c>
      <c r="AF41" s="363">
        <f t="shared" ca="1" si="11"/>
        <v>0</v>
      </c>
      <c r="AG41" s="478" t="e">
        <f t="shared" ca="1" si="14"/>
        <v>#DIV/0!</v>
      </c>
      <c r="AH41" s="481">
        <f t="shared" si="17"/>
        <v>0</v>
      </c>
      <c r="AI41" s="363">
        <f t="shared" ca="1" si="12"/>
        <v>0</v>
      </c>
      <c r="AJ41" s="478" t="e">
        <f t="shared" ca="1" si="13"/>
        <v>#DIV/0!</v>
      </c>
      <c r="AK41" s="492">
        <f t="shared" si="18"/>
        <v>0</v>
      </c>
    </row>
    <row r="42" spans="1:37" ht="20.100000000000001" customHeight="1">
      <c r="A42" s="470">
        <v>15</v>
      </c>
      <c r="B42" s="489"/>
      <c r="C42" s="489"/>
      <c r="D42" s="489"/>
      <c r="E42" s="489"/>
      <c r="F42" s="489"/>
      <c r="G42" s="489"/>
      <c r="H42" s="490"/>
      <c r="I42" s="493" t="str">
        <f ca="1">IFERROR(IF(OR(F42="",H42="",G42="")=TRUE,"",INDEX(INDIRECT(F42&amp;"_"),MATCH(H42,rangeIE1,0),MATCH(G42,モーター効率!$A$1:$F$1,0))),"")</f>
        <v/>
      </c>
      <c r="J42" s="764"/>
      <c r="K42" s="537"/>
      <c r="L42" s="538"/>
      <c r="M42" s="665">
        <f t="shared" si="7"/>
        <v>0</v>
      </c>
      <c r="N42" s="583"/>
      <c r="O42" s="584"/>
      <c r="P42" s="768" t="str">
        <f t="shared" si="8"/>
        <v/>
      </c>
      <c r="Q42" s="484" t="str">
        <f>IF(P42="","",P42*'CO₂係数 '!$I$33)</f>
        <v/>
      </c>
      <c r="R42" s="491"/>
      <c r="S42" s="489"/>
      <c r="T42" s="489"/>
      <c r="U42" s="489"/>
      <c r="V42" s="489"/>
      <c r="W42" s="493" t="str">
        <f ca="1">IFERROR(IF(OR(T42="",V42="",U42="")=TRUE,"",INDEX(INDIRECT(T42&amp;"_"),MATCH(V42,rangeIE1,0),MATCH(U42,モーター効率!$A$1:$F$1,0))),"")</f>
        <v/>
      </c>
      <c r="X42" s="764"/>
      <c r="Y42" s="585"/>
      <c r="Z42" s="483" t="str">
        <f t="shared" si="9"/>
        <v/>
      </c>
      <c r="AA42" s="486" t="str">
        <f>IF(Z42="","",Z42*'CO₂係数 '!$I$33)</f>
        <v/>
      </c>
      <c r="AB42" s="487" t="str">
        <f t="shared" si="15"/>
        <v/>
      </c>
      <c r="AC42" s="488" t="str">
        <f t="shared" si="16"/>
        <v/>
      </c>
      <c r="AD42" s="363" t="e">
        <f t="shared" si="10"/>
        <v>#N/A</v>
      </c>
      <c r="AF42" s="363">
        <f t="shared" ca="1" si="11"/>
        <v>0</v>
      </c>
      <c r="AG42" s="478" t="e">
        <f t="shared" ca="1" si="14"/>
        <v>#DIV/0!</v>
      </c>
      <c r="AH42" s="481">
        <f t="shared" si="17"/>
        <v>0</v>
      </c>
      <c r="AI42" s="363">
        <f t="shared" ca="1" si="12"/>
        <v>0</v>
      </c>
      <c r="AJ42" s="478" t="e">
        <f t="shared" ca="1" si="13"/>
        <v>#DIV/0!</v>
      </c>
      <c r="AK42" s="492">
        <f t="shared" si="18"/>
        <v>0</v>
      </c>
    </row>
  </sheetData>
  <sheetProtection algorithmName="SHA-512" hashValue="lDYMrSKtcmqwjb4j3bK2OUQjI5C9J/GBFvUqWl5SGdQfrvWTyGgnD+cddcc/ZTPzuJEs/cIq21UJVP6pJqr0QQ==" saltValue="UZ0+9zoWVYKDQ3h5TESfjQ==" spinCount="100000" sheet="1" formatCells="0"/>
  <mergeCells count="23">
    <mergeCell ref="G3:H3"/>
    <mergeCell ref="G4:H4"/>
    <mergeCell ref="G5:H5"/>
    <mergeCell ref="G6:H6"/>
    <mergeCell ref="B6:C6"/>
    <mergeCell ref="B3:C3"/>
    <mergeCell ref="B4:C4"/>
    <mergeCell ref="B5:C5"/>
    <mergeCell ref="E3:F3"/>
    <mergeCell ref="E4:F4"/>
    <mergeCell ref="E5:F5"/>
    <mergeCell ref="E6:F6"/>
    <mergeCell ref="W1:AC1"/>
    <mergeCell ref="I24:J24"/>
    <mergeCell ref="I25:J25"/>
    <mergeCell ref="W24:X24"/>
    <mergeCell ref="W25:X25"/>
    <mergeCell ref="T3:AC3"/>
    <mergeCell ref="R5:AC10"/>
    <mergeCell ref="I3:J3"/>
    <mergeCell ref="I4:J4"/>
    <mergeCell ref="I5:J5"/>
    <mergeCell ref="I6:J6"/>
  </mergeCells>
  <phoneticPr fontId="3"/>
  <conditionalFormatting sqref="AA28:AA42">
    <cfRule type="expression" dxfId="31" priority="19">
      <formula>#REF!="なし"</formula>
    </cfRule>
  </conditionalFormatting>
  <conditionalFormatting sqref="K4:K6 E6 G6">
    <cfRule type="expression" dxfId="30" priority="18">
      <formula>$E$1="なし"</formula>
    </cfRule>
  </conditionalFormatting>
  <conditionalFormatting sqref="V27">
    <cfRule type="cellIs" dxfId="29" priority="12" operator="greaterThan">
      <formula>$H$27</formula>
    </cfRule>
  </conditionalFormatting>
  <conditionalFormatting sqref="R5">
    <cfRule type="expression" dxfId="28" priority="40">
      <formula>OR((V27-H27)&gt;0,COUNTIF($AD$28:$AD$42,"5"))=TRUE</formula>
    </cfRule>
  </conditionalFormatting>
  <conditionalFormatting sqref="K28:L42">
    <cfRule type="expression" dxfId="27" priority="9">
      <formula>$E$1="なし"</formula>
    </cfRule>
  </conditionalFormatting>
  <conditionalFormatting sqref="K26:L26">
    <cfRule type="expression" dxfId="26" priority="8">
      <formula>$E$1="なし"</formula>
    </cfRule>
  </conditionalFormatting>
  <conditionalFormatting sqref="I28:I42">
    <cfRule type="expression" dxfId="25" priority="6">
      <formula>J28&lt;&gt;0</formula>
    </cfRule>
  </conditionalFormatting>
  <conditionalFormatting sqref="W28:W42">
    <cfRule type="expression" dxfId="24" priority="5">
      <formula>X28&lt;&gt;0</formula>
    </cfRule>
  </conditionalFormatting>
  <conditionalFormatting sqref="J28">
    <cfRule type="expression" dxfId="23" priority="4">
      <formula>AND(H28&lt;&gt;0,I28="",AF28=0)=TRUE</formula>
    </cfRule>
  </conditionalFormatting>
  <conditionalFormatting sqref="J29:J42">
    <cfRule type="expression" dxfId="22" priority="3">
      <formula>AND(H29&lt;&gt;0,I29="",AF29=0)=TRUE</formula>
    </cfRule>
  </conditionalFormatting>
  <conditionalFormatting sqref="X29:X42">
    <cfRule type="expression" dxfId="21" priority="1">
      <formula>AND(V29&lt;&gt;0,W29="",AI29=0)=TRUE</formula>
    </cfRule>
  </conditionalFormatting>
  <dataValidations count="8">
    <dataValidation type="list" allowBlank="1" showInputMessage="1" showErrorMessage="1" sqref="V26 H26" xr:uid="{8FF33163-9A33-43D7-B46B-41F3818E3730}">
      <formula1>INDIRECT("range"&amp;F26)</formula1>
    </dataValidation>
    <dataValidation type="list" allowBlank="1" showInputMessage="1" showErrorMessage="1" sqref="F28:F42 F26 T28:T42 T26" xr:uid="{F11EA0D7-BEA9-49F1-B14C-6E7E577F0A44}">
      <formula1>"IE1,IE2,IE3,IE4"</formula1>
    </dataValidation>
    <dataValidation type="list" allowBlank="1" showInputMessage="1" showErrorMessage="1" sqref="D26" xr:uid="{C0A0B859-93F2-45C2-BCBA-BA542624370A}">
      <formula1>$AH$3:$AH$16</formula1>
    </dataValidation>
    <dataValidation type="list" errorStyle="warning" allowBlank="1" showInputMessage="1" showErrorMessage="1" errorTitle="プルダウンにない出力のモーターの場合" error="手入力の上、根拠となる資料を別途提出してください。" sqref="H28:H42 V28:V42" xr:uid="{D462B470-C475-45B5-B167-E12DDB66B7C6}">
      <formula1>INDIRECT(F28&amp;"_出力")</formula1>
    </dataValidation>
    <dataValidation type="whole" allowBlank="1" showInputMessage="1" showErrorMessage="1" sqref="K28:K42 K26" xr:uid="{2969B85F-D62D-4BDF-8888-995B80F6D0F4}">
      <formula1>0</formula1>
      <formula2>365</formula2>
    </dataValidation>
    <dataValidation type="list" allowBlank="1" showInputMessage="1" showErrorMessage="1" sqref="G26 G28:G42 U28:U42 U26" xr:uid="{ADBEA6A1-BD33-4A0C-BA5E-43957689FFF6}">
      <formula1>"2極,4極,6極,8極"</formula1>
    </dataValidation>
    <dataValidation type="list" allowBlank="1" showInputMessage="1" showErrorMessage="1" sqref="C26 C28:C42" xr:uid="{BF429D5B-6847-48A7-A36C-DD799C18D232}">
      <formula1>$AG$3:$AG$7</formula1>
    </dataValidation>
    <dataValidation type="whole" allowBlank="1" showInputMessage="1" showErrorMessage="1" sqref="D28:D42" xr:uid="{047C2800-954B-4FA4-9CFD-35C5E2D0A5AE}">
      <formula1>1900</formula1>
      <formula2>2030</formula2>
    </dataValidation>
  </dataValidations>
  <pageMargins left="0.27559055118110237" right="0.19685039370078741" top="0.74803149606299213" bottom="0.55118110236220474" header="0.31496062992125984" footer="0.31496062992125984"/>
  <pageSetup paperSize="9" scale="65" orientation="landscape" r:id="rId1"/>
  <headerFooter>
    <oddHeader>&amp;L様式第1号（別紙）</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3C8E522-E354-441A-ACFD-E4CFD96C9707}">
          <x14:formula1>
            <xm:f>モーター効率!$C$1:$F$1</xm:f>
          </x14:formula1>
          <xm:sqref>G26 G28:G42 U28:U42 U26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80</vt:i4>
      </vt:variant>
    </vt:vector>
  </HeadingPairs>
  <TitlesOfParts>
    <vt:vector size="95" baseType="lpstr">
      <vt:lpstr>CO２削減量算定シート</vt:lpstr>
      <vt:lpstr>記入方法</vt:lpstr>
      <vt:lpstr>空調EHP</vt:lpstr>
      <vt:lpstr>空調GHP</vt:lpstr>
      <vt:lpstr>コンプレッサー </vt:lpstr>
      <vt:lpstr>ボイラ</vt:lpstr>
      <vt:lpstr>変圧器</vt:lpstr>
      <vt:lpstr>冷熱源機器</vt:lpstr>
      <vt:lpstr>モーター設備</vt:lpstr>
      <vt:lpstr>太陽光・蓄電</vt:lpstr>
      <vt:lpstr>その他設備</vt:lpstr>
      <vt:lpstr>CO₂係数 </vt:lpstr>
      <vt:lpstr>モーター効率</vt:lpstr>
      <vt:lpstr>空調kcal換算</vt:lpstr>
      <vt:lpstr>補足資料</vt:lpstr>
      <vt:lpstr>cmp_mode</vt:lpstr>
      <vt:lpstr>その他設備!COP補正</vt:lpstr>
      <vt:lpstr>ボイラ!COP補正</vt:lpstr>
      <vt:lpstr>空調GHP!COP補正</vt:lpstr>
      <vt:lpstr>太陽光・蓄電!COP補正</vt:lpstr>
      <vt:lpstr>冷熱源機器!COP補正</vt:lpstr>
      <vt:lpstr>COP補正</vt:lpstr>
      <vt:lpstr>IE1_</vt:lpstr>
      <vt:lpstr>IE1_出力</vt:lpstr>
      <vt:lpstr>IE2_</vt:lpstr>
      <vt:lpstr>IE2_出力</vt:lpstr>
      <vt:lpstr>IE3_</vt:lpstr>
      <vt:lpstr>IE3_出力</vt:lpstr>
      <vt:lpstr>IE4_</vt:lpstr>
      <vt:lpstr>IE4_出力</vt:lpstr>
      <vt:lpstr>CO２削減量算定シート!Print_Area</vt:lpstr>
      <vt:lpstr>'コンプレッサー '!Print_Area</vt:lpstr>
      <vt:lpstr>その他設備!Print_Area</vt:lpstr>
      <vt:lpstr>ボイラ!Print_Area</vt:lpstr>
      <vt:lpstr>モーター設備!Print_Area</vt:lpstr>
      <vt:lpstr>記入方法!Print_Area</vt:lpstr>
      <vt:lpstr>空調EHP!Print_Area</vt:lpstr>
      <vt:lpstr>空調GHP!Print_Area</vt:lpstr>
      <vt:lpstr>太陽光・蓄電!Print_Area</vt:lpstr>
      <vt:lpstr>変圧器!Print_Area</vt:lpstr>
      <vt:lpstr>冷熱源機器!Print_Area</vt:lpstr>
      <vt:lpstr>rangeIE1</vt:lpstr>
      <vt:lpstr>rangeIE2</vt:lpstr>
      <vt:lpstr>rangeIE3</vt:lpstr>
      <vt:lpstr>rangeIE4</vt:lpstr>
      <vt:lpstr>その他設備!ガス</vt:lpstr>
      <vt:lpstr>冷熱源機器!ガス</vt:lpstr>
      <vt:lpstr>ガス</vt:lpstr>
      <vt:lpstr>CO２削減量算定シート!サービス業</vt:lpstr>
      <vt:lpstr>CO２削減量算定シート!医療・福祉</vt:lpstr>
      <vt:lpstr>CO２削減量算定シート!運輸業・郵便業</vt:lpstr>
      <vt:lpstr>CO２削減量算定シート!卸売業・小売業</vt:lpstr>
      <vt:lpstr>CO２削減量算定シート!学術研究・専門・技術サービス業</vt:lpstr>
      <vt:lpstr>CO２削減量算定シート!漁業</vt:lpstr>
      <vt:lpstr>CO２削減量算定シート!教育・学習支援業</vt:lpstr>
      <vt:lpstr>CO２削減量算定シート!金融業・保険業</vt:lpstr>
      <vt:lpstr>CO２削減量算定シート!建設業</vt:lpstr>
      <vt:lpstr>CO２削減量算定シート!鉱業・採石業・砂利採取業</vt:lpstr>
      <vt:lpstr>CO２削減量算定シート!宿泊業・飲食サービス業</vt:lpstr>
      <vt:lpstr>CO２削減量算定シート!情報通信業</vt:lpstr>
      <vt:lpstr>CO２削減量算定シート!生活関連サービス業・娯楽業</vt:lpstr>
      <vt:lpstr>CO２削減量算定シート!製造業</vt:lpstr>
      <vt:lpstr>その他設備!石炭等</vt:lpstr>
      <vt:lpstr>冷熱源機器!石炭等</vt:lpstr>
      <vt:lpstr>石炭等</vt:lpstr>
      <vt:lpstr>CO２削減量算定シート!大分類</vt:lpstr>
      <vt:lpstr>その他設備!暖房日数</vt:lpstr>
      <vt:lpstr>ボイラ!暖房日数</vt:lpstr>
      <vt:lpstr>空調GHP!暖房日数</vt:lpstr>
      <vt:lpstr>冷熱源機器!暖房日数</vt:lpstr>
      <vt:lpstr>暖房日数</vt:lpstr>
      <vt:lpstr>その他設備!電気</vt:lpstr>
      <vt:lpstr>冷熱源機器!電気</vt:lpstr>
      <vt:lpstr>電気</vt:lpstr>
      <vt:lpstr>CO２削減量算定シート!電気・ガス・熱供給・水道業</vt:lpstr>
      <vt:lpstr>CO２削減量算定シート!燃料</vt:lpstr>
      <vt:lpstr>CO２削減量算定シート!農業_林業</vt:lpstr>
      <vt:lpstr>CO２削減量算定シート!農業・林業</vt:lpstr>
      <vt:lpstr>CO２削減量算定シート!不動産業・物品賃貸業</vt:lpstr>
      <vt:lpstr>その他設備!負荷率取得</vt:lpstr>
      <vt:lpstr>ボイラ!負荷率取得</vt:lpstr>
      <vt:lpstr>空調GHP!負荷率取得</vt:lpstr>
      <vt:lpstr>太陽光・蓄電!負荷率取得</vt:lpstr>
      <vt:lpstr>冷熱源機器!負荷率取得</vt:lpstr>
      <vt:lpstr>負荷率取得</vt:lpstr>
      <vt:lpstr>CO２削減量算定シート!複合サービス事業</vt:lpstr>
      <vt:lpstr>その他設備!油</vt:lpstr>
      <vt:lpstr>冷熱源機器!油</vt:lpstr>
      <vt:lpstr>油</vt:lpstr>
      <vt:lpstr>その他設備!冷房日数</vt:lpstr>
      <vt:lpstr>ボイラ!冷房日数</vt:lpstr>
      <vt:lpstr>空調GHP!冷房日数</vt:lpstr>
      <vt:lpstr>太陽光・蓄電!冷房日数</vt:lpstr>
      <vt:lpstr>冷熱源機器!冷房日数</vt:lpstr>
      <vt:lpstr>冷房日数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R50703</dc:title>
  <dc:creator>Administrator</dc:creator>
  <cp:lastModifiedBy>埼玉県</cp:lastModifiedBy>
  <cp:lastPrinted>2023-07-03T05:02:40Z</cp:lastPrinted>
  <dcterms:created xsi:type="dcterms:W3CDTF">2023-05-30T02:27:38Z</dcterms:created>
  <dcterms:modified xsi:type="dcterms:W3CDTF">2023-07-03T05:03:31Z</dcterms:modified>
</cp:coreProperties>
</file>