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filterPrivacy="1" codeName="ThisWorkbook" defaultThemeVersion="124226"/>
  <xr:revisionPtr revIDLastSave="0" documentId="13_ncr:1_{3C5452AE-F841-4C06-966D-A155D3619B79}" xr6:coauthVersionLast="36" xr6:coauthVersionMax="36" xr10:uidLastSave="{00000000-0000-0000-0000-000000000000}"/>
  <workbookProtection workbookPassword="D73A" lockStructure="1"/>
  <bookViews>
    <workbookView xWindow="-110" yWindow="-110" windowWidth="20730" windowHeight="11760" firstSheet="1" activeTab="1" xr2:uid="{00000000-000D-0000-FFFF-FFFF00000000}"/>
  </bookViews>
  <sheets>
    <sheet name="【入力】暑さ対策計算シート (2)" sheetId="16" state="hidden" r:id="rId1"/>
    <sheet name="変更（廃止）承認申請書 " sheetId="62" r:id="rId2"/>
    <sheet name="① " sheetId="58" r:id="rId3"/>
    <sheet name="②" sheetId="45" r:id="rId4"/>
    <sheet name="③" sheetId="44" r:id="rId5"/>
    <sheet name="入力" sheetId="3" r:id="rId6"/>
    <sheet name="結果" sheetId="6" r:id="rId7"/>
    <sheet name="CO2換算シート " sheetId="59" r:id="rId8"/>
    <sheet name="入力値の簡易計算シート" sheetId="54" r:id="rId9"/>
    <sheet name="ヘルプ" sheetId="57" r:id="rId10"/>
    <sheet name="区域" sheetId="17" state="hidden" r:id="rId11"/>
    <sheet name="暑さ対策の提案について" sheetId="12" state="hidden" r:id="rId12"/>
    <sheet name="実効温度差（ETD)諸言" sheetId="7" state="hidden" r:id="rId13"/>
    <sheet name="熱負荷計算シート (2)" sheetId="19" state="hidden" r:id="rId14"/>
    <sheet name="熱貫流率計算" sheetId="11" state="hidden" r:id="rId15"/>
    <sheet name="外壁実効温度差（ETD)一覧表" sheetId="8" state="hidden" r:id="rId16"/>
    <sheet name="標準日射取得量1" sheetId="9" state="hidden" r:id="rId17"/>
    <sheet name="温度条件他根拠" sheetId="14" state="hidden" r:id="rId18"/>
    <sheet name="さいたま市" sheetId="41" state="hidden" r:id="rId19"/>
    <sheet name="さいたま市屋根遮熱" sheetId="28" state="hidden" r:id="rId20"/>
    <sheet name="さいたま市屋根断熱" sheetId="47" state="hidden" r:id="rId21"/>
    <sheet name="さいたま市外壁遮熱" sheetId="31" state="hidden" r:id="rId22"/>
    <sheet name="さいたま市外壁断熱" sheetId="48" state="hidden" r:id="rId23"/>
    <sheet name="さいたま市窓遮熱" sheetId="38" state="hidden" r:id="rId24"/>
    <sheet name="さいたま市窓断熱" sheetId="32" state="hidden" r:id="rId25"/>
    <sheet name="熊谷市" sheetId="4" state="hidden" r:id="rId26"/>
    <sheet name="熊谷市屋根遮熱" sheetId="29" state="hidden" r:id="rId27"/>
    <sheet name="熊谷市屋根断熱" sheetId="50" state="hidden" r:id="rId28"/>
    <sheet name="熊谷市外壁遮熱" sheetId="33" state="hidden" r:id="rId29"/>
    <sheet name="熊谷市外壁断熱" sheetId="51" state="hidden" r:id="rId30"/>
    <sheet name="熊谷市窓遮熱" sheetId="39" state="hidden" r:id="rId31"/>
    <sheet name="熊谷市窓断熱" sheetId="34" state="hidden" r:id="rId32"/>
    <sheet name="秩父市" sheetId="5" state="hidden" r:id="rId33"/>
    <sheet name="秩父市屋根遮熱" sheetId="30" state="hidden" r:id="rId34"/>
    <sheet name="秩父市屋根断熱" sheetId="52" state="hidden" r:id="rId35"/>
    <sheet name="秩父市外壁遮熱" sheetId="35" state="hidden" r:id="rId36"/>
    <sheet name="秩父市外壁断熱" sheetId="53" state="hidden" r:id="rId37"/>
    <sheet name="秩父市窓遮熱" sheetId="40" state="hidden" r:id="rId38"/>
    <sheet name="秩父市窓断熱" sheetId="36" state="hidden" r:id="rId39"/>
    <sheet name="【根拠】日射係数" sheetId="13" state="hidden" r:id="rId40"/>
    <sheet name="（追加）方位別標準時間" sheetId="55" state="hidden" r:id="rId41"/>
    <sheet name="（例示）対策後の熱貫流率計算根拠" sheetId="56" state="hidden" r:id="rId42"/>
  </sheets>
  <externalReferences>
    <externalReference r:id="rId43"/>
    <externalReference r:id="rId44"/>
  </externalReferences>
  <definedNames>
    <definedName name="inv補正COP" localSheetId="3">[1]空調導入前算定!$BB$29:$BM$53</definedName>
    <definedName name="inv補正COP" localSheetId="4">[1]空調導入前算定!$BB$29:$BM$53</definedName>
    <definedName name="inv補正COP" localSheetId="7">#REF!</definedName>
    <definedName name="inv補正COP" localSheetId="1">#REF!</definedName>
    <definedName name="inv補正COP">[1]空調導入前算定!$BB$29:$BM$53</definedName>
    <definedName name="_xlnm.Print_Area" localSheetId="40">'（追加）方位別標準時間'!$A$1:$H$39</definedName>
    <definedName name="_xlnm.Print_Area" localSheetId="41">'（例示）対策後の熱貫流率計算根拠'!$A$1:$N$52</definedName>
    <definedName name="_xlnm.Print_Area" localSheetId="39">【根拠】日射係数!$A$1:$P$36</definedName>
    <definedName name="_xlnm.Print_Area" localSheetId="0">'【入力】暑さ対策計算シート (2)'!$A$1:$K$119</definedName>
    <definedName name="_xlnm.Print_Area" localSheetId="2">'① '!$A$1:$AH$31</definedName>
    <definedName name="_xlnm.Print_Area" localSheetId="3">②!$A$1:$AH$79</definedName>
    <definedName name="_xlnm.Print_Area" localSheetId="4">③!$A$2:$AJ$45</definedName>
    <definedName name="_xlnm.Print_Area" localSheetId="7">'CO2換算シート '!$A$1:$O$49</definedName>
    <definedName name="_xlnm.Print_Area" localSheetId="18">さいたま市!$A$1:$P$41</definedName>
    <definedName name="_xlnm.Print_Area" localSheetId="19">さいたま市屋根遮熱!$A$1:$P$55</definedName>
    <definedName name="_xlnm.Print_Area" localSheetId="20">さいたま市屋根断熱!$A$1:$P$55</definedName>
    <definedName name="_xlnm.Print_Area" localSheetId="21">さいたま市外壁遮熱!$A$1:$P$84</definedName>
    <definedName name="_xlnm.Print_Area" localSheetId="22">さいたま市外壁断熱!$A$1:$P$84</definedName>
    <definedName name="_xlnm.Print_Area" localSheetId="23">さいたま市窓遮熱!$A$1:$P$84</definedName>
    <definedName name="_xlnm.Print_Area" localSheetId="24">さいたま市窓断熱!$A$1:$P$84</definedName>
    <definedName name="_xlnm.Print_Area" localSheetId="9">ヘルプ!$A$1:$N$38</definedName>
    <definedName name="_xlnm.Print_Area" localSheetId="17">温度条件他根拠!$A$1:$J$94</definedName>
    <definedName name="_xlnm.Print_Area" localSheetId="15">'外壁実効温度差（ETD)一覧表'!$A$1:$AA$73</definedName>
    <definedName name="_xlnm.Print_Area" localSheetId="25">熊谷市!$A$1:$P$41</definedName>
    <definedName name="_xlnm.Print_Area" localSheetId="26">熊谷市屋根遮熱!$A$1:$P$55</definedName>
    <definedName name="_xlnm.Print_Area" localSheetId="27">熊谷市屋根断熱!$A$1:$P$55</definedName>
    <definedName name="_xlnm.Print_Area" localSheetId="28">熊谷市外壁遮熱!$A$1:$P$84</definedName>
    <definedName name="_xlnm.Print_Area" localSheetId="29">熊谷市外壁断熱!$A$1:$P$84</definedName>
    <definedName name="_xlnm.Print_Area" localSheetId="30">熊谷市窓遮熱!$A$1:$P$84</definedName>
    <definedName name="_xlnm.Print_Area" localSheetId="31">熊谷市窓断熱!$A$1:$P$84</definedName>
    <definedName name="_xlnm.Print_Area" localSheetId="6">結果!$A$1:$Q$117</definedName>
    <definedName name="_xlnm.Print_Area" localSheetId="12">'実効温度差（ETD)諸言'!$A$1:$K$58</definedName>
    <definedName name="_xlnm.Print_Area" localSheetId="11">暑さ対策の提案について!$A$1:$K$154</definedName>
    <definedName name="_xlnm.Print_Area" localSheetId="32">秩父市!$A$1:$P$41</definedName>
    <definedName name="_xlnm.Print_Area" localSheetId="33">秩父市屋根遮熱!$A$1:$P$55</definedName>
    <definedName name="_xlnm.Print_Area" localSheetId="34">秩父市屋根断熱!$A$1:$P$55</definedName>
    <definedName name="_xlnm.Print_Area" localSheetId="35">秩父市外壁遮熱!$A$1:$P$84</definedName>
    <definedName name="_xlnm.Print_Area" localSheetId="36">秩父市外壁断熱!$A$1:$P$84</definedName>
    <definedName name="_xlnm.Print_Area" localSheetId="37">秩父市窓遮熱!$A$1:$P$84</definedName>
    <definedName name="_xlnm.Print_Area" localSheetId="38">秩父市窓断熱!$A$1:$P$84</definedName>
    <definedName name="_xlnm.Print_Area" localSheetId="5">入力!$A$1:$L$149</definedName>
    <definedName name="_xlnm.Print_Area" localSheetId="8">入力値の簡易計算シート!$A$1:$M$56</definedName>
    <definedName name="_xlnm.Print_Area" localSheetId="14">熱貫流率計算!$A$1:$J$84</definedName>
    <definedName name="_xlnm.Print_Area" localSheetId="13">'熱負荷計算シート (2)'!$A$1:$O$87</definedName>
    <definedName name="_xlnm.Print_Area" localSheetId="16">標準日射取得量1!$A$1:$U$20</definedName>
    <definedName name="_xlnm.Print_Area" localSheetId="1">'変更（廃止）承認申請書 '!$A$1:$AH$38</definedName>
    <definedName name="Z_26C24DC6_626C_4A55_BA7B_D773309B51E5_.wvu.PrintArea" localSheetId="7" hidden="1">'CO2換算シート '!$A$1:$O$65</definedName>
    <definedName name="Z_26C24DC6_626C_4A55_BA7B_D773309B51E5_.wvu.Rows" localSheetId="7" hidden="1">'CO2換算シート '!$9:$9,'CO2換算シート '!$11:$11,'CO2換算シート '!$15:$16,'CO2換算シート '!$19:$19,'CO2換算シート '!$21:$25,'CO2換算シート '!$27:$30,'CO2換算シート '!$32:$34,'CO2換算シート '!$36:$36</definedName>
    <definedName name="サービス業" localSheetId="2">'① '!$R$37:$R$41</definedName>
    <definedName name="サービス業" localSheetId="1">'変更（廃止）承認申請書 '!$R$73:$R$77</definedName>
    <definedName name="サービス業">#REF!</definedName>
    <definedName name="医療・福祉" localSheetId="2">'① '!$P$37:$P$39</definedName>
    <definedName name="医療・福祉" localSheetId="1">'変更（廃止）承認申請書 '!$P$73:$P$75</definedName>
    <definedName name="医療・福祉">#REF!</definedName>
    <definedName name="運輸業・郵便業" localSheetId="2">'① '!$H$37:$H$44</definedName>
    <definedName name="運輸業・郵便業" localSheetId="1">'変更（廃止）承認申請書 '!$H$73:$H$80</definedName>
    <definedName name="運輸業・郵便業">#REF!</definedName>
    <definedName name="卸売業・小売業" localSheetId="2">'① '!$I$37:$I$48</definedName>
    <definedName name="卸売業・小売業" localSheetId="1">'変更（廃止）承認申請書 '!$I$73:$I$84</definedName>
    <definedName name="卸売業・小売業">#REF!</definedName>
    <definedName name="学術研究・専門・技術サービス業" localSheetId="2">'① '!$L$37:$L$40</definedName>
    <definedName name="学術研究・専門・技術サービス業" localSheetId="1">'変更（廃止）承認申請書 '!$L$73:$L$76</definedName>
    <definedName name="学術研究・専門・技術サービス業">#REF!</definedName>
    <definedName name="漁業" localSheetId="2">'① '!$B$37:$B$38</definedName>
    <definedName name="漁業" localSheetId="1">'変更（廃止）承認申請書 '!$B$73:$B$74</definedName>
    <definedName name="漁業">#REF!</definedName>
    <definedName name="教育・学習支援業" localSheetId="2">'① '!$O$37:$O$38</definedName>
    <definedName name="教育・学習支援業" localSheetId="1">'変更（廃止）承認申請書 '!$O$73:$O$74</definedName>
    <definedName name="教育・学習支援業">#REF!</definedName>
    <definedName name="金融業・保険業" localSheetId="2">'① '!$J$37:$J$42</definedName>
    <definedName name="金融業・保険業" localSheetId="1">'変更（廃止）承認申請書 '!$J$73:$J$78</definedName>
    <definedName name="金融業・保険業">#REF!</definedName>
    <definedName name="建設業" localSheetId="2">'① '!$D$37:$D$39</definedName>
    <definedName name="建設業" localSheetId="1">'変更（廃止）承認申請書 '!$D$73:$D$75</definedName>
    <definedName name="建設業">#REF!</definedName>
    <definedName name="鉱業・採石業・砂利採取業" localSheetId="2">'① '!$C$37</definedName>
    <definedName name="鉱業・採石業・砂利採取業" localSheetId="1">'変更（廃止）承認申請書 '!$C$73</definedName>
    <definedName name="鉱業・採石業・砂利採取業">#REF!</definedName>
    <definedName name="宿泊業・飲食サービス業" localSheetId="2">'① '!$M$37:$M$39</definedName>
    <definedName name="宿泊業・飲食サービス業" localSheetId="1">'変更（廃止）承認申請書 '!$M$73:$M$75</definedName>
    <definedName name="宿泊業・飲食サービス業">#REF!</definedName>
    <definedName name="情報通信業" localSheetId="2">'① '!$G$37:$G$41</definedName>
    <definedName name="情報通信業" localSheetId="1">'変更（廃止）承認申請書 '!$G$73:$G$77</definedName>
    <definedName name="情報通信業">#REF!</definedName>
    <definedName name="生活関連サービス業・娯楽業" localSheetId="2">'① '!$N$37:$N$39</definedName>
    <definedName name="生活関連サービス業・娯楽業" localSheetId="1">'変更（廃止）承認申請書 '!$N$73:$N$74</definedName>
    <definedName name="生活関連サービス業・娯楽業">#REF!</definedName>
    <definedName name="製造業" localSheetId="2">'① '!$E$37:$E$60</definedName>
    <definedName name="製造業" localSheetId="1">'変更（廃止）承認申請書 '!$E$73:$E$96</definedName>
    <definedName name="製造業">#REF!</definedName>
    <definedName name="大分類" localSheetId="2">'① '!$A$36:$R$36</definedName>
    <definedName name="大分類" localSheetId="3">[1]事業実施者・事業内容!$A$97:$R$97</definedName>
    <definedName name="大分類" localSheetId="4">[1]事業実施者・事業内容!$A$97:$R$97</definedName>
    <definedName name="大分類" localSheetId="7">[2]事業実施者・事業内容!$A$75:$R$75</definedName>
    <definedName name="大分類" localSheetId="1">'変更（廃止）承認申請書 '!$A$72:$R$72</definedName>
    <definedName name="大分類">#REF!</definedName>
    <definedName name="電気・ガス・熱供給・水道業" localSheetId="2">'① '!$F$37:$F$40</definedName>
    <definedName name="電気・ガス・熱供給・水道業" localSheetId="1">'変更（廃止）承認申請書 '!$F$73:$F$76</definedName>
    <definedName name="電気・ガス・熱供給・水道業">#REF!</definedName>
    <definedName name="燃料" localSheetId="1">'変更（廃止）承認申請書 '!$AA$83:$AA$88</definedName>
    <definedName name="農業_林業" localSheetId="1">'変更（廃止）承認申請書 '!$A$73:$A$74</definedName>
    <definedName name="農業・林業" localSheetId="2">'① '!$A$37:$A$38</definedName>
    <definedName name="農業・林業" localSheetId="1">'変更（廃止）承認申請書 '!$A$73:$A$74</definedName>
    <definedName name="農業・林業">#REF!</definedName>
    <definedName name="不動産業・物品賃貸業" localSheetId="2">'① '!$K$37:$K$39</definedName>
    <definedName name="不動産業・物品賃貸業" localSheetId="1">'変更（廃止）承認申請書 '!$K$73:$K$75</definedName>
    <definedName name="不動産業・物品賃貸業">#REF!</definedName>
    <definedName name="複合サービス事業" localSheetId="2">'① '!$Q$37:$Q$38</definedName>
    <definedName name="複合サービス事業" localSheetId="1">'変更（廃止）承認申請書 '!$Q$73:$Q$74</definedName>
    <definedName name="複合サービス事業">#REF!</definedName>
  </definedNames>
  <calcPr calcId="191029"/>
</workbook>
</file>

<file path=xl/calcChain.xml><?xml version="1.0" encoding="utf-8"?>
<calcChain xmlns="http://schemas.openxmlformats.org/spreadsheetml/2006/main">
  <c r="C9" i="3" l="1"/>
  <c r="L16" i="58"/>
  <c r="L62" i="59"/>
  <c r="I62" i="59"/>
  <c r="O36" i="59"/>
  <c r="O35" i="59"/>
  <c r="M35" i="59"/>
  <c r="L35" i="59"/>
  <c r="J35" i="59"/>
  <c r="O34" i="59"/>
  <c r="M34" i="59"/>
  <c r="L34" i="59"/>
  <c r="J34" i="59"/>
  <c r="J36" i="59" s="1"/>
  <c r="M36" i="59" s="1"/>
  <c r="O33" i="59"/>
  <c r="M33" i="59"/>
  <c r="L33" i="59"/>
  <c r="J33" i="59"/>
  <c r="O31" i="59"/>
  <c r="O37" i="59" s="1"/>
  <c r="M30" i="59"/>
  <c r="L30" i="59"/>
  <c r="J30" i="59"/>
  <c r="O29" i="59"/>
  <c r="M29" i="59"/>
  <c r="L29" i="59"/>
  <c r="J29" i="59"/>
  <c r="O28" i="59"/>
  <c r="M28" i="59"/>
  <c r="L28" i="59"/>
  <c r="J28" i="59"/>
  <c r="O27" i="59"/>
  <c r="M27" i="59"/>
  <c r="L27" i="59"/>
  <c r="J27" i="59"/>
  <c r="O26" i="59"/>
  <c r="M26" i="59"/>
  <c r="L26" i="59"/>
  <c r="J26" i="59"/>
  <c r="O25" i="59"/>
  <c r="M25" i="59"/>
  <c r="L25" i="59"/>
  <c r="J25" i="59"/>
  <c r="O24" i="59"/>
  <c r="M24" i="59"/>
  <c r="L24" i="59"/>
  <c r="J24" i="59"/>
  <c r="O23" i="59"/>
  <c r="M23" i="59"/>
  <c r="L23" i="59"/>
  <c r="J23" i="59"/>
  <c r="O22" i="59"/>
  <c r="M22" i="59"/>
  <c r="L22" i="59"/>
  <c r="J22" i="59"/>
  <c r="O21" i="59"/>
  <c r="M21" i="59"/>
  <c r="L21" i="59"/>
  <c r="J21" i="59"/>
  <c r="O20" i="59"/>
  <c r="M20" i="59"/>
  <c r="L20" i="59"/>
  <c r="J20" i="59"/>
  <c r="O19" i="59"/>
  <c r="M19" i="59"/>
  <c r="L19" i="59"/>
  <c r="J19" i="59"/>
  <c r="O18" i="59"/>
  <c r="M18" i="59"/>
  <c r="L18" i="59"/>
  <c r="J18" i="59"/>
  <c r="O17" i="59"/>
  <c r="M17" i="59"/>
  <c r="L17" i="59"/>
  <c r="J17" i="59"/>
  <c r="O16" i="59"/>
  <c r="M16" i="59"/>
  <c r="L16" i="59"/>
  <c r="J16" i="59"/>
  <c r="O15" i="59"/>
  <c r="M15" i="59"/>
  <c r="L15" i="59"/>
  <c r="J15" i="59"/>
  <c r="O14" i="59"/>
  <c r="M14" i="59"/>
  <c r="L14" i="59"/>
  <c r="J14" i="59"/>
  <c r="O13" i="59"/>
  <c r="M13" i="59"/>
  <c r="L13" i="59"/>
  <c r="J13" i="59"/>
  <c r="O12" i="59"/>
  <c r="M12" i="59"/>
  <c r="L12" i="59"/>
  <c r="J12" i="59"/>
  <c r="O11" i="59"/>
  <c r="M11" i="59"/>
  <c r="L11" i="59"/>
  <c r="J11" i="59"/>
  <c r="O10" i="59"/>
  <c r="M10" i="59"/>
  <c r="L10" i="59"/>
  <c r="J10" i="59"/>
  <c r="O9" i="59"/>
  <c r="M9" i="59"/>
  <c r="L9" i="59"/>
  <c r="J9" i="59"/>
  <c r="J31" i="59" s="1"/>
  <c r="H78" i="58"/>
  <c r="G78" i="58"/>
  <c r="F78" i="58"/>
  <c r="E78" i="58"/>
  <c r="D78" i="58"/>
  <c r="C78" i="58"/>
  <c r="I72" i="58"/>
  <c r="H72" i="58"/>
  <c r="G72" i="58"/>
  <c r="E72" i="58"/>
  <c r="D72" i="58"/>
  <c r="C72" i="58"/>
  <c r="AD15" i="58"/>
  <c r="J37" i="59" l="1"/>
  <c r="M31" i="59"/>
  <c r="M37" i="59" s="1"/>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26" i="38" s="1"/>
  <c r="N26" i="38" s="1"/>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G27" i="39" l="1"/>
  <c r="N27" i="39" s="1"/>
  <c r="E49" i="38"/>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K24" i="51"/>
  <c r="K25" i="39"/>
  <c r="O25" i="39" s="1"/>
  <c r="K25" i="35"/>
  <c r="O25" i="35" s="1"/>
  <c r="K30" i="40"/>
  <c r="O30" i="40" s="1"/>
  <c r="D12" i="52"/>
  <c r="G12" i="52" s="1"/>
  <c r="K30" i="39"/>
  <c r="O30" i="39" s="1"/>
  <c r="K26" i="39"/>
  <c r="O26" i="39" s="1"/>
  <c r="K26" i="35"/>
  <c r="O26" i="35" s="1"/>
  <c r="K31" i="35"/>
  <c r="O31" i="35" s="1"/>
  <c r="K26" i="40"/>
  <c r="O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P29" i="40" l="1"/>
  <c r="P26" i="40"/>
  <c r="K25" i="36"/>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5" i="36"/>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48" i="45"/>
  <c r="AJ47" i="45"/>
  <c r="AJ46" i="45"/>
  <c r="O28" i="53" l="1"/>
  <c r="K30" i="53"/>
  <c r="K12" i="53" s="1"/>
  <c r="O12" i="53" s="1"/>
  <c r="K27" i="36"/>
  <c r="K8" i="36"/>
  <c r="O8" i="36" s="1"/>
  <c r="O26" i="36"/>
  <c r="O27" i="53"/>
  <c r="K9" i="53"/>
  <c r="O9" i="53" s="1"/>
  <c r="O30" i="53"/>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K28" i="36" l="1"/>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21" i="45"/>
  <c r="Q21" i="45"/>
  <c r="H21" i="45"/>
  <c r="L16" i="45"/>
  <c r="Y31" i="44"/>
  <c r="T31" i="44"/>
  <c r="AD30" i="44"/>
  <c r="AD29" i="44"/>
  <c r="AD28" i="44"/>
  <c r="AD20" i="44"/>
  <c r="Y19" i="44"/>
  <c r="T18" i="44"/>
  <c r="AD18" i="44" s="1"/>
  <c r="T17" i="44"/>
  <c r="AD17" i="44" s="1"/>
  <c r="T16" i="44"/>
  <c r="AD16" i="44" s="1"/>
  <c r="T9" i="44"/>
  <c r="AD9" i="44" s="1"/>
  <c r="T8" i="44"/>
  <c r="AD8" i="44" s="1"/>
  <c r="T7" i="44"/>
  <c r="AD7" i="44" s="1"/>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AD31" i="44"/>
  <c r="T19" i="44"/>
  <c r="AD19" i="44" s="1"/>
  <c r="K11" i="36" l="1"/>
  <c r="O11" i="36" s="1"/>
  <c r="O29" i="36"/>
  <c r="K30" i="36"/>
  <c r="K30" i="32"/>
  <c r="K11" i="32"/>
  <c r="O11" i="32" s="1"/>
  <c r="O29" i="32"/>
  <c r="K11" i="34"/>
  <c r="O29" i="34"/>
  <c r="K30" i="34"/>
  <c r="O13" i="51"/>
  <c r="O10" i="34"/>
  <c r="E60" i="53"/>
  <c r="T57" i="53"/>
  <c r="T28" i="52"/>
  <c r="E31" i="52"/>
  <c r="E56" i="51"/>
  <c r="T57" i="51"/>
  <c r="T28" i="50"/>
  <c r="E31" i="50"/>
  <c r="AD32" i="44"/>
  <c r="B43" i="44"/>
  <c r="L43" i="44" s="1"/>
  <c r="W43" i="44" s="1"/>
  <c r="K12" i="36" l="1"/>
  <c r="O12" i="36" s="1"/>
  <c r="K31" i="36"/>
  <c r="O30" i="36"/>
  <c r="O11" i="34"/>
  <c r="K12" i="34"/>
  <c r="O30" i="34"/>
  <c r="K31" i="34"/>
  <c r="K31" i="32"/>
  <c r="K12" i="32"/>
  <c r="O12" i="32" s="1"/>
  <c r="O30" i="32"/>
  <c r="T58" i="53"/>
  <c r="E61" i="53"/>
  <c r="E32" i="52"/>
  <c r="T29" i="52"/>
  <c r="E57" i="51"/>
  <c r="T58" i="51"/>
  <c r="T29" i="50"/>
  <c r="E32" i="50"/>
  <c r="AD33" i="44"/>
  <c r="AD34" i="44"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Y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Y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Z117" i="6" l="1"/>
  <c r="X118" i="6"/>
  <c r="Z119" i="6"/>
  <c r="Z118" i="6"/>
  <c r="Z116" i="6"/>
  <c r="X119" i="6"/>
  <c r="X117" i="6"/>
  <c r="X116" i="6"/>
  <c r="J49" i="53"/>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61" i="33"/>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1" l="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W24" i="52"/>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28" i="34" s="1"/>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F30" i="36"/>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X57" i="36"/>
  <c r="AB57" i="36" s="1"/>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D27" i="32" l="1"/>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F32"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X53" i="51" l="1"/>
  <c r="F23" i="36"/>
  <c r="F32" i="34"/>
  <c r="D23" i="34"/>
  <c r="G32" i="51"/>
  <c r="G33" i="51" s="1"/>
  <c r="X53" i="33"/>
  <c r="X58" i="33"/>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AB58" i="33"/>
  <c r="AB53" i="33"/>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J13" i="36" l="1"/>
  <c r="J12" i="36"/>
  <c r="J11" i="36"/>
  <c r="J10" i="36"/>
  <c r="L10" i="36" s="1"/>
  <c r="J9" i="36"/>
  <c r="J8" i="36"/>
  <c r="L8" i="36" s="1"/>
  <c r="J7" i="36"/>
  <c r="L7" i="36" s="1"/>
  <c r="J6" i="36"/>
  <c r="D33" i="34"/>
  <c r="J28" i="34" s="1"/>
  <c r="L28" i="34" s="1"/>
  <c r="J23" i="36"/>
  <c r="L11" i="36"/>
  <c r="L12" i="36"/>
  <c r="L9" i="36"/>
  <c r="L13" i="36"/>
  <c r="D33" i="32"/>
  <c r="M32" i="52"/>
  <c r="AC31" i="50"/>
  <c r="AD31" i="50" s="1"/>
  <c r="N31" i="52"/>
  <c r="O31" i="52" s="1"/>
  <c r="N32" i="53"/>
  <c r="D33" i="53"/>
  <c r="J13" i="53" s="1"/>
  <c r="N31" i="50"/>
  <c r="O31" i="50" s="1"/>
  <c r="D33" i="39"/>
  <c r="J13" i="39" s="1"/>
  <c r="D33" i="38"/>
  <c r="J13" i="38" s="1"/>
  <c r="D33" i="40"/>
  <c r="J13" i="40" s="1"/>
  <c r="H32" i="52"/>
  <c r="M32" i="50"/>
  <c r="J28" i="36"/>
  <c r="L28" i="36" s="1"/>
  <c r="J30" i="34"/>
  <c r="L30" i="34"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61" i="48"/>
  <c r="AB61" i="48"/>
  <c r="AA20" i="50"/>
  <c r="W32" i="50"/>
  <c r="I53" i="33"/>
  <c r="M53" i="33" s="1"/>
  <c r="I58" i="33"/>
  <c r="M58" i="33" s="1"/>
  <c r="AB49" i="51"/>
  <c r="AB61" i="51" s="1"/>
  <c r="X61" i="51"/>
  <c r="D33" i="51"/>
  <c r="J13" i="51" s="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J13" i="31" s="1"/>
  <c r="N32" i="48"/>
  <c r="P24" i="48"/>
  <c r="P32" i="48" s="1"/>
  <c r="D49" i="48" s="1"/>
  <c r="D33" i="48"/>
  <c r="J13" i="48" s="1"/>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7" i="31" l="1"/>
  <c r="J7" i="40"/>
  <c r="J7" i="39"/>
  <c r="J7" i="33"/>
  <c r="J7" i="51"/>
  <c r="J7" i="38"/>
  <c r="J7" i="35"/>
  <c r="L7" i="35" s="1"/>
  <c r="J7" i="53"/>
  <c r="L7" i="53" s="1"/>
  <c r="J7" i="34"/>
  <c r="J7" i="48"/>
  <c r="J8" i="31"/>
  <c r="J6" i="40"/>
  <c r="J8" i="39"/>
  <c r="J8" i="33"/>
  <c r="J8" i="51"/>
  <c r="L8" i="51" s="1"/>
  <c r="J8" i="38"/>
  <c r="L8" i="38" s="1"/>
  <c r="J8" i="35"/>
  <c r="J8" i="53"/>
  <c r="J8" i="34"/>
  <c r="J8" i="48"/>
  <c r="J9" i="31"/>
  <c r="J8" i="40"/>
  <c r="J9" i="39"/>
  <c r="L9" i="39" s="1"/>
  <c r="J9" i="33"/>
  <c r="L9" i="33" s="1"/>
  <c r="J9" i="51"/>
  <c r="J9" i="38"/>
  <c r="J9" i="35"/>
  <c r="J6" i="53"/>
  <c r="J9" i="34"/>
  <c r="J9" i="48"/>
  <c r="J10" i="31"/>
  <c r="J9" i="40"/>
  <c r="L9" i="40" s="1"/>
  <c r="J10" i="39"/>
  <c r="J10" i="33"/>
  <c r="J10" i="51"/>
  <c r="J10" i="38"/>
  <c r="J6" i="35"/>
  <c r="J9" i="53"/>
  <c r="J10" i="34"/>
  <c r="L10" i="34" s="1"/>
  <c r="J6" i="48"/>
  <c r="J11" i="31"/>
  <c r="J10" i="40"/>
  <c r="J6" i="39"/>
  <c r="J11" i="33"/>
  <c r="J11" i="51"/>
  <c r="J6" i="38"/>
  <c r="J10" i="35"/>
  <c r="L10" i="35" s="1"/>
  <c r="J10" i="53"/>
  <c r="J11" i="34"/>
  <c r="J10" i="48"/>
  <c r="J6" i="31"/>
  <c r="J11" i="40"/>
  <c r="J11" i="39"/>
  <c r="J12" i="33"/>
  <c r="J6" i="51"/>
  <c r="J11" i="38"/>
  <c r="L11" i="38" s="1"/>
  <c r="J11" i="35"/>
  <c r="J11" i="53"/>
  <c r="J12" i="34"/>
  <c r="J11" i="48"/>
  <c r="J31" i="32"/>
  <c r="L31" i="32" s="1"/>
  <c r="J6" i="32"/>
  <c r="L6" i="32" s="1"/>
  <c r="J13" i="32"/>
  <c r="L13" i="32" s="1"/>
  <c r="J12" i="32"/>
  <c r="L12" i="32" s="1"/>
  <c r="J11" i="32"/>
  <c r="J10" i="32"/>
  <c r="J9" i="32"/>
  <c r="J7" i="32"/>
  <c r="J8" i="32"/>
  <c r="J12" i="31"/>
  <c r="J12" i="40"/>
  <c r="L12" i="40" s="1"/>
  <c r="J12" i="39"/>
  <c r="J6" i="33"/>
  <c r="J12" i="51"/>
  <c r="J12" i="38"/>
  <c r="J12" i="35"/>
  <c r="J12" i="53"/>
  <c r="J6" i="34"/>
  <c r="J12" i="48"/>
  <c r="J13" i="33"/>
  <c r="L13" i="33" s="1"/>
  <c r="J13" i="35"/>
  <c r="J13" i="34"/>
  <c r="J31" i="34"/>
  <c r="L31" i="34" s="1"/>
  <c r="J23" i="34"/>
  <c r="L12" i="34"/>
  <c r="J29" i="34"/>
  <c r="L29" i="34" s="1"/>
  <c r="J24" i="34"/>
  <c r="L24" i="34" s="1"/>
  <c r="L9" i="34"/>
  <c r="L11" i="34"/>
  <c r="J25" i="34"/>
  <c r="L25" i="34" s="1"/>
  <c r="J27" i="34"/>
  <c r="L27" i="34" s="1"/>
  <c r="J26" i="34"/>
  <c r="L26" i="34" s="1"/>
  <c r="L6" i="34"/>
  <c r="L13" i="34"/>
  <c r="L8" i="34"/>
  <c r="L7" i="34"/>
  <c r="J28" i="32"/>
  <c r="L28" i="32" s="1"/>
  <c r="L10" i="32"/>
  <c r="J27" i="32"/>
  <c r="L27" i="32" s="1"/>
  <c r="J26" i="32"/>
  <c r="L26" i="32" s="1"/>
  <c r="J23" i="32"/>
  <c r="L8" i="32"/>
  <c r="J30" i="32"/>
  <c r="L30" i="32" s="1"/>
  <c r="J29" i="32"/>
  <c r="L29" i="32" s="1"/>
  <c r="J25" i="32"/>
  <c r="L25" i="32" s="1"/>
  <c r="J24" i="32"/>
  <c r="L24" i="32" s="1"/>
  <c r="L7" i="32"/>
  <c r="L11" i="32"/>
  <c r="J14" i="36"/>
  <c r="L6" i="36"/>
  <c r="L14" i="36" s="1"/>
  <c r="R56" i="36" s="1"/>
  <c r="W51" i="36" s="1"/>
  <c r="AA51" i="36" s="1"/>
  <c r="AC51" i="36" s="1"/>
  <c r="AD51" i="36" s="1"/>
  <c r="J31" i="40"/>
  <c r="L31" i="40" s="1"/>
  <c r="L7" i="40"/>
  <c r="L13" i="40"/>
  <c r="L10" i="40"/>
  <c r="L11" i="40"/>
  <c r="L8" i="40"/>
  <c r="J23" i="40"/>
  <c r="L9" i="32"/>
  <c r="J29" i="53"/>
  <c r="L29" i="53" s="1"/>
  <c r="L12" i="53"/>
  <c r="L8" i="53"/>
  <c r="L10" i="53"/>
  <c r="L11" i="53"/>
  <c r="L13" i="53"/>
  <c r="L9" i="53"/>
  <c r="J23" i="53"/>
  <c r="J27" i="48"/>
  <c r="L27" i="48" s="1"/>
  <c r="L12" i="48"/>
  <c r="L8" i="48"/>
  <c r="L11" i="48"/>
  <c r="L7" i="48"/>
  <c r="L9" i="48"/>
  <c r="L10" i="48"/>
  <c r="L13" i="48"/>
  <c r="J27" i="51"/>
  <c r="L27" i="51" s="1"/>
  <c r="L11" i="51"/>
  <c r="L7" i="51"/>
  <c r="L10" i="51"/>
  <c r="L13" i="51"/>
  <c r="L9" i="51"/>
  <c r="L12" i="51"/>
  <c r="J28" i="31"/>
  <c r="L28" i="31" s="1"/>
  <c r="L10" i="31"/>
  <c r="L12" i="31"/>
  <c r="L7" i="31"/>
  <c r="L9" i="31"/>
  <c r="L11" i="31"/>
  <c r="L13" i="31"/>
  <c r="L8" i="31"/>
  <c r="J23" i="48"/>
  <c r="J31" i="35"/>
  <c r="L31" i="35" s="1"/>
  <c r="L13" i="35"/>
  <c r="L12" i="35"/>
  <c r="L11" i="35"/>
  <c r="L9" i="35"/>
  <c r="L8" i="35"/>
  <c r="J23" i="31"/>
  <c r="J31" i="33"/>
  <c r="L31" i="33" s="1"/>
  <c r="L11" i="33"/>
  <c r="L8" i="33"/>
  <c r="L10" i="33"/>
  <c r="L7" i="33"/>
  <c r="L12" i="33"/>
  <c r="J23" i="51"/>
  <c r="E34" i="52"/>
  <c r="F176" i="3" s="1"/>
  <c r="J27" i="38"/>
  <c r="L27" i="38" s="1"/>
  <c r="L10" i="38"/>
  <c r="L9" i="38"/>
  <c r="L7" i="38"/>
  <c r="L13" i="38"/>
  <c r="L12" i="38"/>
  <c r="J28" i="39"/>
  <c r="L28" i="39" s="1"/>
  <c r="L11" i="39"/>
  <c r="L10" i="39"/>
  <c r="L13" i="39"/>
  <c r="L7" i="39"/>
  <c r="L12" i="39"/>
  <c r="L8"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56" i="34"/>
  <c r="L56" i="34" s="1"/>
  <c r="N56" i="34" s="1"/>
  <c r="O56" i="34"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AC20" i="30"/>
  <c r="AA32" i="30"/>
  <c r="T34" i="30" s="1"/>
  <c r="F171" i="3" s="1"/>
  <c r="L8" i="4"/>
  <c r="N8" i="4" s="1"/>
  <c r="O8" i="4" s="1"/>
  <c r="H17" i="5"/>
  <c r="I18" i="5"/>
  <c r="E18" i="5"/>
  <c r="H50" i="32" l="1"/>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D178"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W116" i="6"/>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T64" i="36"/>
  <c r="F219" i="3" s="1"/>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T35" i="29"/>
  <c r="E169" i="3" s="1"/>
  <c r="O7" i="4"/>
  <c r="O18" i="4" s="1"/>
  <c r="N18" i="4"/>
  <c r="L18" i="4"/>
  <c r="E20" i="4" s="1"/>
  <c r="E113" i="16" s="1"/>
  <c r="L17" i="5"/>
  <c r="N17" i="5" s="1"/>
  <c r="H18" i="5"/>
  <c r="H61" i="34" l="1"/>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W118" i="6"/>
  <c r="E57" i="45" s="1"/>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AA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AA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T64" i="48"/>
  <c r="D199" i="3" s="1"/>
  <c r="AD49" i="48"/>
  <c r="AD61" i="48" s="1"/>
  <c r="AC61" i="48"/>
  <c r="AD49" i="31"/>
  <c r="AD61" i="31" s="1"/>
  <c r="AC61" i="31"/>
  <c r="E211" i="3"/>
  <c r="T64" i="39"/>
  <c r="E209" i="3" s="1"/>
  <c r="AD49" i="39"/>
  <c r="AD61" i="39" s="1"/>
  <c r="AC61" i="39"/>
  <c r="D211" i="3"/>
  <c r="T64" i="38"/>
  <c r="D209" i="3" s="1"/>
  <c r="AB118" i="6" s="1"/>
  <c r="E59" i="45" s="1"/>
  <c r="AC61" i="38"/>
  <c r="AD49" i="38"/>
  <c r="AD61" i="38" s="1"/>
  <c r="D212" i="3"/>
  <c r="AB117" i="6" s="1"/>
  <c r="W119" i="6"/>
  <c r="E64" i="35"/>
  <c r="N61" i="35"/>
  <c r="O49" i="35"/>
  <c r="O61" i="35" s="1"/>
  <c r="AB63" i="33"/>
  <c r="E64" i="33"/>
  <c r="O49" i="33"/>
  <c r="O61" i="33" s="1"/>
  <c r="N61" i="33"/>
  <c r="E64" i="51"/>
  <c r="E197" i="3" s="1"/>
  <c r="AB63" i="51"/>
  <c r="E202" i="3" s="1"/>
  <c r="O49" i="51"/>
  <c r="O61" i="51" s="1"/>
  <c r="N61" i="51"/>
  <c r="E64" i="48"/>
  <c r="D197" i="3" s="1"/>
  <c r="AB63" i="48"/>
  <c r="D202" i="3" s="1"/>
  <c r="O49" i="48"/>
  <c r="O61" i="48" s="1"/>
  <c r="N61" i="48"/>
  <c r="O49" i="31"/>
  <c r="O61" i="31" s="1"/>
  <c r="N61" i="31"/>
  <c r="E64" i="31"/>
  <c r="AB63" i="31"/>
  <c r="AA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O57" i="45" l="1"/>
  <c r="Y57" i="45" s="1"/>
  <c r="AI46" i="45" s="1"/>
  <c r="AB64" i="40"/>
  <c r="F210" i="3" s="1"/>
  <c r="F208" i="3" s="1"/>
  <c r="AB64" i="53"/>
  <c r="F200" i="3" s="1"/>
  <c r="F198" i="3" s="1"/>
  <c r="AB64" i="39"/>
  <c r="E210" i="3" s="1"/>
  <c r="E208" i="3" s="1"/>
  <c r="T64" i="35"/>
  <c r="AB64" i="35" s="1"/>
  <c r="AB116" i="6"/>
  <c r="AB64" i="38"/>
  <c r="D210" i="3" s="1"/>
  <c r="D208" i="3" s="1"/>
  <c r="AB64" i="51"/>
  <c r="E200" i="3" s="1"/>
  <c r="E198" i="3" s="1"/>
  <c r="AB64" i="48"/>
  <c r="D200" i="3" s="1"/>
  <c r="D198" i="3" s="1"/>
  <c r="AB64" i="33"/>
  <c r="AB64" i="31"/>
  <c r="AA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AB119" i="6" l="1"/>
  <c r="O59" i="45" s="1"/>
  <c r="Y59" i="45" s="1"/>
  <c r="AI48"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D161" i="3" s="1"/>
  <c r="F116" i="6" s="1"/>
  <c r="F192" i="3"/>
  <c r="F190" i="3"/>
  <c r="F191" i="3"/>
  <c r="F161" i="3" s="1"/>
  <c r="D192" i="3"/>
  <c r="D162" i="3" s="1"/>
  <c r="F117" i="6" s="1"/>
  <c r="F189" i="3"/>
  <c r="L12" i="6" l="1"/>
  <c r="L11" i="6"/>
  <c r="Y119" i="6"/>
  <c r="Y117" i="6"/>
  <c r="AC117" i="6" s="1"/>
  <c r="Y118" i="6"/>
  <c r="E58" i="45" s="1"/>
  <c r="Y116" i="6"/>
  <c r="AC116" i="6" s="1"/>
  <c r="D158" i="3"/>
  <c r="L13" i="6" s="1"/>
  <c r="E158" i="3"/>
  <c r="E188" i="3"/>
  <c r="D188" i="3"/>
  <c r="F160" i="3"/>
  <c r="F162" i="3"/>
  <c r="F159" i="3"/>
  <c r="L9" i="6" s="1"/>
  <c r="E49" i="45" s="1"/>
  <c r="F188" i="3"/>
  <c r="AC119" i="6" l="1"/>
  <c r="O58" i="45"/>
  <c r="Y58" i="45" s="1"/>
  <c r="AI47" i="45" s="1"/>
  <c r="Y60" i="45" s="1"/>
  <c r="Y51" i="45" s="1"/>
  <c r="AC118" i="6"/>
  <c r="F158" i="3"/>
  <c r="L10" i="6"/>
  <c r="O49" i="45" s="1"/>
  <c r="Y49" i="45" s="1"/>
  <c r="W78"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5764225B-615A-46D4-9A8E-DB149F10D646}">
      <text>
        <r>
          <rPr>
            <b/>
            <sz val="12"/>
            <color indexed="81"/>
            <rFont val="MS P ゴシック"/>
            <family val="3"/>
            <charset val="128"/>
          </rPr>
          <t>登記事項証明書に記載されている
名称を記入してください。</t>
        </r>
      </text>
    </comment>
    <comment ref="N6" authorId="0" shapeId="0" xr:uid="{5352E8D5-1548-43DE-878C-67DDD1534A11}">
      <text>
        <r>
          <rPr>
            <b/>
            <sz val="12"/>
            <color indexed="81"/>
            <rFont val="MS P ゴシック"/>
            <family val="3"/>
            <charset val="128"/>
          </rPr>
          <t>登記事項証明書に記載されている
代表者の役職を記入して下さい。</t>
        </r>
      </text>
    </comment>
    <comment ref="Y6" authorId="0" shapeId="0" xr:uid="{A473C21B-6A59-4F13-97B7-098990F1B464}">
      <text>
        <r>
          <rPr>
            <b/>
            <sz val="12"/>
            <color indexed="81"/>
            <rFont val="MS P ゴシック"/>
            <family val="3"/>
            <charset val="128"/>
          </rPr>
          <t>登記事項証明書に記載されている
代表者の氏名を記入して下さい。</t>
        </r>
      </text>
    </comment>
    <comment ref="J7" authorId="0" shapeId="0" xr:uid="{78DD1E7D-C6F0-4F1D-9493-2B67C841456F}">
      <text>
        <r>
          <rPr>
            <b/>
            <sz val="12"/>
            <color indexed="81"/>
            <rFont val="MS P ゴシック"/>
            <family val="3"/>
            <charset val="128"/>
          </rPr>
          <t>登記事項証明書に記載されている
本社所在地を記入してください。</t>
        </r>
      </text>
    </comment>
    <comment ref="J10" authorId="0" shapeId="0" xr:uid="{33498F0D-312A-4E44-B481-76BF2D0E5EE3}">
      <text>
        <r>
          <rPr>
            <b/>
            <sz val="11"/>
            <color indexed="81"/>
            <rFont val="MS P ゴシック"/>
            <family val="3"/>
            <charset val="128"/>
          </rPr>
          <t>登記事項証明書に記載されている
資本金を記入してください。</t>
        </r>
      </text>
    </comment>
    <comment ref="J11" authorId="0" shapeId="0" xr:uid="{0A46ACF1-B489-4489-B18D-AA130E3123E6}">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B0E5E5FF-6A82-4189-AEFE-6D976FC1B9F5}">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7A8951B9-0AD6-40ED-B49D-BCD430471CE5}">
      <text>
        <r>
          <rPr>
            <b/>
            <sz val="12"/>
            <color indexed="81"/>
            <rFont val="MS P ゴシック"/>
            <family val="3"/>
            <charset val="128"/>
          </rPr>
          <t>郵便番号を必ず
記入して下さい。</t>
        </r>
      </text>
    </comment>
    <comment ref="J14" authorId="0" shapeId="0" xr:uid="{8B29BB96-3AD9-4F04-92D7-7BF8D60B3587}">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0E629849-2966-400F-813C-5C6892448C4E}">
      <text>
        <r>
          <rPr>
            <b/>
            <sz val="9"/>
            <color indexed="81"/>
            <rFont val="MS P ゴシック"/>
            <family val="3"/>
            <charset val="128"/>
          </rPr>
          <t>「ＣＯ₂換算シート」に
数値を記入してください。</t>
        </r>
      </text>
    </comment>
    <comment ref="L20" authorId="0" shapeId="0" xr:uid="{8E046D33-4EE9-494C-B2C2-4FF558A85D83}">
      <text>
        <r>
          <rPr>
            <b/>
            <sz val="10"/>
            <color indexed="81"/>
            <rFont val="MS P ゴシック"/>
            <family val="3"/>
            <charset val="128"/>
          </rPr>
          <t xml:space="preserve">郵便番号を忘れずに
必ず記入して下さい！
</t>
        </r>
      </text>
    </comment>
    <comment ref="J21" authorId="0" shapeId="0" xr:uid="{FBE3937B-737B-4B8D-B3BD-840FADDE9D51}">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BD18BB62-03C6-461C-AEB3-D014D9D965AE}">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7" authorId="0" shapeId="0" xr:uid="{00000000-0006-0000-0200-000001000000}">
      <text>
        <r>
          <rPr>
            <sz val="9"/>
            <color indexed="81"/>
            <rFont val="MS P ゴシック"/>
            <family val="3"/>
            <charset val="128"/>
          </rPr>
          <t>該当あるものに必ず「○」を記入して下さい。</t>
        </r>
      </text>
    </comment>
    <comment ref="Q37"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9" authorId="0" shapeId="0" xr:uid="{00000000-0006-0000-0200-000003000000}">
      <text>
        <r>
          <rPr>
            <sz val="9"/>
            <color indexed="81"/>
            <rFont val="MS P ゴシック"/>
            <family val="3"/>
            <charset val="128"/>
          </rPr>
          <t>該当あるものに必ず「○」を記入して下さい。</t>
        </r>
      </text>
    </comment>
    <comment ref="Q39"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41" authorId="0" shapeId="0" xr:uid="{00000000-0006-0000-0200-000005000000}">
      <text>
        <r>
          <rPr>
            <sz val="9"/>
            <color indexed="81"/>
            <rFont val="MS P ゴシック"/>
            <family val="3"/>
            <charset val="128"/>
          </rPr>
          <t>該当あるものに必ず「○」を記入して下さい。</t>
        </r>
      </text>
    </comment>
    <comment ref="E43" authorId="0" shapeId="0" xr:uid="{00000000-0006-0000-0200-000006000000}">
      <text>
        <r>
          <rPr>
            <sz val="9"/>
            <color indexed="81"/>
            <rFont val="MS P ゴシック"/>
            <family val="3"/>
            <charset val="128"/>
          </rPr>
          <t>該当あるものに必ず「○」を記入して下さい。</t>
        </r>
      </text>
    </comment>
    <comment ref="E45" authorId="0" shapeId="0" xr:uid="{00000000-0006-0000-0200-000007000000}">
      <text>
        <r>
          <rPr>
            <b/>
            <sz val="12"/>
            <color indexed="10"/>
            <rFont val="MS P ゴシック"/>
            <family val="3"/>
            <charset val="128"/>
          </rPr>
          <t>償却資産台帳（固定資産台帳）に登録しない事業は対象外です。</t>
        </r>
        <r>
          <rPr>
            <b/>
            <sz val="12"/>
            <color indexed="81"/>
            <rFont val="MS P ゴシック"/>
            <family val="3"/>
            <charset val="128"/>
          </rPr>
          <t xml:space="preserve">
登録年数は必ず税理士等へ事前に確認をしてください。</t>
        </r>
      </text>
    </comment>
    <comment ref="E49" authorId="0" shapeId="0" xr:uid="{00000000-0006-0000-0200-00000B000000}">
      <text>
        <r>
          <rPr>
            <b/>
            <sz val="12"/>
            <color indexed="81"/>
            <rFont val="MS P ゴシック"/>
            <family val="3"/>
            <charset val="128"/>
          </rPr>
          <t>「入力」シートに漏れなく記入すれば、
自動的にこちらへ入力されます。</t>
        </r>
      </text>
    </comment>
    <comment ref="O49" authorId="0" shapeId="0" xr:uid="{00000000-0006-0000-0200-00000C000000}">
      <text>
        <r>
          <rPr>
            <b/>
            <sz val="12"/>
            <color indexed="81"/>
            <rFont val="MS P ゴシック"/>
            <family val="3"/>
            <charset val="128"/>
          </rPr>
          <t>「入力」シートに漏れなく記入すれば、
自動的にこちらへ入力されます。</t>
        </r>
      </text>
    </comment>
    <comment ref="Y49" authorId="0" shapeId="0" xr:uid="{00000000-0006-0000-0200-00000D000000}">
      <text>
        <r>
          <rPr>
            <b/>
            <sz val="12"/>
            <color indexed="81"/>
            <rFont val="MS P ゴシック"/>
            <family val="3"/>
            <charset val="128"/>
          </rPr>
          <t>「入力」シートに漏れなく記入すれば、
自動的にこちらへ入力されます。</t>
        </r>
      </text>
    </comment>
    <comment ref="Y51" authorId="0" shapeId="0" xr:uid="{00000000-0006-0000-0200-00000E000000}">
      <text>
        <r>
          <rPr>
            <b/>
            <sz val="12"/>
            <color indexed="81"/>
            <rFont val="MS P ゴシック"/>
            <family val="3"/>
            <charset val="128"/>
          </rPr>
          <t>「入力」シートに漏れなく記入すれば、
自動的にこちらへ入力されます。</t>
        </r>
      </text>
    </comment>
    <comment ref="W78" authorId="0" shapeId="0" xr:uid="{D683A48F-B49A-4853-BE33-55958B65FD95}">
      <text>
        <r>
          <rPr>
            <sz val="12"/>
            <color indexed="81"/>
            <rFont val="MS P ゴシック"/>
            <family val="3"/>
            <charset val="128"/>
          </rPr>
          <t>必要項目をすべて入力すると
自動計算されます。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（事業変更届、または変更承認申請書の
　右上と同じ日付で問題ありません。）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D8B5FBA5-35D7-4A85-998C-A320CA6CE1BB}">
      <text>
        <r>
          <rPr>
            <b/>
            <sz val="11"/>
            <color indexed="10"/>
            <rFont val="MS P ゴシック"/>
            <family val="3"/>
            <charset val="128"/>
          </rPr>
          <t>単位を必ずご確認のうえで入力してください！</t>
        </r>
      </text>
    </comment>
    <comment ref="F12" authorId="0" shapeId="0" xr:uid="{08282EC0-9689-4B82-BD51-072ECB7BF1A5}">
      <text>
        <r>
          <rPr>
            <b/>
            <sz val="11"/>
            <color indexed="10"/>
            <rFont val="MS P ゴシック"/>
            <family val="3"/>
            <charset val="128"/>
          </rPr>
          <t>単位を必ずご確認のうえで入力してください！</t>
        </r>
      </text>
    </comment>
    <comment ref="F13" authorId="0" shapeId="0" xr:uid="{479B786E-C7BF-4D86-B00A-9334A093F9EF}">
      <text>
        <r>
          <rPr>
            <b/>
            <sz val="11"/>
            <color indexed="10"/>
            <rFont val="MS P ゴシック"/>
            <family val="3"/>
            <charset val="128"/>
          </rPr>
          <t>単位を必ずご確認のうえで入力してください！</t>
        </r>
      </text>
    </comment>
    <comment ref="F14" authorId="0" shapeId="0" xr:uid="{DF1ACD48-8518-4890-974D-FC3A961A1967}">
      <text>
        <r>
          <rPr>
            <b/>
            <sz val="11"/>
            <color indexed="10"/>
            <rFont val="MS P ゴシック"/>
            <family val="3"/>
            <charset val="128"/>
          </rPr>
          <t>単位を必ずご確認のうえで入力してください！</t>
        </r>
      </text>
    </comment>
    <comment ref="F15" authorId="0" shapeId="0" xr:uid="{C4AC7C4B-14F6-4A90-B9DE-16D4C28660E3}">
      <text>
        <r>
          <rPr>
            <b/>
            <sz val="11"/>
            <color indexed="10"/>
            <rFont val="MS P ゴシック"/>
            <family val="3"/>
            <charset val="128"/>
          </rPr>
          <t>単位を必ずご確認のうえで入力してください！</t>
        </r>
      </text>
    </comment>
    <comment ref="F16" authorId="0" shapeId="0" xr:uid="{9EE501DD-D609-4BAB-B357-A4A7062C58D9}">
      <text>
        <r>
          <rPr>
            <b/>
            <sz val="11"/>
            <color indexed="10"/>
            <rFont val="MS P ゴシック"/>
            <family val="3"/>
            <charset val="128"/>
          </rPr>
          <t>単位を必ずご確認のうえで入力してください！</t>
        </r>
      </text>
    </comment>
    <comment ref="D17" authorId="0" shapeId="0" xr:uid="{9B7FA021-D02D-4B1B-801B-E145E5D7BAE2}">
      <text>
        <r>
          <rPr>
            <sz val="10"/>
            <color indexed="81"/>
            <rFont val="MS P ゴシック"/>
            <family val="3"/>
            <charset val="128"/>
          </rPr>
          <t>ＬＰＧについては、
使用料の確認ができる
いずれかの単位（トンor立米）の欄のみ入力してください。</t>
        </r>
      </text>
    </comment>
    <comment ref="F17" authorId="0" shapeId="0" xr:uid="{B3D7B623-B258-4836-B583-242694CAFFEB}">
      <text>
        <r>
          <rPr>
            <b/>
            <sz val="11"/>
            <color indexed="10"/>
            <rFont val="MS P ゴシック"/>
            <family val="3"/>
            <charset val="128"/>
          </rPr>
          <t>単位を必ずご確認のうえで入力してください！</t>
        </r>
      </text>
    </comment>
    <comment ref="D18" authorId="0" shapeId="0" xr:uid="{730DD0F5-7EDB-45E7-82F6-DDCF4C1A3577}">
      <text>
        <r>
          <rPr>
            <sz val="10"/>
            <color indexed="81"/>
            <rFont val="MS P ゴシック"/>
            <family val="3"/>
            <charset val="128"/>
          </rPr>
          <t>ＬＰＧについては、
使用料の確認ができる
いずれかの単位（トンor立米）の欄のみ入力してください。</t>
        </r>
      </text>
    </comment>
    <comment ref="F18" authorId="0" shapeId="0" xr:uid="{523F3645-603B-4253-B3D4-932B1E0EC135}">
      <text>
        <r>
          <rPr>
            <b/>
            <sz val="11"/>
            <color indexed="10"/>
            <rFont val="MS P ゴシック"/>
            <family val="3"/>
            <charset val="128"/>
          </rPr>
          <t>単位を必ずご確認のうえで入力してください！</t>
        </r>
      </text>
    </comment>
    <comment ref="F19" authorId="0" shapeId="0" xr:uid="{AD38FCF6-78BA-474C-A1C8-FF38508E567C}">
      <text>
        <r>
          <rPr>
            <b/>
            <sz val="11"/>
            <color indexed="10"/>
            <rFont val="MS P ゴシック"/>
            <family val="3"/>
            <charset val="128"/>
          </rPr>
          <t>単位を必ずご確認のうえで入力してください！</t>
        </r>
      </text>
    </comment>
    <comment ref="F20" authorId="0" shapeId="0" xr:uid="{AB7EB99E-B296-4971-B57F-6DD4FC9BAF3E}">
      <text>
        <r>
          <rPr>
            <b/>
            <sz val="11"/>
            <color indexed="10"/>
            <rFont val="MS P ゴシック"/>
            <family val="3"/>
            <charset val="128"/>
          </rPr>
          <t>単位を必ずご確認のうえで入力してください！</t>
        </r>
      </text>
    </comment>
    <comment ref="F21" authorId="0" shapeId="0" xr:uid="{F3E6DCEA-D377-435B-B9F8-AA5B689DE441}">
      <text>
        <r>
          <rPr>
            <b/>
            <sz val="11"/>
            <color indexed="10"/>
            <rFont val="MS P ゴシック"/>
            <family val="3"/>
            <charset val="128"/>
          </rPr>
          <t>単位を必ずご確認のうえで入力してください！</t>
        </r>
      </text>
    </comment>
    <comment ref="F22" authorId="0" shapeId="0" xr:uid="{30D5BE86-E440-48C5-9489-8D3E4EE749D1}">
      <text>
        <r>
          <rPr>
            <b/>
            <sz val="11"/>
            <color indexed="10"/>
            <rFont val="MS P ゴシック"/>
            <family val="3"/>
            <charset val="128"/>
          </rPr>
          <t>単位を必ずご確認のうえで入力してください！</t>
        </r>
      </text>
    </comment>
    <comment ref="F23" authorId="0" shapeId="0" xr:uid="{0C187685-0249-454D-9242-290D08908198}">
      <text>
        <r>
          <rPr>
            <b/>
            <sz val="11"/>
            <color indexed="10"/>
            <rFont val="MS P ゴシック"/>
            <family val="3"/>
            <charset val="128"/>
          </rPr>
          <t>単位を必ずご確認のうえで入力してください！</t>
        </r>
      </text>
    </comment>
    <comment ref="F24" authorId="0" shapeId="0" xr:uid="{1F021622-4348-4DFE-B65E-1DC956935ECC}">
      <text>
        <r>
          <rPr>
            <b/>
            <sz val="11"/>
            <color indexed="10"/>
            <rFont val="MS P ゴシック"/>
            <family val="3"/>
            <charset val="128"/>
          </rPr>
          <t>単位を必ずご確認のうえで入力してください！</t>
        </r>
      </text>
    </comment>
    <comment ref="F25" authorId="0" shapeId="0" xr:uid="{FAD64E3F-4A51-4CA2-9527-6CDD8CD65D8C}">
      <text>
        <r>
          <rPr>
            <b/>
            <sz val="11"/>
            <color indexed="10"/>
            <rFont val="MS P ゴシック"/>
            <family val="3"/>
            <charset val="128"/>
          </rPr>
          <t>単位を必ずご確認のうえで入力してください！</t>
        </r>
      </text>
    </comment>
    <comment ref="F26" authorId="0" shapeId="0" xr:uid="{93B31EAF-9FCA-4CAA-B4D0-E1B60593E194}">
      <text>
        <r>
          <rPr>
            <b/>
            <sz val="11"/>
            <color indexed="10"/>
            <rFont val="MS P ゴシック"/>
            <family val="3"/>
            <charset val="128"/>
          </rPr>
          <t>単位を必ずご確認のうえで入力してください！</t>
        </r>
      </text>
    </comment>
    <comment ref="F35" authorId="0" shapeId="0" xr:uid="{946313D7-6717-4E40-AC23-8DD80E0FC75E}">
      <text>
        <r>
          <rPr>
            <b/>
            <sz val="11"/>
            <color indexed="10"/>
            <rFont val="MS P ゴシック"/>
            <family val="3"/>
            <charset val="128"/>
          </rPr>
          <t>単位を必ずご確認のうえで入力してください！</t>
        </r>
      </text>
    </comment>
  </commentList>
</comments>
</file>

<file path=xl/sharedStrings.xml><?xml version="1.0" encoding="utf-8"?>
<sst xmlns="http://schemas.openxmlformats.org/spreadsheetml/2006/main" count="5618" uniqueCount="1584">
  <si>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</si>
  <si>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</si>
  <si>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</si>
  <si>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</si>
  <si>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</si>
  <si>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</si>
  <si>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</si>
  <si>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</si>
  <si>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</si>
  <si>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</si>
  <si>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</si>
  <si>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</si>
  <si>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</si>
  <si>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</si>
  <si>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</si>
  <si>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</si>
  <si>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</si>
  <si>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</si>
  <si>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</si>
  <si>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</si>
  <si>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</si>
  <si>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</si>
  <si>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</si>
  <si>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</si>
  <si>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</si>
  <si>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</si>
  <si>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</si>
  <si>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</si>
  <si>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</si>
  <si>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</si>
  <si>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</si>
  <si>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</si>
  <si>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</si>
  <si>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</si>
  <si>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</si>
  <si>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</si>
  <si>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</si>
  <si>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</si>
  <si>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</si>
  <si>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</si>
  <si>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</si>
  <si>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</si>
  <si>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</si>
  <si>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</si>
  <si>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</si>
  <si>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</si>
  <si>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</si>
  <si>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</si>
  <si>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</si>
  <si>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</si>
  <si>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</si>
  <si>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</si>
  <si>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</si>
  <si>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</si>
  <si>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</si>
  <si>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</si>
  <si>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</si>
  <si>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</si>
  <si>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</si>
  <si>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</si>
  <si>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</si>
  <si>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</si>
  <si>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</si>
  <si>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</si>
  <si>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</si>
  <si>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</si>
  <si>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</si>
  <si>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</si>
  <si>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</si>
  <si>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</si>
  <si>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</si>
  <si>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</si>
  <si>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</si>
  <si>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</si>
  <si>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</si>
  <si>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</si>
  <si>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</si>
  <si>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</si>
  <si>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</si>
  <si>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</si>
  <si>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</si>
  <si>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</si>
  <si>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</si>
  <si>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</si>
  <si>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</si>
  <si>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</si>
  <si>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</si>
  <si>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</si>
  <si>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</si>
  <si>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</si>
  <si>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</si>
  <si>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</si>
  <si>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</si>
  <si>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</si>
  <si>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</si>
  <si>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</si>
  <si>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</si>
  <si>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</si>
  <si>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</si>
  <si>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</si>
  <si>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</si>
  <si>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</si>
  <si>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</si>
  <si>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</si>
  <si>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</si>
  <si>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</si>
  <si>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</si>
  <si>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</si>
  <si>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</si>
  <si>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</si>
  <si>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</si>
  <si>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</si>
  <si>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</si>
  <si>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</si>
  <si>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</si>
  <si>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</si>
  <si>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</si>
  <si>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</si>
  <si>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</si>
  <si>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</si>
  <si>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</si>
  <si>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</si>
  <si>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</si>
  <si>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</si>
  <si>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</si>
  <si>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</si>
  <si>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</si>
  <si>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</si>
  <si>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</si>
  <si>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</si>
  <si>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</si>
  <si>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</si>
  <si>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</si>
  <si>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</si>
  <si>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</si>
  <si>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</si>
  <si>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</si>
  <si>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</si>
  <si>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</si>
  <si>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</si>
  <si>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</si>
  <si>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</si>
  <si>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</si>
  <si>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</si>
  <si>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</si>
  <si>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</si>
  <si>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</si>
  <si>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</si>
  <si>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</si>
  <si>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</si>
  <si>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</si>
  <si>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</si>
  <si>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</si>
  <si>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</si>
  <si>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</si>
  <si>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</si>
  <si>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</si>
  <si>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</si>
  <si>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</si>
  <si>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</si>
  <si>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</si>
  <si>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</si>
  <si>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</si>
  <si>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</si>
  <si>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</si>
  <si>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</si>
  <si>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</si>
  <si>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</si>
  <si>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</si>
  <si>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</si>
  <si>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</si>
  <si>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</si>
  <si>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</si>
  <si>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</si>
  <si>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</si>
  <si>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</si>
  <si>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</si>
  <si>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</si>
  <si>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</si>
  <si>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</si>
  <si>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</si>
  <si>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</si>
  <si>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</si>
  <si>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</si>
  <si>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</si>
  <si>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</si>
  <si>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</si>
  <si>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</si>
  <si>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</si>
  <si>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</si>
  <si>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</si>
  <si>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</si>
  <si>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</si>
  <si>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</si>
  <si>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</si>
  <si>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</si>
  <si>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</si>
  <si>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</si>
  <si>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</si>
  <si>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</si>
  <si>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</si>
  <si>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</si>
  <si>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</si>
  <si>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</si>
  <si>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</si>
  <si>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</si>
  <si>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</si>
  <si>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</si>
  <si>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</si>
  <si>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</si>
  <si>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</si>
  <si>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</si>
  <si>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</si>
  <si>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</si>
  <si>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</si>
  <si>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</si>
  <si>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</si>
  <si>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</si>
  <si>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</si>
  <si>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</si>
  <si>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</si>
  <si>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</si>
  <si>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</si>
  <si>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</si>
  <si>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</si>
  <si>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</si>
  <si>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</si>
  <si>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</si>
  <si>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</si>
  <si>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</si>
  <si>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</si>
  <si>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</si>
  <si>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</si>
  <si>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</si>
  <si>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</si>
  <si>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</si>
  <si>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</si>
  <si>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</si>
  <si>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</si>
  <si>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</si>
  <si>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</si>
  <si>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</si>
  <si>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</si>
  <si>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</si>
  <si>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</si>
  <si>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</si>
  <si>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</si>
  <si>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</si>
  <si>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</si>
  <si>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</si>
  <si>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</si>
  <si>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</si>
  <si>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</si>
  <si>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</si>
  <si>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</si>
  <si>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</si>
  <si>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</si>
  <si>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</si>
  <si>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</si>
  <si>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</si>
  <si>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</si>
  <si>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</si>
  <si>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</si>
  <si>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</si>
  <si>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</si>
  <si>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</si>
  <si>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</si>
  <si>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</si>
  <si>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</si>
  <si>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</si>
  <si>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</si>
  <si>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</si>
  <si>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</si>
  <si>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</si>
  <si>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</si>
  <si>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</si>
  <si>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</si>
  <si>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</si>
  <si>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</si>
  <si>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</si>
  <si>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</si>
  <si>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</si>
  <si>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</si>
  <si>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</si>
  <si>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</si>
  <si>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</si>
  <si>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</si>
  <si>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</si>
  <si>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</si>
  <si>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</si>
  <si>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</si>
  <si>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</si>
  <si>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</si>
  <si>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</si>
  <si>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</si>
  <si>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</si>
  <si>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</si>
  <si>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</si>
  <si>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</si>
  <si>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</si>
  <si>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</si>
  <si>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</si>
  <si>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</si>
  <si>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</si>
  <si>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</si>
  <si>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</si>
  <si>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</si>
  <si>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</si>
  <si>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</si>
  <si>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</si>
  <si>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</si>
  <si>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</si>
  <si>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</si>
  <si>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</si>
  <si>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</si>
  <si>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</si>
  <si>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</si>
  <si>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</si>
  <si>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</si>
  <si>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</si>
  <si>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</si>
  <si>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</si>
  <si>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</si>
  <si>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</si>
  <si>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</si>
  <si>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</si>
  <si>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</si>
  <si>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</si>
  <si>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</si>
  <si>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</si>
  <si>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</si>
  <si>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</si>
  <si>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</si>
  <si>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</si>
  <si>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</si>
  <si>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</si>
  <si>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</si>
  <si>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</si>
  <si>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</si>
  <si>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</si>
  <si>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</si>
  <si>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</si>
  <si>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</si>
  <si>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</si>
  <si>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</si>
  <si>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</si>
  <si>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</si>
  <si>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</si>
  <si>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</si>
  <si>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</si>
  <si>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</si>
  <si>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</si>
  <si>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</si>
  <si>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</si>
  <si>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</si>
  <si>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</si>
  <si>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</si>
  <si>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</si>
  <si>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</si>
  <si>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</si>
  <si>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</si>
  <si>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</si>
  <si>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</si>
  <si>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</si>
  <si>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</si>
  <si>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</si>
  <si>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</si>
  <si>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</si>
  <si>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</si>
  <si>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</si>
  <si>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</si>
  <si>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</si>
  <si>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</si>
  <si>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</si>
  <si>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</si>
  <si>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</si>
  <si>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</si>
  <si>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</si>
  <si>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</si>
  <si>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</si>
  <si>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</si>
  <si>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</si>
  <si>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</si>
  <si>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</si>
  <si>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</si>
  <si>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</si>
  <si>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</si>
  <si>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</si>
  <si>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</si>
  <si>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</si>
  <si>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</si>
  <si>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</si>
  <si>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</si>
  <si>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</si>
  <si>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</si>
  <si>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</si>
  <si>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</si>
  <si>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</si>
  <si>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</si>
  <si>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</si>
  <si>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</si>
  <si>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</si>
  <si>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</si>
  <si>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</si>
  <si>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</si>
  <si>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</si>
  <si>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</si>
  <si>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</si>
  <si>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</si>
  <si>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</si>
  <si>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</si>
  <si>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</si>
  <si>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</si>
  <si>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</si>
  <si>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</si>
  <si>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</si>
  <si>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</si>
  <si>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</si>
  <si>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</si>
  <si>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</si>
  <si>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</si>
  <si>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</si>
  <si>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</si>
  <si>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</si>
  <si>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</si>
  <si>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</si>
  <si>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</si>
  <si>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</si>
  <si>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</si>
  <si>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</si>
  <si>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</si>
  <si>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</si>
  <si>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</si>
  <si>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</si>
  <si>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</si>
  <si>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</si>
  <si>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</si>
  <si>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</si>
  <si>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</si>
  <si>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</si>
  <si>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</si>
  <si>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</si>
  <si>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</si>
  <si>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</si>
  <si>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</si>
  <si>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</si>
  <si>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</si>
  <si>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</si>
  <si>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</si>
  <si>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</si>
  <si>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</si>
  <si>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</si>
  <si>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</si>
  <si>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</si>
  <si>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</si>
  <si>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</si>
  <si>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</si>
  <si>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</si>
  <si>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</si>
  <si>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</si>
  <si>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</si>
  <si>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</si>
  <si>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</si>
  <si>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</si>
  <si>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</si>
  <si>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</si>
  <si>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</si>
  <si>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</si>
  <si>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</si>
  <si>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</si>
  <si>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</si>
  <si>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</si>
  <si>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</si>
  <si>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</si>
  <si>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</si>
  <si>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</si>
  <si>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</si>
  <si>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</si>
  <si>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</si>
  <si>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</si>
  <si>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</si>
  <si>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</si>
  <si>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</si>
  <si>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</si>
  <si>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</si>
  <si>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</si>
  <si>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</si>
  <si>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</si>
  <si>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</si>
  <si>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</si>
  <si>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</si>
  <si>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</si>
  <si>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</si>
  <si>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</si>
  <si>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</si>
  <si>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</si>
  <si>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</si>
  <si>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</si>
  <si>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</si>
  <si>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</si>
  <si>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</si>
  <si>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</si>
  <si>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</si>
  <si>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</si>
  <si>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</si>
  <si>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</si>
  <si>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</si>
  <si>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</si>
  <si>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</si>
  <si>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</si>
  <si>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</si>
  <si>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</si>
  <si>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</si>
  <si>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</si>
  <si>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</si>
  <si>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</si>
  <si>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</si>
  <si>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</si>
  <si>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</si>
  <si>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</si>
  <si>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</si>
  <si>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</si>
  <si>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</si>
  <si>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</si>
  <si>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</si>
  <si>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</si>
  <si>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</si>
  <si>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</si>
  <si>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</si>
  <si>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</si>
  <si>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</si>
  <si>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</si>
  <si>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</si>
  <si>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</si>
  <si>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</si>
  <si>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</si>
  <si>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</si>
  <si>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</si>
  <si>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</si>
  <si>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</si>
  <si>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</si>
  <si>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</si>
  <si>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</si>
  <si>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</si>
  <si>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</si>
  <si>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</si>
  <si>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</si>
  <si>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</si>
  <si>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</si>
  <si>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</si>
  <si>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</si>
  <si>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</si>
  <si>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</si>
  <si>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</si>
  <si>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</si>
  <si>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</si>
  <si>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</si>
  <si>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</si>
  <si>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</si>
  <si>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</si>
  <si>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</si>
  <si>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</si>
  <si>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</si>
  <si>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</si>
  <si>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</si>
  <si>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</si>
  <si>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</si>
  <si>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</si>
  <si>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</si>
  <si>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</si>
  <si>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</si>
  <si>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</si>
  <si>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</si>
  <si>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</si>
  <si>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</si>
  <si>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</si>
  <si>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</si>
  <si>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</si>
  <si>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</si>
  <si>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</si>
  <si>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</si>
  <si>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</si>
  <si>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</si>
  <si>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</si>
  <si>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</si>
  <si>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</si>
  <si>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</si>
  <si>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</si>
  <si>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</si>
  <si>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</si>
  <si>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</si>
  <si>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</si>
  <si>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</si>
  <si>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</si>
  <si>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</si>
  <si>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</si>
  <si>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</si>
  <si>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</si>
  <si>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</si>
  <si>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</si>
  <si>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</si>
  <si>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</si>
  <si>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</si>
  <si>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</si>
  <si>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</si>
  <si>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</si>
  <si>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</si>
  <si>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</si>
  <si>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</si>
  <si>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</si>
  <si>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</si>
  <si>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</si>
  <si>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</si>
  <si>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</si>
  <si>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</si>
  <si>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</si>
  <si>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</si>
  <si>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</si>
  <si>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</si>
  <si>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</si>
  <si>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</si>
  <si>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</si>
  <si>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</si>
  <si>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</si>
  <si>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</si>
  <si>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</si>
  <si>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</si>
  <si>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</si>
  <si>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</si>
  <si>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</si>
  <si>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</si>
  <si>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</si>
  <si>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</si>
  <si>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</si>
  <si>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</si>
  <si>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</si>
  <si>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</si>
  <si>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</si>
  <si>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</si>
  <si>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</si>
  <si>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</si>
  <si>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</si>
  <si>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</si>
  <si>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</si>
  <si>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</si>
  <si>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</si>
  <si>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</si>
  <si>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</si>
  <si>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</si>
  <si>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</si>
  <si>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</si>
  <si>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</si>
  <si>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</si>
  <si>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</si>
  <si>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</si>
  <si>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</si>
  <si>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</si>
  <si>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</si>
  <si>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</si>
  <si>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</si>
  <si>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</si>
  <si>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</si>
  <si>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</si>
  <si>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</si>
  <si>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</si>
  <si>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</si>
  <si>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</si>
  <si>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</si>
  <si>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</si>
  <si>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</si>
  <si>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</si>
  <si>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</si>
  <si>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</si>
  <si>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</si>
  <si>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</si>
  <si>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</si>
  <si>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</si>
  <si>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</si>
  <si>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</si>
  <si>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</si>
  <si>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</si>
  <si>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</si>
  <si>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</si>
  <si>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</si>
  <si>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</si>
  <si>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</si>
  <si>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</si>
  <si>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</si>
  <si>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</si>
  <si>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</si>
  <si>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</si>
  <si>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</si>
  <si>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</si>
  <si>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</si>
  <si>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</si>
  <si>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</si>
  <si>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</si>
  <si>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2"/>
      </rPr>
      <t>単層高性能熱線反射相当</t>
    </r>
    <rPh sb="0" eb="2">
      <t>タンソウ</t>
    </rPh>
    <rPh sb="2" eb="5">
      <t>コウセイノウ</t>
    </rPh>
    <rPh sb="5" eb="6">
      <t>ネツ</t>
    </rPh>
    <rPh sb="6" eb="7">
      <t>セン</t>
    </rPh>
    <rPh sb="7" eb="9">
      <t>ハンシャ</t>
    </rPh>
    <rPh sb="9" eb="11">
      <t>ソウトウ</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</si>
  <si>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</si>
  <si>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</si>
  <si>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</si>
  <si>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</si>
  <si>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</si>
  <si>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</si>
  <si>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</si>
  <si>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</si>
  <si>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</si>
  <si>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</si>
  <si>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</si>
  <si>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</si>
  <si>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</si>
  <si>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</si>
  <si>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</si>
  <si>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</si>
  <si>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</si>
  <si>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</si>
  <si>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</si>
  <si>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</si>
  <si>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</si>
  <si>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</si>
  <si>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</si>
  <si>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</si>
  <si>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</si>
  <si>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</si>
  <si>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</si>
  <si>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</si>
  <si>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</si>
  <si>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</si>
  <si>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</si>
  <si>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</si>
  <si>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</si>
  <si>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</si>
  <si>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</si>
  <si>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</si>
  <si>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</si>
  <si>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</si>
  <si>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</si>
  <si>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</si>
  <si>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</si>
  <si>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</si>
  <si>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</si>
  <si>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</si>
  <si>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</si>
  <si>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</si>
  <si>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</si>
  <si>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</si>
  <si>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</si>
  <si>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</si>
  <si>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</si>
  <si>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</si>
  <si>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</si>
  <si>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</si>
  <si>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</si>
  <si>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</si>
  <si>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</si>
  <si>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</si>
  <si>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</si>
  <si>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</si>
  <si>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</si>
  <si>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</si>
  <si>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</si>
  <si>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</si>
  <si>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</si>
  <si>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</si>
  <si>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</si>
  <si>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</si>
  <si>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</si>
  <si>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</si>
  <si>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</si>
  <si>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</si>
  <si>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</si>
  <si>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</si>
  <si>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</si>
  <si>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</si>
  <si>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</si>
  <si>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</si>
  <si>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</si>
  <si>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</si>
  <si>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</si>
  <si>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</si>
  <si>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</si>
  <si>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</si>
  <si>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</si>
  <si>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</si>
  <si>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</si>
  <si>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</si>
  <si>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</si>
  <si>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</si>
  <si>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</si>
  <si>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</si>
  <si>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</si>
  <si>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</si>
  <si>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</si>
  <si>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</si>
  <si>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</si>
  <si>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</si>
  <si>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</si>
  <si>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</si>
  <si>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</si>
  <si>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</si>
  <si>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</si>
  <si>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</si>
  <si>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</si>
  <si>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</si>
  <si>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</si>
  <si>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</si>
  <si>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</si>
  <si>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みなし大企業
に該当の有無</t>
    <rPh sb="3" eb="6">
      <t>ダイキギョウ</t>
    </rPh>
    <rPh sb="8" eb="10">
      <t>ガイトウ</t>
    </rPh>
    <rPh sb="11" eb="13">
      <t>ウム</t>
    </rPh>
    <phoneticPr fontId="2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</si>
  <si>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</si>
  <si>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</si>
  <si>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</si>
  <si>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</si>
  <si>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</si>
  <si>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</si>
  <si>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</si>
  <si>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</si>
  <si>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</si>
  <si>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</si>
  <si>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</si>
  <si>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</si>
  <si>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</si>
  <si>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</si>
  <si>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</si>
  <si>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</si>
  <si>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</si>
  <si>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</si>
  <si>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</si>
  <si>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</si>
  <si>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</si>
  <si>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</si>
  <si>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</si>
  <si>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単位</t>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</si>
  <si>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</si>
  <si>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</si>
  <si>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</si>
  <si>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</si>
  <si>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</si>
  <si>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</si>
  <si>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</si>
  <si>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</si>
  <si>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</si>
  <si>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</si>
  <si>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単位</t>
    <rPh sb="0" eb="2">
      <t>タンイ</t>
    </rPh>
    <phoneticPr fontId="22"/>
  </si>
  <si>
    <t>灯油</t>
    <rPh sb="0" eb="2">
      <t>トウユ</t>
    </rPh>
    <phoneticPr fontId="22"/>
  </si>
  <si>
    <t>軽油</t>
    <rPh sb="0" eb="2">
      <t>ケイユ</t>
    </rPh>
    <phoneticPr fontId="22"/>
  </si>
  <si>
    <t>Ａ重油</t>
    <rPh sb="1" eb="3">
      <t>ジュウユ</t>
    </rPh>
    <phoneticPr fontId="22"/>
  </si>
  <si>
    <t>都市ガス</t>
    <rPh sb="0" eb="2">
      <t>トシ</t>
    </rPh>
    <phoneticPr fontId="22"/>
  </si>
  <si>
    <t>小計</t>
    <phoneticPr fontId="22"/>
  </si>
  <si>
    <t>①</t>
  </si>
  <si>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</si>
  <si>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</si>
  <si>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</si>
  <si>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</si>
  <si>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</si>
  <si>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</si>
  <si>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</si>
  <si>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</si>
  <si>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</si>
  <si>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</si>
  <si>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</si>
  <si>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</si>
  <si>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</si>
  <si>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</si>
  <si>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</si>
  <si>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</si>
  <si>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</si>
  <si>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</si>
  <si>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</si>
  <si>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</si>
  <si>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</si>
  <si>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</si>
  <si>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</si>
  <si>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</si>
  <si>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</si>
  <si>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</si>
  <si>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</si>
  <si>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</si>
  <si>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</si>
  <si>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</si>
  <si>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</si>
  <si>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</si>
  <si>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</si>
  <si>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</si>
  <si>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</si>
  <si>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</si>
  <si>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</si>
  <si>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</si>
  <si>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</si>
  <si>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</si>
  <si>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</si>
  <si>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</si>
  <si>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</si>
  <si>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</si>
  <si>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</si>
  <si>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</si>
  <si>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</si>
  <si>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</si>
  <si>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</si>
  <si>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</si>
  <si>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</si>
  <si>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</si>
  <si>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</si>
  <si>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</si>
  <si>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</si>
  <si>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</si>
  <si>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</si>
  <si>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</si>
  <si>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</si>
  <si>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</si>
  <si>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</si>
  <si>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</si>
  <si>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</si>
  <si>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</si>
  <si>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</si>
  <si>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</si>
  <si>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</si>
  <si>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</si>
  <si>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</si>
  <si>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</si>
  <si>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</si>
  <si>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</si>
  <si>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</si>
  <si>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</si>
  <si>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</si>
  <si>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</si>
  <si>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</si>
  <si>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</si>
  <si>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</si>
  <si>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</si>
  <si>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</si>
  <si>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</si>
  <si>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</si>
  <si>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</si>
  <si>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</si>
  <si>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</si>
  <si>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</si>
  <si>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</si>
  <si>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</si>
  <si>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</si>
  <si>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</si>
  <si>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</si>
  <si>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</si>
  <si>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</si>
  <si>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</si>
  <si>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</si>
  <si>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</si>
  <si>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</si>
  <si>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</si>
  <si>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</si>
  <si>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</si>
  <si>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</si>
  <si>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</si>
  <si>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</si>
  <si>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</si>
  <si>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</si>
  <si>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</si>
  <si>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</si>
  <si>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</si>
  <si>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</si>
  <si>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</si>
  <si>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</si>
  <si>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</si>
  <si>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</si>
  <si>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</si>
  <si>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</si>
  <si>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</si>
  <si>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</si>
  <si>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</si>
  <si>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</si>
  <si>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</si>
  <si>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</si>
  <si>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</si>
  <si>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</si>
  <si>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</si>
  <si>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</si>
  <si>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</si>
  <si>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</si>
  <si>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</si>
  <si>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</si>
  <si>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</si>
  <si>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</si>
  <si>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</si>
  <si>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</si>
  <si>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</si>
  <si>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t>
    <phoneticPr fontId="2"/>
  </si>
  <si>
    <t>氏名</t>
    <rPh sb="0" eb="2">
      <t>シメイ</t>
    </rPh>
    <phoneticPr fontId="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</si>
  <si>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</si>
  <si>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</si>
  <si>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</si>
  <si>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</si>
  <si>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</si>
  <si>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</si>
  <si>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</si>
  <si>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</si>
  <si>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</si>
  <si>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</si>
  <si>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</si>
  <si>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</si>
  <si>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</si>
  <si>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</si>
  <si>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</si>
  <si>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</si>
  <si>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</si>
  <si>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</si>
  <si>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</si>
  <si>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</si>
  <si>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</si>
  <si>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</si>
  <si>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選択して下さい</t>
    <rPh sb="0" eb="1">
      <t>センタク</t>
    </rPh>
    <rPh sb="3" eb="4">
      <t>クダ</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</si>
  <si>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</si>
  <si>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</si>
  <si>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</si>
  <si>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</si>
  <si>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</si>
  <si>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</si>
  <si>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</si>
  <si>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r>
      <t>財産処分制限期間</t>
    </r>
    <r>
      <rPr>
        <vertAlign val="superscript"/>
        <sz val="11"/>
        <color theme="1"/>
        <rFont val="ＭＳ Ｐゴシック"/>
        <family val="3"/>
        <charset val="128"/>
        <scheme val="minor"/>
      </rPr>
      <t>※</t>
    </r>
    <r>
      <rPr>
        <sz val="11"/>
        <color theme="1"/>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</si>
  <si>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</si>
  <si>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</si>
  <si>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</si>
  <si>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</si>
  <si>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</si>
  <si>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</si>
  <si>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</si>
  <si>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</si>
  <si>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</si>
  <si>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</si>
  <si>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</si>
  <si>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</si>
  <si>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</si>
  <si>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</si>
  <si>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</si>
  <si>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</si>
  <si>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</si>
  <si>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</si>
  <si>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</si>
  <si>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</si>
  <si>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</si>
  <si>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</si>
  <si>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</si>
  <si>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</si>
  <si>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</si>
  <si>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</si>
  <si>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</si>
  <si>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</si>
  <si>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</si>
  <si>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</si>
  <si>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</si>
  <si>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</si>
  <si>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</si>
  <si>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</si>
  <si>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</si>
  <si>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</si>
  <si>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</si>
  <si>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</si>
  <si>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</si>
  <si>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</si>
  <si>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</si>
  <si>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</si>
  <si>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</si>
  <si>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</si>
  <si>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</si>
  <si>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</si>
  <si>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</si>
  <si>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</si>
  <si>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</si>
  <si>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</si>
  <si>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</si>
  <si>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</si>
  <si>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</si>
  <si>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</si>
  <si>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</si>
  <si>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</si>
  <si>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</si>
  <si>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</si>
  <si>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</si>
  <si>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</si>
  <si>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</si>
  <si>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</si>
  <si>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</si>
  <si>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</si>
  <si>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</si>
  <si>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</si>
  <si>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</si>
  <si>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</si>
  <si>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</si>
  <si>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</si>
  <si>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</si>
  <si>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</si>
  <si>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</si>
  <si>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</si>
  <si>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</si>
  <si>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</si>
  <si>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</si>
  <si>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</si>
  <si>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</si>
  <si>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</si>
  <si>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</si>
  <si>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</si>
  <si>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</si>
  <si>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</si>
  <si>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</si>
  <si>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</si>
  <si>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</si>
  <si>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</si>
  <si>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</si>
  <si>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</si>
  <si>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</si>
  <si>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</si>
  <si>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</si>
  <si>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</si>
  <si>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</si>
  <si>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</si>
  <si>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</si>
  <si>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</si>
  <si>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</si>
  <si>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</si>
  <si>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</si>
  <si>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</si>
  <si>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</si>
  <si>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</si>
  <si>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</si>
  <si>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</si>
  <si>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</si>
  <si>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</si>
  <si>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</si>
  <si>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</si>
  <si>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</si>
  <si>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</si>
  <si>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</si>
  <si>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</si>
  <si>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</si>
  <si>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</si>
  <si>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</si>
  <si>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</si>
  <si>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</si>
  <si>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</si>
  <si>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</si>
  <si>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</si>
  <si>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</si>
  <si>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</si>
  <si>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</si>
  <si>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</si>
  <si>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</si>
  <si>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</si>
  <si>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</si>
  <si>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</si>
  <si>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</si>
  <si>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</si>
  <si>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</si>
  <si>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</si>
  <si>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</si>
  <si>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</si>
  <si>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</si>
  <si>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</si>
  <si>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</si>
  <si>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</si>
  <si>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</si>
  <si>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</si>
  <si>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</si>
  <si>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</si>
  <si>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</si>
  <si>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</si>
  <si>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</si>
  <si>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</si>
  <si>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</si>
  <si>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</si>
  <si>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</si>
  <si>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</si>
  <si>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</si>
  <si>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</si>
  <si>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</si>
  <si>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</si>
  <si>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</si>
  <si>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</si>
  <si>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</si>
  <si>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</si>
  <si>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</si>
  <si>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</si>
  <si>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</si>
  <si>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</si>
  <si>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</si>
  <si>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</si>
  <si>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</si>
  <si>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</si>
  <si>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</si>
  <si>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</si>
  <si>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</si>
  <si>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</si>
  <si>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</si>
  <si>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</si>
  <si>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</si>
  <si>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</si>
  <si>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</si>
  <si>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</si>
  <si>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</si>
  <si>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</si>
  <si>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</si>
  <si>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</si>
  <si>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</si>
  <si>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</si>
  <si>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</si>
  <si>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</si>
  <si>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</si>
  <si>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</si>
  <si>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</si>
  <si>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</si>
  <si>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</si>
  <si>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</si>
  <si>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</si>
  <si>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</si>
  <si>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</si>
  <si>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</si>
  <si>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</si>
  <si>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</si>
  <si>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</si>
  <si>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</si>
  <si>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</si>
  <si>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</si>
  <si>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</si>
  <si>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</si>
  <si>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</si>
  <si>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</si>
  <si>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</si>
  <si>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</si>
  <si>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</si>
  <si>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</si>
  <si>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</si>
  <si>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</si>
  <si>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</si>
  <si>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</si>
  <si>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</si>
  <si>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</si>
  <si>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</si>
  <si>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</si>
  <si>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</si>
  <si>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</si>
  <si>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</si>
  <si>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</si>
  <si>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</si>
  <si>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</si>
  <si>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</si>
  <si>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</si>
  <si>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</si>
  <si>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</si>
  <si>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</si>
  <si>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</si>
  <si>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</si>
  <si>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</si>
  <si>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</si>
  <si>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</si>
  <si>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</si>
  <si>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</si>
  <si>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</si>
  <si>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</si>
  <si>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</si>
  <si>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</si>
  <si>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</si>
  <si>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</si>
  <si>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</si>
  <si>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</si>
  <si>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</si>
  <si>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</si>
  <si>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</si>
  <si>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</si>
  <si>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</si>
  <si>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</si>
  <si>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</si>
  <si>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</si>
  <si>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</si>
  <si>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</si>
  <si>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</si>
  <si>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</si>
  <si>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</si>
  <si>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</si>
  <si>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</si>
  <si>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</si>
  <si>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</si>
  <si>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</si>
  <si>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</si>
  <si>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</si>
  <si>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</si>
  <si>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</si>
  <si>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</si>
  <si>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</si>
  <si>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</si>
  <si>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</si>
  <si>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</si>
  <si>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</si>
  <si>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</si>
  <si>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</si>
  <si>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</si>
  <si>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</si>
  <si>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</si>
  <si>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</si>
  <si>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</si>
  <si>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</si>
  <si>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</si>
  <si>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</si>
  <si>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</si>
  <si>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</si>
  <si>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</si>
  <si>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</si>
  <si>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</si>
  <si>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</si>
  <si>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</si>
  <si>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</si>
  <si>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</si>
  <si>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</si>
  <si>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</si>
  <si>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</si>
  <si>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</si>
  <si>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</si>
  <si>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</si>
  <si>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</si>
  <si>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</si>
  <si>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</si>
  <si>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</si>
  <si>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</si>
  <si>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</si>
  <si>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</si>
  <si>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</si>
  <si>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</si>
  <si>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</si>
  <si>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</si>
  <si>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</si>
  <si>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</si>
  <si>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</si>
  <si>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</si>
  <si>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</si>
  <si>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</si>
  <si>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</si>
  <si>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</si>
  <si>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</si>
  <si>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</si>
  <si>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</si>
  <si>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</si>
  <si>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</si>
  <si>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</si>
  <si>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</si>
  <si>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</si>
  <si>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</si>
  <si>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</si>
  <si>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</si>
  <si>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</si>
  <si>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</si>
  <si>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</si>
  <si>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</si>
  <si>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</si>
  <si>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</si>
  <si>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</si>
  <si>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</si>
  <si>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</si>
  <si>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</si>
  <si>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</si>
  <si>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</si>
  <si>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</si>
  <si>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</si>
  <si>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</si>
  <si>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</si>
  <si>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</si>
  <si>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</si>
  <si>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</si>
  <si>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</si>
  <si>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</si>
  <si>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</si>
  <si>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</si>
  <si>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</si>
  <si>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</si>
  <si>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</si>
  <si>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</si>
  <si>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</si>
  <si>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</si>
  <si>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</si>
  <si>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</si>
  <si>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</si>
  <si>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</si>
  <si>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</si>
  <si>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</si>
  <si>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</si>
  <si>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</si>
  <si>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</si>
  <si>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</si>
  <si>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</si>
  <si>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</si>
  <si>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</si>
  <si>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</si>
  <si>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</si>
  <si>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</si>
  <si>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</si>
  <si>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</si>
  <si>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</si>
  <si>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</si>
  <si>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</si>
  <si>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</si>
  <si>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</si>
  <si>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</si>
  <si>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</si>
  <si>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</si>
  <si>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</si>
  <si>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</si>
  <si>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</si>
  <si>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</si>
  <si>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</si>
  <si>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</si>
  <si>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</si>
  <si>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</si>
  <si>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</si>
  <si>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</si>
  <si>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</si>
  <si>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</si>
  <si>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</si>
  <si>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</si>
  <si>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</si>
  <si>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</si>
  <si>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</si>
  <si>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</si>
  <si>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</si>
  <si>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</si>
  <si>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</si>
  <si>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</si>
  <si>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</si>
  <si>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</si>
  <si>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埼玉県民間事業者ＣＯ₂排出削減設備導入補助金 変更（廃止）事業計画書
（暑さ対策設備等導入事業）</t>
    <rPh sb="0" eb="2">
      <t>サイタマ</t>
    </rPh>
    <rPh sb="2" eb="3">
      <t>ケン</t>
    </rPh>
    <rPh sb="3" eb="5">
      <t>ミンカン</t>
    </rPh>
    <rPh sb="5" eb="8">
      <t>ジギョウシャ</t>
    </rPh>
    <rPh sb="11" eb="13">
      <t>ハイシュツ</t>
    </rPh>
    <rPh sb="13" eb="15">
      <t>サクゲン</t>
    </rPh>
    <rPh sb="15" eb="17">
      <t>セツビ</t>
    </rPh>
    <rPh sb="17" eb="19">
      <t>ドウニュウ</t>
    </rPh>
    <rPh sb="19" eb="22">
      <t>ホジョキン</t>
    </rPh>
    <rPh sb="23" eb="25">
      <t>ヘンコウ</t>
    </rPh>
    <rPh sb="26" eb="28">
      <t>ハイシ</t>
    </rPh>
    <rPh sb="29" eb="31">
      <t>ジギョウ</t>
    </rPh>
    <rPh sb="31" eb="34">
      <t>ケイカクショ</t>
    </rPh>
    <rPh sb="36" eb="37">
      <t>アツ</t>
    </rPh>
    <rPh sb="38" eb="40">
      <t>タイサク</t>
    </rPh>
    <rPh sb="40" eb="42">
      <t>セツビ</t>
    </rPh>
    <rPh sb="42" eb="43">
      <t>トウ</t>
    </rPh>
    <rPh sb="43" eb="45">
      <t>ドウニュウ</t>
    </rPh>
    <rPh sb="45" eb="47">
      <t>ジギョウ</t>
    </rPh>
    <phoneticPr fontId="22"/>
  </si>
  <si>
    <t>変更（廃止）の事由・要旨</t>
    <phoneticPr fontId="2"/>
  </si>
  <si>
    <r>
      <t>屋根</t>
    </r>
    <r>
      <rPr>
        <sz val="11"/>
        <color rgb="FFFF0000"/>
        <rFont val="ＭＳ ゴシック"/>
        <family val="3"/>
        <charset val="128"/>
      </rPr>
      <t>遮熱</t>
    </r>
    <rPh sb="0" eb="2">
      <t>ヤネ</t>
    </rPh>
    <rPh sb="2" eb="4">
      <t>シャネツ</t>
    </rPh>
    <phoneticPr fontId="2"/>
  </si>
  <si>
    <t>屋根断熱</t>
    <rPh sb="0" eb="4">
      <t>ヤネダンネツ</t>
    </rPh>
    <phoneticPr fontId="2"/>
  </si>
  <si>
    <r>
      <t>外壁</t>
    </r>
    <r>
      <rPr>
        <sz val="11"/>
        <color rgb="FFFF0000"/>
        <rFont val="ＭＳ ゴシック"/>
        <family val="3"/>
        <charset val="128"/>
      </rPr>
      <t>遮熱</t>
    </r>
    <rPh sb="0" eb="2">
      <t>ガイヘキ</t>
    </rPh>
    <rPh sb="2" eb="4">
      <t>シャネツ</t>
    </rPh>
    <phoneticPr fontId="2"/>
  </si>
  <si>
    <t>外壁断熱</t>
    <rPh sb="0" eb="4">
      <t>ガイヘキダンネツ</t>
    </rPh>
    <phoneticPr fontId="2"/>
  </si>
  <si>
    <t>役職名</t>
    <phoneticPr fontId="2"/>
  </si>
  <si>
    <t>令和４年度</t>
    <rPh sb="0" eb="2">
      <t>レイワ</t>
    </rPh>
    <rPh sb="3" eb="5">
      <t>ネンド</t>
    </rPh>
    <phoneticPr fontId="22"/>
  </si>
  <si>
    <t>ＣＯ₂排出量換算チェックシート</t>
    <rPh sb="3" eb="5">
      <t>ハイシュツ</t>
    </rPh>
    <rPh sb="5" eb="6">
      <t>リョウ</t>
    </rPh>
    <rPh sb="6" eb="8">
      <t>カンサン</t>
    </rPh>
    <phoneticPr fontId="22"/>
  </si>
  <si>
    <t>１．CO₂排出量換算計算</t>
    <rPh sb="5" eb="7">
      <t>ハイシュツ</t>
    </rPh>
    <rPh sb="7" eb="8">
      <t>リョウ</t>
    </rPh>
    <rPh sb="8" eb="10">
      <t>カンサン</t>
    </rPh>
    <rPh sb="10" eb="12">
      <t>ケイサン</t>
    </rPh>
    <phoneticPr fontId="139"/>
  </si>
  <si>
    <t>事業者名：</t>
    <rPh sb="0" eb="1">
      <t>ジ</t>
    </rPh>
    <rPh sb="1" eb="2">
      <t>ギョウ</t>
    </rPh>
    <rPh sb="2" eb="3">
      <t>シャ</t>
    </rPh>
    <rPh sb="3" eb="4">
      <t>メイ</t>
    </rPh>
    <phoneticPr fontId="22"/>
  </si>
  <si>
    <t>○○○○○○ 様</t>
    <rPh sb="7" eb="8">
      <t>サマ</t>
    </rPh>
    <phoneticPr fontId="22"/>
  </si>
  <si>
    <t>作成日：</t>
    <rPh sb="0" eb="2">
      <t>サクセイ</t>
    </rPh>
    <rPh sb="2" eb="3">
      <t>ヒ</t>
    </rPh>
    <phoneticPr fontId="22"/>
  </si>
  <si>
    <t>令和○○年 ○月○○日</t>
    <rPh sb="0" eb="1">
      <t>レイ</t>
    </rPh>
    <rPh sb="1" eb="2">
      <t>ワ</t>
    </rPh>
    <phoneticPr fontId="22"/>
  </si>
  <si>
    <t>期  間：</t>
    <rPh sb="0" eb="1">
      <t>キ</t>
    </rPh>
    <rPh sb="3" eb="4">
      <t>アイダ</t>
    </rPh>
    <phoneticPr fontId="22"/>
  </si>
  <si>
    <t>○○○○年４月～○○○○年３月</t>
  </si>
  <si>
    <t>係数：埼玉県目標設定型排出量取引制度で使用している換算係数</t>
    <phoneticPr fontId="139"/>
  </si>
  <si>
    <t>種　　　類</t>
    <rPh sb="0" eb="1">
      <t>シュ</t>
    </rPh>
    <rPh sb="4" eb="5">
      <t>ルイ</t>
    </rPh>
    <phoneticPr fontId="22"/>
  </si>
  <si>
    <t>使用量</t>
    <rPh sb="0" eb="3">
      <t>シヨウリョウ</t>
    </rPh>
    <phoneticPr fontId="22"/>
  </si>
  <si>
    <t>ＣＯ₂排出係数</t>
    <phoneticPr fontId="22"/>
  </si>
  <si>
    <t>ＣＯ₂排出量</t>
    <rPh sb="3" eb="5">
      <t>ハイシュツ</t>
    </rPh>
    <rPh sb="5" eb="6">
      <t>リョウ</t>
    </rPh>
    <phoneticPr fontId="22"/>
  </si>
  <si>
    <t>①×②</t>
    <phoneticPr fontId="22"/>
  </si>
  <si>
    <t>③</t>
    <phoneticPr fontId="22"/>
  </si>
  <si>
    <t>②×③</t>
    <phoneticPr fontId="22"/>
  </si>
  <si>
    <t>①×②×③</t>
    <phoneticPr fontId="22"/>
  </si>
  <si>
    <t>①×④</t>
    <phoneticPr fontId="22"/>
  </si>
  <si>
    <t>数値</t>
    <rPh sb="0" eb="2">
      <t>スウチ</t>
    </rPh>
    <phoneticPr fontId="22"/>
  </si>
  <si>
    <t>t-ＣＯ₂</t>
    <phoneticPr fontId="22"/>
  </si>
  <si>
    <t>燃料及び熱</t>
    <rPh sb="0" eb="2">
      <t>ネンリョウ</t>
    </rPh>
    <rPh sb="2" eb="3">
      <t>オヨ</t>
    </rPh>
    <rPh sb="4" eb="5">
      <t>ネツ</t>
    </rPh>
    <phoneticPr fontId="22"/>
  </si>
  <si>
    <t>原油
（コンデンセートを除く）</t>
    <rPh sb="0" eb="2">
      <t>ゲンユ</t>
    </rPh>
    <rPh sb="12" eb="13">
      <t>ノゾ</t>
    </rPh>
    <phoneticPr fontId="22"/>
  </si>
  <si>
    <t>揮発油
（ガソリン）</t>
    <rPh sb="0" eb="3">
      <t>キハツユ</t>
    </rPh>
    <phoneticPr fontId="22"/>
  </si>
  <si>
    <t>ナフサ</t>
    <phoneticPr fontId="22"/>
  </si>
  <si>
    <t>Ｂ・Ｃ重油</t>
    <rPh sb="3" eb="5">
      <t>ジュウユ</t>
    </rPh>
    <phoneticPr fontId="22"/>
  </si>
  <si>
    <t>石油アスファルト</t>
    <rPh sb="0" eb="2">
      <t>セキユ</t>
    </rPh>
    <phoneticPr fontId="22"/>
  </si>
  <si>
    <t>石油ガス</t>
    <rPh sb="0" eb="2">
      <t>セキユ</t>
    </rPh>
    <phoneticPr fontId="22"/>
  </si>
  <si>
    <r>
      <t xml:space="preserve">液化石油ガス
（ＬＰＧ： </t>
    </r>
    <r>
      <rPr>
        <b/>
        <sz val="10"/>
        <rFont val="ＭＳ Ｐゴシック"/>
        <family val="3"/>
        <charset val="128"/>
      </rPr>
      <t>ｔ</t>
    </r>
    <r>
      <rPr>
        <sz val="9"/>
        <rFont val="ＭＳ Ｐゴシック"/>
        <family val="3"/>
        <charset val="128"/>
      </rPr>
      <t>）</t>
    </r>
    <phoneticPr fontId="22"/>
  </si>
  <si>
    <r>
      <t xml:space="preserve">液化石油ガス
（ＬＰＧ： </t>
    </r>
    <r>
      <rPr>
        <b/>
        <sz val="10"/>
        <rFont val="ＭＳ Ｐゴシック"/>
        <family val="3"/>
        <charset val="128"/>
      </rPr>
      <t>㎥</t>
    </r>
    <r>
      <rPr>
        <sz val="9"/>
        <rFont val="ＭＳ Ｐゴシック"/>
        <family val="3"/>
        <charset val="128"/>
      </rPr>
      <t>）</t>
    </r>
    <phoneticPr fontId="22"/>
  </si>
  <si>
    <t>㎥</t>
    <phoneticPr fontId="22"/>
  </si>
  <si>
    <t>GJ/㎥</t>
    <phoneticPr fontId="22"/>
  </si>
  <si>
    <t>石油系炭化水素ガス</t>
    <rPh sb="0" eb="3">
      <t>セキユケイ</t>
    </rPh>
    <rPh sb="3" eb="5">
      <t>タンカ</t>
    </rPh>
    <rPh sb="5" eb="7">
      <t>スイソ</t>
    </rPh>
    <phoneticPr fontId="22"/>
  </si>
  <si>
    <r>
      <t>千Nｍ</t>
    </r>
    <r>
      <rPr>
        <b/>
        <vertAlign val="superscript"/>
        <sz val="11"/>
        <rFont val="ＭＳ Ｐ明朝"/>
        <family val="1"/>
        <charset val="128"/>
      </rPr>
      <t>3</t>
    </r>
    <rPh sb="0" eb="1">
      <t>セン</t>
    </rPh>
    <phoneticPr fontId="22"/>
  </si>
  <si>
    <r>
      <t>GJ/千Nｍ</t>
    </r>
    <r>
      <rPr>
        <vertAlign val="superscript"/>
        <sz val="9"/>
        <rFont val="ＭＳ Ｐ明朝"/>
        <family val="1"/>
        <charset val="128"/>
      </rPr>
      <t>3</t>
    </r>
    <phoneticPr fontId="22"/>
  </si>
  <si>
    <t>液化天然ガス
(LNG)</t>
    <rPh sb="0" eb="2">
      <t>エキカ</t>
    </rPh>
    <rPh sb="2" eb="4">
      <t>テンネン</t>
    </rPh>
    <phoneticPr fontId="22"/>
  </si>
  <si>
    <t>石炭</t>
    <rPh sb="0" eb="2">
      <t>セキタン</t>
    </rPh>
    <phoneticPr fontId="22"/>
  </si>
  <si>
    <t>原料炭</t>
    <rPh sb="0" eb="2">
      <t>ゲンリョウ</t>
    </rPh>
    <rPh sb="2" eb="3">
      <t>タン</t>
    </rPh>
    <phoneticPr fontId="22"/>
  </si>
  <si>
    <t>一般炭</t>
    <rPh sb="0" eb="2">
      <t>イッパン</t>
    </rPh>
    <rPh sb="2" eb="3">
      <t>タン</t>
    </rPh>
    <phoneticPr fontId="22"/>
  </si>
  <si>
    <t>無煙炭</t>
    <rPh sb="0" eb="3">
      <t>ムエンタン</t>
    </rPh>
    <phoneticPr fontId="22"/>
  </si>
  <si>
    <t>石炭コークス</t>
    <rPh sb="0" eb="2">
      <t>セキタン</t>
    </rPh>
    <phoneticPr fontId="22"/>
  </si>
  <si>
    <r>
      <t>千ｍ</t>
    </r>
    <r>
      <rPr>
        <b/>
        <vertAlign val="superscript"/>
        <sz val="11"/>
        <rFont val="ＭＳ Ｐ明朝"/>
        <family val="1"/>
        <charset val="128"/>
      </rPr>
      <t>3</t>
    </r>
    <rPh sb="0" eb="1">
      <t>セン</t>
    </rPh>
    <phoneticPr fontId="22"/>
  </si>
  <si>
    <r>
      <t>GJ/千ｍ</t>
    </r>
    <r>
      <rPr>
        <vertAlign val="superscript"/>
        <sz val="9"/>
        <rFont val="ＭＳ Ｐ明朝"/>
        <family val="1"/>
        <charset val="128"/>
      </rPr>
      <t>3</t>
    </r>
    <phoneticPr fontId="22"/>
  </si>
  <si>
    <r>
      <t>千Nｍ</t>
    </r>
    <r>
      <rPr>
        <vertAlign val="superscript"/>
        <sz val="10"/>
        <rFont val="ＭＳ Ｐ明朝"/>
        <family val="1"/>
        <charset val="128"/>
      </rPr>
      <t>3</t>
    </r>
    <rPh sb="0" eb="1">
      <t>セン</t>
    </rPh>
    <phoneticPr fontId="22"/>
  </si>
  <si>
    <t>産業用蒸気</t>
    <rPh sb="0" eb="3">
      <t>サンギョウヨウ</t>
    </rPh>
    <rPh sb="3" eb="5">
      <t>ジョウキ</t>
    </rPh>
    <phoneticPr fontId="22"/>
  </si>
  <si>
    <t>GJ/GJ</t>
    <phoneticPr fontId="22"/>
  </si>
  <si>
    <t>電気</t>
    <rPh sb="0" eb="2">
      <t>デンキ</t>
    </rPh>
    <phoneticPr fontId="22"/>
  </si>
  <si>
    <t>※「種類」は主なもののみ、これ以外は省略</t>
    <rPh sb="2" eb="4">
      <t>シュルイ</t>
    </rPh>
    <rPh sb="6" eb="7">
      <t>オモ</t>
    </rPh>
    <rPh sb="15" eb="17">
      <t>イガイ</t>
    </rPh>
    <rPh sb="18" eb="20">
      <t>ショウリャク</t>
    </rPh>
    <phoneticPr fontId="33"/>
  </si>
  <si>
    <t>※都市ガス、電気の「単位当たり発熱量」は、便宜的に上記数値で計算</t>
    <rPh sb="1" eb="3">
      <t>トシ</t>
    </rPh>
    <rPh sb="6" eb="8">
      <t>デンキ</t>
    </rPh>
    <rPh sb="10" eb="12">
      <t>タンイ</t>
    </rPh>
    <rPh sb="12" eb="13">
      <t>ア</t>
    </rPh>
    <rPh sb="15" eb="17">
      <t>ハツネツ</t>
    </rPh>
    <rPh sb="17" eb="18">
      <t>リョウ</t>
    </rPh>
    <rPh sb="21" eb="24">
      <t>ベンギテキ</t>
    </rPh>
    <rPh sb="25" eb="27">
      <t>ジョウキ</t>
    </rPh>
    <rPh sb="27" eb="29">
      <t>スウチ</t>
    </rPh>
    <rPh sb="30" eb="32">
      <t>ケイサン</t>
    </rPh>
    <phoneticPr fontId="33"/>
  </si>
  <si>
    <t>※LPG：1㎥＝２．０７５㎏（その他組成）</t>
    <rPh sb="17" eb="18">
      <t>タ</t>
    </rPh>
    <rPh sb="18" eb="20">
      <t>ソセイ</t>
    </rPh>
    <phoneticPr fontId="33"/>
  </si>
  <si>
    <r>
      <t xml:space="preserve">２．効果計算係数
</t>
    </r>
    <r>
      <rPr>
        <sz val="9"/>
        <color theme="1"/>
        <rFont val="ＭＳ Ｐ明朝"/>
        <family val="1"/>
        <charset val="128"/>
      </rPr>
      <t/>
    </r>
    <rPh sb="2" eb="4">
      <t>コウカ</t>
    </rPh>
    <rPh sb="4" eb="6">
      <t>ケイサン</t>
    </rPh>
    <rPh sb="6" eb="8">
      <t>ケイスウ</t>
    </rPh>
    <phoneticPr fontId="139"/>
  </si>
  <si>
    <t>（個票シート等で、エネルギー使用量、ＣＯ２排出量、削減金額等の算出には下表の係数を使用しています。）</t>
  </si>
  <si>
    <t>エネルギー
の種類</t>
    <rPh sb="7" eb="9">
      <t>シュルイ</t>
    </rPh>
    <phoneticPr fontId="139"/>
  </si>
  <si>
    <t>単価</t>
    <rPh sb="0" eb="2">
      <t>タンカ</t>
    </rPh>
    <phoneticPr fontId="139"/>
  </si>
  <si>
    <t>原油換算係数 *2</t>
    <rPh sb="0" eb="2">
      <t>ゲンユ</t>
    </rPh>
    <rPh sb="2" eb="4">
      <t>カンサン</t>
    </rPh>
    <rPh sb="4" eb="6">
      <t>ケイスウ</t>
    </rPh>
    <phoneticPr fontId="139"/>
  </si>
  <si>
    <r>
      <t>CO</t>
    </r>
    <r>
      <rPr>
        <vertAlign val="subscript"/>
        <sz val="10"/>
        <color theme="1"/>
        <rFont val="ＭＳ Ｐ明朝"/>
        <family val="1"/>
        <charset val="128"/>
      </rPr>
      <t>2</t>
    </r>
    <r>
      <rPr>
        <sz val="10"/>
        <color theme="1"/>
        <rFont val="ＭＳ Ｐ明朝"/>
        <family val="2"/>
        <charset val="128"/>
      </rPr>
      <t>排出係数</t>
    </r>
    <r>
      <rPr>
        <sz val="10"/>
        <color theme="1"/>
        <rFont val="ＭＳ Ｐ明朝"/>
        <family val="1"/>
        <charset val="128"/>
      </rPr>
      <t xml:space="preserve"> *2</t>
    </r>
    <rPh sb="3" eb="5">
      <t>ハイシュツ</t>
    </rPh>
    <rPh sb="5" eb="7">
      <t>ケイスウ</t>
    </rPh>
    <phoneticPr fontId="139"/>
  </si>
  <si>
    <t>記号</t>
    <rPh sb="0" eb="2">
      <t>キゴウ</t>
    </rPh>
    <phoneticPr fontId="139"/>
  </si>
  <si>
    <t>数値</t>
    <rPh sb="0" eb="2">
      <t>スウチ</t>
    </rPh>
    <phoneticPr fontId="139"/>
  </si>
  <si>
    <t>単位</t>
    <rPh sb="0" eb="2">
      <t>タンイ</t>
    </rPh>
    <phoneticPr fontId="139"/>
  </si>
  <si>
    <r>
      <t>電力</t>
    </r>
    <r>
      <rPr>
        <sz val="8"/>
        <color theme="1"/>
        <rFont val="ＭＳ Ｐ明朝"/>
        <family val="1"/>
        <charset val="128"/>
      </rPr>
      <t>　＊１</t>
    </r>
    <rPh sb="0" eb="2">
      <t>デンリョク</t>
    </rPh>
    <phoneticPr fontId="139"/>
  </si>
  <si>
    <t>dy</t>
    <phoneticPr fontId="139"/>
  </si>
  <si>
    <t>円/ｋWh</t>
    <rPh sb="0" eb="1">
      <t>エン</t>
    </rPh>
    <phoneticPr fontId="139"/>
  </si>
  <si>
    <t>do</t>
    <phoneticPr fontId="139"/>
  </si>
  <si>
    <t>ｋL/千ｋWh</t>
    <rPh sb="3" eb="4">
      <t>セン</t>
    </rPh>
    <phoneticPr fontId="139"/>
  </si>
  <si>
    <t>dc</t>
    <phoneticPr fontId="139"/>
  </si>
  <si>
    <r>
      <t>t-CO</t>
    </r>
    <r>
      <rPr>
        <vertAlign val="subscript"/>
        <sz val="10"/>
        <color theme="1"/>
        <rFont val="ＭＳ Ｐ明朝"/>
        <family val="1"/>
        <charset val="128"/>
      </rPr>
      <t>2</t>
    </r>
    <r>
      <rPr>
        <sz val="10"/>
        <color theme="1"/>
        <rFont val="ＭＳ Ｐ明朝"/>
        <family val="2"/>
        <charset val="128"/>
      </rPr>
      <t>/千ｋWh</t>
    </r>
    <rPh sb="6" eb="7">
      <t>セン</t>
    </rPh>
    <phoneticPr fontId="139"/>
  </si>
  <si>
    <t>灯油</t>
    <rPh sb="0" eb="2">
      <t>トウユ</t>
    </rPh>
    <phoneticPr fontId="139"/>
  </si>
  <si>
    <t>ｔｙ</t>
    <phoneticPr fontId="139"/>
  </si>
  <si>
    <t>円/L</t>
    <rPh sb="0" eb="1">
      <t>エン</t>
    </rPh>
    <phoneticPr fontId="139"/>
  </si>
  <si>
    <t>to</t>
    <phoneticPr fontId="139"/>
  </si>
  <si>
    <t>ｋL/ｋL</t>
    <phoneticPr fontId="139"/>
  </si>
  <si>
    <t>ｔｃ</t>
    <phoneticPr fontId="139"/>
  </si>
  <si>
    <r>
      <t>t-CO</t>
    </r>
    <r>
      <rPr>
        <vertAlign val="subscript"/>
        <sz val="10"/>
        <color theme="1"/>
        <rFont val="ＭＳ Ｐ明朝"/>
        <family val="1"/>
        <charset val="128"/>
      </rPr>
      <t>2</t>
    </r>
    <r>
      <rPr>
        <sz val="10"/>
        <color theme="1"/>
        <rFont val="ＭＳ Ｐ明朝"/>
        <family val="2"/>
        <charset val="128"/>
      </rPr>
      <t>/ｋL</t>
    </r>
    <phoneticPr fontId="139"/>
  </si>
  <si>
    <t>A重油</t>
    <rPh sb="1" eb="3">
      <t>ジュウユ</t>
    </rPh>
    <phoneticPr fontId="139"/>
  </si>
  <si>
    <t>ay</t>
    <phoneticPr fontId="139"/>
  </si>
  <si>
    <t>ao</t>
    <phoneticPr fontId="139"/>
  </si>
  <si>
    <t>ac</t>
    <phoneticPr fontId="139"/>
  </si>
  <si>
    <t>LPG(ｋｇ）</t>
    <phoneticPr fontId="139"/>
  </si>
  <si>
    <t>ｋy</t>
    <phoneticPr fontId="139"/>
  </si>
  <si>
    <t>円/ｋｇ</t>
    <phoneticPr fontId="139"/>
  </si>
  <si>
    <t>ｋo</t>
    <phoneticPr fontId="139"/>
  </si>
  <si>
    <r>
      <t>ｋL/</t>
    </r>
    <r>
      <rPr>
        <sz val="10"/>
        <rFont val="ＭＳ Ｐ明朝"/>
        <family val="1"/>
        <charset val="128"/>
      </rPr>
      <t>t</t>
    </r>
    <phoneticPr fontId="139"/>
  </si>
  <si>
    <t>ｋc</t>
    <phoneticPr fontId="139"/>
  </si>
  <si>
    <r>
      <t>t-CO</t>
    </r>
    <r>
      <rPr>
        <vertAlign val="subscript"/>
        <sz val="10"/>
        <color theme="1"/>
        <rFont val="ＭＳ Ｐ明朝"/>
        <family val="1"/>
        <charset val="128"/>
      </rPr>
      <t>2</t>
    </r>
    <r>
      <rPr>
        <sz val="10"/>
        <color theme="1"/>
        <rFont val="ＭＳ Ｐ明朝"/>
        <family val="2"/>
        <charset val="128"/>
      </rPr>
      <t>/</t>
    </r>
    <r>
      <rPr>
        <sz val="10"/>
        <rFont val="ＭＳ Ｐ明朝"/>
        <family val="1"/>
        <charset val="128"/>
      </rPr>
      <t>ｔ</t>
    </r>
    <phoneticPr fontId="139"/>
  </si>
  <si>
    <t>ガソリン</t>
    <phoneticPr fontId="139"/>
  </si>
  <si>
    <t>ｋL/ｋL</t>
  </si>
  <si>
    <t>t-CO2/ｋL</t>
  </si>
  <si>
    <t>LPG（㎥）</t>
    <phoneticPr fontId="139"/>
  </si>
  <si>
    <t>ｍy</t>
    <phoneticPr fontId="139"/>
  </si>
  <si>
    <t>円/㎥</t>
    <phoneticPr fontId="139"/>
  </si>
  <si>
    <t>ｍo</t>
    <phoneticPr fontId="139"/>
  </si>
  <si>
    <t>ｋL/㎥</t>
    <phoneticPr fontId="139"/>
  </si>
  <si>
    <t>ｍc</t>
    <phoneticPr fontId="139"/>
  </si>
  <si>
    <r>
      <t>t-CO</t>
    </r>
    <r>
      <rPr>
        <vertAlign val="subscript"/>
        <sz val="10"/>
        <rFont val="ＭＳ Ｐ明朝"/>
        <family val="1"/>
        <charset val="128"/>
      </rPr>
      <t>2</t>
    </r>
    <r>
      <rPr>
        <sz val="10"/>
        <rFont val="ＭＳ Ｐ明朝"/>
        <family val="1"/>
        <charset val="128"/>
      </rPr>
      <t>/㎥</t>
    </r>
    <phoneticPr fontId="139"/>
  </si>
  <si>
    <t>軽油</t>
    <rPh sb="0" eb="2">
      <t>ケイユ</t>
    </rPh>
    <phoneticPr fontId="139"/>
  </si>
  <si>
    <t>円/㎥</t>
  </si>
  <si>
    <t>ｋL/㎥</t>
  </si>
  <si>
    <t>t-CO2/㎥</t>
  </si>
  <si>
    <t>都市ガス　１３A</t>
    <rPh sb="0" eb="2">
      <t>トシ</t>
    </rPh>
    <phoneticPr fontId="139"/>
  </si>
  <si>
    <t>gy</t>
    <phoneticPr fontId="139"/>
  </si>
  <si>
    <t>円/㎥</t>
    <rPh sb="0" eb="1">
      <t>エン</t>
    </rPh>
    <phoneticPr fontId="139"/>
  </si>
  <si>
    <t>go</t>
    <phoneticPr fontId="139"/>
  </si>
  <si>
    <t>ｋL/千㎥</t>
    <rPh sb="3" eb="4">
      <t>セン</t>
    </rPh>
    <phoneticPr fontId="139"/>
  </si>
  <si>
    <t>gc</t>
    <phoneticPr fontId="139"/>
  </si>
  <si>
    <r>
      <t>t-CO</t>
    </r>
    <r>
      <rPr>
        <vertAlign val="subscript"/>
        <sz val="10"/>
        <color theme="1"/>
        <rFont val="ＭＳ Ｐ明朝"/>
        <family val="1"/>
        <charset val="128"/>
      </rPr>
      <t>2</t>
    </r>
    <r>
      <rPr>
        <sz val="10"/>
        <color theme="1"/>
        <rFont val="ＭＳ Ｐ明朝"/>
        <family val="2"/>
        <charset val="128"/>
      </rPr>
      <t>/千㎥</t>
    </r>
    <rPh sb="6" eb="7">
      <t>セン</t>
    </rPh>
    <phoneticPr fontId="139"/>
  </si>
  <si>
    <t>円/ｋｇ</t>
  </si>
  <si>
    <t>ｘｙ</t>
    <phoneticPr fontId="139"/>
  </si>
  <si>
    <t>ｘｏ</t>
    <phoneticPr fontId="139"/>
  </si>
  <si>
    <t>ｘｃ</t>
    <phoneticPr fontId="139"/>
  </si>
  <si>
    <t>ｋL/t</t>
  </si>
  <si>
    <t>t-CO2/ｔ</t>
  </si>
  <si>
    <t>＊１：単価は Ⅲ.エネルギーの使用状況シートの表より。　　＊２：係数は埼玉県排出量取引制度ガイドラインによります。</t>
    <rPh sb="3" eb="5">
      <t>タンカ</t>
    </rPh>
    <rPh sb="15" eb="17">
      <t>シヨウ</t>
    </rPh>
    <rPh sb="17" eb="19">
      <t>ジョウキョウ</t>
    </rPh>
    <rPh sb="23" eb="24">
      <t>ヒョウ</t>
    </rPh>
    <rPh sb="32" eb="34">
      <t>ケイスウ</t>
    </rPh>
    <rPh sb="35" eb="38">
      <t>サイタマケン</t>
    </rPh>
    <rPh sb="38" eb="40">
      <t>ハイシュツ</t>
    </rPh>
    <rPh sb="40" eb="41">
      <t>リョウ</t>
    </rPh>
    <rPh sb="41" eb="43">
      <t>トリヒキ</t>
    </rPh>
    <rPh sb="43" eb="45">
      <t>セイド</t>
    </rPh>
    <phoneticPr fontId="139"/>
  </si>
  <si>
    <t>原油のうちコンデンセート（ＮＧＬ）、石油コークス、コークス炉ガス、高炉ガス、転炉ガス、コールタール、都市ガス（６A)、産業用以外の蒸気、温水、冷水の行を削除し、ＣＯ₂排出量の列を追加した。</t>
    <rPh sb="59" eb="62">
      <t>サンギョウヨウ</t>
    </rPh>
    <rPh sb="62" eb="64">
      <t>イガイ</t>
    </rPh>
    <rPh sb="65" eb="67">
      <t>ジョウキ</t>
    </rPh>
    <rPh sb="68" eb="70">
      <t>オンスイ</t>
    </rPh>
    <rPh sb="71" eb="73">
      <t>レイスイ</t>
    </rPh>
    <phoneticPr fontId="22"/>
  </si>
  <si>
    <t>＊１　　都市ガスの「②単位当たり発熱量」については、標準状態（０℃、１気圧）を使用状態（１５℃）に換算する係数（０．９６６65）を
         標準状態における発熱量に掛けている。</t>
    <rPh sb="4" eb="6">
      <t>トシ</t>
    </rPh>
    <rPh sb="11" eb="13">
      <t>タンイ</t>
    </rPh>
    <rPh sb="13" eb="14">
      <t>ア</t>
    </rPh>
    <rPh sb="16" eb="17">
      <t>ハツ</t>
    </rPh>
    <rPh sb="17" eb="18">
      <t>ネツ</t>
    </rPh>
    <rPh sb="18" eb="19">
      <t>リョウ</t>
    </rPh>
    <rPh sb="26" eb="28">
      <t>ヒョウジュン</t>
    </rPh>
    <rPh sb="28" eb="30">
      <t>ジョウタイ</t>
    </rPh>
    <rPh sb="35" eb="37">
      <t>キアツ</t>
    </rPh>
    <rPh sb="39" eb="41">
      <t>シヨウ</t>
    </rPh>
    <rPh sb="41" eb="43">
      <t>ジョウタイ</t>
    </rPh>
    <rPh sb="49" eb="51">
      <t>カンサン</t>
    </rPh>
    <rPh sb="53" eb="55">
      <t>ケイスウ</t>
    </rPh>
    <rPh sb="75" eb="77">
      <t>ヒョウジュン</t>
    </rPh>
    <rPh sb="77" eb="79">
      <t>ジョウタイ</t>
    </rPh>
    <rPh sb="83" eb="85">
      <t>ハツネツ</t>
    </rPh>
    <rPh sb="85" eb="86">
      <t>リョウ</t>
    </rPh>
    <rPh sb="87" eb="88">
      <t>カ</t>
    </rPh>
    <phoneticPr fontId="22"/>
  </si>
  <si>
    <r>
      <t>＊２　　１３A(４５MJ/㎥）：東京ガス、武州ガス、大東ガス、伊</t>
    </r>
    <r>
      <rPr>
        <strike/>
        <sz val="10"/>
        <color rgb="FFFF0000"/>
        <rFont val="ＭＳ Ｐ明朝"/>
        <family val="1"/>
        <charset val="128"/>
      </rPr>
      <t>奈</t>
    </r>
    <r>
      <rPr>
        <strike/>
        <sz val="10"/>
        <color indexed="8"/>
        <rFont val="ＭＳ Ｐ明朝"/>
        <family val="1"/>
        <charset val="128"/>
      </rPr>
      <t>都市ガス、角栄ガス、幸手都市ガス、松栄ガス、
　　　　　　　　　　　　　　　坂戸ガス、日高都市ガス、鷺宮ガス</t>
    </r>
    <r>
      <rPr>
        <strike/>
        <sz val="10"/>
        <color rgb="FFFF0000"/>
        <rFont val="ＭＳ Ｐ明朝"/>
        <family val="1"/>
        <charset val="128"/>
      </rPr>
      <t>、東彩ガス、武蔵野ガス、太田都市ガス</t>
    </r>
    <rPh sb="16" eb="18">
      <t>トウキョウ</t>
    </rPh>
    <rPh sb="21" eb="23">
      <t>ブシュウ</t>
    </rPh>
    <rPh sb="26" eb="28">
      <t>ダイトウ</t>
    </rPh>
    <rPh sb="31" eb="33">
      <t>イナ</t>
    </rPh>
    <rPh sb="33" eb="35">
      <t>トシ</t>
    </rPh>
    <rPh sb="38" eb="40">
      <t>カクエイ</t>
    </rPh>
    <rPh sb="43" eb="45">
      <t>サッテ</t>
    </rPh>
    <rPh sb="45" eb="47">
      <t>トシ</t>
    </rPh>
    <rPh sb="50" eb="51">
      <t>マツ</t>
    </rPh>
    <rPh sb="51" eb="52">
      <t>サカエ</t>
    </rPh>
    <rPh sb="88" eb="89">
      <t>トウ</t>
    </rPh>
    <rPh sb="89" eb="90">
      <t>サイ</t>
    </rPh>
    <rPh sb="93" eb="96">
      <t>ムサシノ</t>
    </rPh>
    <rPh sb="99" eb="101">
      <t>オオタ</t>
    </rPh>
    <rPh sb="101" eb="103">
      <t>トシ</t>
    </rPh>
    <phoneticPr fontId="22"/>
  </si>
  <si>
    <r>
      <t>　　　　１３A(４３．１２MJ/㎥）：入間ガス、新日本瓦斯、西武ガス</t>
    </r>
    <r>
      <rPr>
        <strike/>
        <sz val="10"/>
        <color rgb="FFFF0000"/>
        <rFont val="ＭＳ Ｐ明朝"/>
        <family val="1"/>
        <charset val="128"/>
      </rPr>
      <t>、埼玉ガス、本庄ガスの一部</t>
    </r>
    <rPh sb="19" eb="21">
      <t>イルマ</t>
    </rPh>
    <rPh sb="24" eb="27">
      <t>シンニホン</t>
    </rPh>
    <rPh sb="27" eb="29">
      <t>ガス</t>
    </rPh>
    <rPh sb="30" eb="32">
      <t>セイブ</t>
    </rPh>
    <rPh sb="40" eb="42">
      <t>ホンジョウ</t>
    </rPh>
    <rPh sb="45" eb="47">
      <t>イチブ</t>
    </rPh>
    <phoneticPr fontId="22"/>
  </si>
  <si>
    <t>　　　　１３A(４６．０４MJ/㎥）：秩父ガス</t>
    <rPh sb="19" eb="21">
      <t>チチブ</t>
    </rPh>
    <phoneticPr fontId="22"/>
  </si>
  <si>
    <r>
      <t>　　　　１２A（４１．８６MJ/㎥）：</t>
    </r>
    <r>
      <rPr>
        <strike/>
        <sz val="10"/>
        <color rgb="FFFF0000"/>
        <rFont val="ＭＳ Ｐ明朝"/>
        <family val="1"/>
        <charset val="128"/>
      </rPr>
      <t>本庄ガスの一部</t>
    </r>
    <rPh sb="19" eb="21">
      <t>ホンジョウ</t>
    </rPh>
    <rPh sb="24" eb="26">
      <t>イチブ</t>
    </rPh>
    <phoneticPr fontId="22"/>
  </si>
  <si>
    <t>＊３　　都市ガスは１３Ａ低圧として、43.5MJ/m³で統一</t>
    <rPh sb="4" eb="6">
      <t>トシ</t>
    </rPh>
    <rPh sb="12" eb="14">
      <t>テイアツ</t>
    </rPh>
    <rPh sb="28" eb="30">
      <t>トウイツ</t>
    </rPh>
    <phoneticPr fontId="168"/>
  </si>
  <si>
    <t>＊４　　LPGの産気率はその他（４８２m³/ｋｇ）とした。</t>
    <rPh sb="8" eb="9">
      <t>サン</t>
    </rPh>
    <rPh sb="9" eb="10">
      <t>キ</t>
    </rPh>
    <rPh sb="10" eb="11">
      <t>リツ</t>
    </rPh>
    <rPh sb="14" eb="15">
      <t>タ</t>
    </rPh>
    <phoneticPr fontId="168"/>
  </si>
  <si>
    <t>法定耐用年数</t>
    <rPh sb="0" eb="6">
      <t>ホウテイタイヨウネンスウ</t>
    </rPh>
    <phoneticPr fontId="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</si>
  <si>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 xml:space="preserve">（複数用途がある場合、施工別に記入する）
</t>
    </r>
    <rPh sb="0" eb="2">
      <t>ホウテイ</t>
    </rPh>
    <rPh sb="2" eb="4">
      <t>タイヨウ</t>
    </rPh>
    <rPh sb="4" eb="6">
      <t>ネンスウ</t>
    </rPh>
    <rPh sb="8" eb="10">
      <t>フクスウ</t>
    </rPh>
    <rPh sb="10" eb="12">
      <t>ヨウト</t>
    </rPh>
    <rPh sb="15" eb="17">
      <t>バアイ</t>
    </rPh>
    <rPh sb="18" eb="20">
      <t>セコウ</t>
    </rPh>
    <rPh sb="20" eb="21">
      <t>ベツ</t>
    </rPh>
    <rPh sb="22" eb="24">
      <t>キニュウ</t>
    </rPh>
    <phoneticPr fontId="2"/>
  </si>
  <si>
    <r>
      <t>CO</t>
    </r>
    <r>
      <rPr>
        <vertAlign val="subscript"/>
        <sz val="10"/>
        <color indexed="8"/>
        <rFont val="ＭＳ Ｐゴシック"/>
        <family val="3"/>
        <charset val="128"/>
      </rPr>
      <t>2</t>
    </r>
    <r>
      <rPr>
        <sz val="10"/>
        <color indexed="8"/>
        <rFont val="ＭＳ Ｐゴシック"/>
        <family val="3"/>
        <charset val="128"/>
      </rPr>
      <t>排出削減予測量</t>
    </r>
    <r>
      <rPr>
        <sz val="10"/>
        <color theme="1"/>
        <rFont val="ＭＳ Ｐゴシック"/>
        <family val="3"/>
        <charset val="128"/>
        <scheme val="minor"/>
      </rPr>
      <t>（合計）</t>
    </r>
    <rPh sb="3" eb="5">
      <t>ハイシュツ</t>
    </rPh>
    <rPh sb="5" eb="7">
      <t>サクゲン</t>
    </rPh>
    <rPh sb="7" eb="9">
      <t>ヨソク</t>
    </rPh>
    <rPh sb="9" eb="10">
      <t>リョウ</t>
    </rPh>
    <rPh sb="11" eb="13">
      <t>ゴウケイ</t>
    </rPh>
    <phoneticPr fontId="22"/>
  </si>
  <si>
    <t>費用対効果</t>
    <rPh sb="0" eb="5">
      <t>ヒヨウタイコウカ</t>
    </rPh>
    <phoneticPr fontId="2"/>
  </si>
  <si>
    <t>t-CO₂/百万円</t>
    <rPh sb="6" eb="9">
      <t>ヒャクマンエン</t>
    </rPh>
    <phoneticPr fontId="2"/>
  </si>
  <si>
    <t>令和　　年　　月　　日</t>
    <phoneticPr fontId="2"/>
  </si>
  <si>
    <t>（あて先）</t>
  </si>
  <si>
    <t>（民間事業者）</t>
  </si>
  <si>
    <t>所在地　</t>
  </si>
  <si>
    <t>団体名　</t>
  </si>
  <si>
    <t>（リース事業者）</t>
  </si>
  <si>
    <t>照明</t>
    <rPh sb="0" eb="2">
      <t>ショウメイ</t>
    </rPh>
    <phoneticPr fontId="22"/>
  </si>
  <si>
    <t>蛍光灯</t>
    <rPh sb="0" eb="3">
      <t>ケイコウトウ</t>
    </rPh>
    <phoneticPr fontId="22"/>
  </si>
  <si>
    <t>水銀灯</t>
    <rPh sb="0" eb="3">
      <t>スイギントウ</t>
    </rPh>
    <phoneticPr fontId="22"/>
  </si>
  <si>
    <t>LED</t>
    <phoneticPr fontId="22"/>
  </si>
  <si>
    <t>埼玉県知事　　　　　　　　あて</t>
  </si>
  <si>
    <t>役職・代表者名　　　　　　　　　　　　　　　　　　</t>
  </si>
  <si>
    <t>役職・代表者名　　　　　　　　　　　　　　　　</t>
  </si>
  <si>
    <t>　埼玉県民間事業者ＣＯ２排出削減設備導入補助金　変更（廃止）承認申請書</t>
    <rPh sb="24" eb="26">
      <t>ヘンコウ</t>
    </rPh>
    <rPh sb="27" eb="29">
      <t>ハイシ</t>
    </rPh>
    <rPh sb="30" eb="32">
      <t>ショウニン</t>
    </rPh>
    <rPh sb="32" eb="34">
      <t>シンセイ</t>
    </rPh>
    <phoneticPr fontId="2"/>
  </si>
  <si>
    <t>に要する経費配分の変更</t>
    <rPh sb="1" eb="2">
      <t>ヨウ</t>
    </rPh>
    <rPh sb="4" eb="6">
      <t>ケイヒ</t>
    </rPh>
    <rPh sb="6" eb="8">
      <t>ハイブン</t>
    </rPh>
    <rPh sb="9" eb="11">
      <t>ヘンコウ</t>
    </rPh>
    <phoneticPr fontId="2"/>
  </si>
  <si>
    <t>補助事業</t>
    <rPh sb="0" eb="4">
      <t>ホジョジギョウ</t>
    </rPh>
    <phoneticPr fontId="2"/>
  </si>
  <si>
    <t>の　内　容　の　変　更</t>
    <rPh sb="2" eb="3">
      <t>ウチ</t>
    </rPh>
    <rPh sb="4" eb="5">
      <t>カタチ</t>
    </rPh>
    <rPh sb="8" eb="9">
      <t>ヘン</t>
    </rPh>
    <rPh sb="10" eb="11">
      <t>サラ</t>
    </rPh>
    <phoneticPr fontId="2"/>
  </si>
  <si>
    <t>　　の承認を受けたいので、</t>
    <rPh sb="3" eb="5">
      <t>ショウニン</t>
    </rPh>
    <rPh sb="6" eb="7">
      <t>ウ</t>
    </rPh>
    <phoneticPr fontId="2"/>
  </si>
  <si>
    <t>の　　　　廃　　　　止</t>
    <rPh sb="5" eb="6">
      <t>ハイ</t>
    </rPh>
    <rPh sb="10" eb="11">
      <t>トメ</t>
    </rPh>
    <phoneticPr fontId="2"/>
  </si>
  <si>
    <t>１　補助金の交付決定番号</t>
    <rPh sb="2" eb="5">
      <t>ホジョキン</t>
    </rPh>
    <rPh sb="6" eb="12">
      <t>コウフケッテイバンゴウ</t>
    </rPh>
    <phoneticPr fontId="2"/>
  </si>
  <si>
    <t>令和　　年　　月　　日付け　　温対　　　　　号</t>
    <rPh sb="0" eb="2">
      <t>レイワ</t>
    </rPh>
    <rPh sb="4" eb="5">
      <t>ネン</t>
    </rPh>
    <rPh sb="7" eb="8">
      <t>ガツ</t>
    </rPh>
    <rPh sb="10" eb="11">
      <t>ヒ</t>
    </rPh>
    <rPh sb="11" eb="12">
      <t>ヅ</t>
    </rPh>
    <rPh sb="15" eb="16">
      <t>オン</t>
    </rPh>
    <rPh sb="16" eb="17">
      <t>タイ</t>
    </rPh>
    <rPh sb="22" eb="23">
      <t>ゴウ</t>
    </rPh>
    <phoneticPr fontId="2"/>
  </si>
  <si>
    <t>２　変更（廃止）の理由</t>
    <rPh sb="2" eb="4">
      <t>ヘンコウ</t>
    </rPh>
    <rPh sb="5" eb="7">
      <t>ハイシ</t>
    </rPh>
    <rPh sb="9" eb="11">
      <t>リユウ</t>
    </rPh>
    <phoneticPr fontId="2"/>
  </si>
  <si>
    <t>３　関係書類</t>
    <phoneticPr fontId="2"/>
  </si>
  <si>
    <t>（１）その他知事が必要と認めるもの</t>
    <rPh sb="5" eb="6">
      <t>タ</t>
    </rPh>
    <rPh sb="6" eb="8">
      <t>チジ</t>
    </rPh>
    <rPh sb="9" eb="11">
      <t>ヒツヨウ</t>
    </rPh>
    <rPh sb="12" eb="13">
      <t>ミト</t>
    </rPh>
    <phoneticPr fontId="2"/>
  </si>
  <si>
    <t>（暑さ対策設備等導入事業）</t>
    <rPh sb="1" eb="2">
      <t>アツ</t>
    </rPh>
    <rPh sb="3" eb="5">
      <t>タイサク</t>
    </rPh>
    <rPh sb="5" eb="8">
      <t>セツビトウ</t>
    </rPh>
    <phoneticPr fontId="2"/>
  </si>
  <si>
    <t>　埼玉県民間事業者ＣＯ２排出削減設備導入補助金交付要綱第13条第１項の規定に基づき、補助金の交付について関係書類を添えて、次のとおり申請します。</t>
    <rPh sb="23" eb="25">
      <t>コウフ</t>
    </rPh>
    <phoneticPr fontId="2"/>
  </si>
  <si>
    <t/>
  </si>
  <si>
    <t>令和５年　　月　　日</t>
    <rPh sb="0" eb="1">
      <t>レイ</t>
    </rPh>
    <rPh sb="1" eb="2">
      <t>ワ</t>
    </rPh>
    <rPh sb="3" eb="4">
      <t>ネン</t>
    </rPh>
    <rPh sb="4" eb="5">
      <t>ガンネン</t>
    </rPh>
    <rPh sb="6" eb="7">
      <t>ガツ</t>
    </rPh>
    <rPh sb="9" eb="10">
      <t>ニチ</t>
    </rPh>
    <phoneticPr fontId="2"/>
  </si>
  <si>
    <t>原油換算
エネルギー使用量</t>
    <rPh sb="0" eb="2">
      <t>ゲンユ</t>
    </rPh>
    <rPh sb="2" eb="4">
      <t>カンサン</t>
    </rPh>
    <rPh sb="10" eb="12">
      <t>シヨウ</t>
    </rPh>
    <rPh sb="12" eb="13">
      <t>リョウ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</si>
</sst>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yyyy&quot;年&quot;m&quot;月&quot;d&quot;日&quot;;@"/>
    <numFmt numFmtId="191" formatCode="#,##0.000;[Red]\-#,##0.000"/>
    <numFmt numFmtId="192" formatCode="0.0;&quot;▲ &quot;0.0"/>
    <numFmt numFmtId="193" formatCode="#,##0.0;&quot;▲ &quot;#,##0.0"/>
    <numFmt numFmtId="194" formatCode="0.00000"/>
    <numFmt numFmtId="195" formatCode="#,##0.00_ "/>
    <numFmt numFmtId="196" formatCode="#,##0.000_ "/>
  </numFmts>
  <fonts count="173">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b/>
      <sz val="12"/>
      <color indexed="10"/>
      <name val="MS P ゴシック"/>
      <family val="3"/>
      <charset val="128"/>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sz val="10"/>
      <color rgb="FFFF0000"/>
      <name val="ＭＳ Ｐゴシック"/>
      <family val="2"/>
    </font>
    <font>
      <sz val="9"/>
      <color rgb="FFFF0000"/>
      <name val="ＭＳ Ｐゴシック"/>
      <family val="2"/>
    </font>
    <font>
      <sz val="9"/>
      <color rgb="FFFF0000"/>
      <name val="Arial"/>
      <family val="2"/>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ＭＳ Ｐゴシック"/>
      <family val="2"/>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
      <sz val="9"/>
      <color rgb="FFFF0000"/>
      <name val="ＭＳ Ｐゴシック"/>
      <family val="3"/>
      <charset val="128"/>
      <scheme val="minor"/>
    </font>
    <font>
      <b/>
      <sz val="10"/>
      <color indexed="81"/>
      <name val="MS P ゴシック"/>
      <family val="3"/>
      <charset val="128"/>
    </font>
    <font>
      <b/>
      <sz val="12"/>
      <color theme="1"/>
      <name val="ＭＳ ゴシック"/>
      <family val="3"/>
      <charset val="128"/>
    </font>
    <font>
      <sz val="18"/>
      <color indexed="8"/>
      <name val="ＭＳ Ｐゴシック"/>
      <family val="3"/>
      <charset val="128"/>
    </font>
    <font>
      <sz val="16"/>
      <color indexed="8"/>
      <name val="ＭＳ Ｐゴシック"/>
      <family val="3"/>
      <charset val="128"/>
    </font>
    <font>
      <sz val="6"/>
      <name val="ＭＳ Ｐ明朝"/>
      <family val="2"/>
      <charset val="128"/>
    </font>
    <font>
      <sz val="11"/>
      <color indexed="8"/>
      <name val="ＭＳ Ｐ明朝"/>
      <family val="1"/>
      <charset val="128"/>
    </font>
    <font>
      <sz val="10"/>
      <name val="ＭＳ Ｐゴシック"/>
      <family val="3"/>
      <charset val="128"/>
    </font>
    <font>
      <b/>
      <sz val="10"/>
      <name val="ＭＳ Ｐゴシック"/>
      <family val="3"/>
      <charset val="128"/>
    </font>
    <font>
      <b/>
      <sz val="10"/>
      <color indexed="8"/>
      <name val="ＭＳ Ｐゴシック"/>
      <family val="3"/>
      <charset val="128"/>
    </font>
    <font>
      <sz val="9"/>
      <color indexed="8"/>
      <name val="ＭＳ Ｐゴシック"/>
      <family val="3"/>
      <charset val="128"/>
    </font>
    <font>
      <sz val="10"/>
      <name val="ＭＳ Ｐ明朝"/>
      <family val="1"/>
      <charset val="128"/>
    </font>
    <font>
      <sz val="9"/>
      <name val="ＭＳ Ｐ明朝"/>
      <family val="1"/>
      <charset val="128"/>
    </font>
    <font>
      <sz val="10"/>
      <color indexed="8"/>
      <name val="ＭＳ Ｐ明朝"/>
      <family val="1"/>
      <charset val="128"/>
    </font>
    <font>
      <b/>
      <sz val="11"/>
      <name val="ＭＳ Ｐ明朝"/>
      <family val="1"/>
      <charset val="128"/>
    </font>
    <font>
      <sz val="9"/>
      <color indexed="8"/>
      <name val="ＭＳ Ｐ明朝"/>
      <family val="1"/>
      <charset val="128"/>
    </font>
    <font>
      <b/>
      <vertAlign val="superscript"/>
      <sz val="11"/>
      <name val="ＭＳ Ｐ明朝"/>
      <family val="1"/>
      <charset val="128"/>
    </font>
    <font>
      <vertAlign val="superscript"/>
      <sz val="9"/>
      <name val="ＭＳ Ｐ明朝"/>
      <family val="1"/>
      <charset val="128"/>
    </font>
    <font>
      <vertAlign val="superscript"/>
      <sz val="10"/>
      <name val="ＭＳ Ｐ明朝"/>
      <family val="1"/>
      <charset val="128"/>
    </font>
    <font>
      <b/>
      <sz val="10"/>
      <name val="ＭＳ Ｐ明朝"/>
      <family val="1"/>
      <charset val="128"/>
    </font>
    <font>
      <sz val="9"/>
      <color theme="1"/>
      <name val="ＭＳ Ｐ明朝"/>
      <family val="1"/>
      <charset val="128"/>
    </font>
    <font>
      <b/>
      <sz val="10"/>
      <color indexed="8"/>
      <name val="ＭＳ Ｐ明朝"/>
      <family val="1"/>
      <charset val="128"/>
    </font>
    <font>
      <sz val="11"/>
      <color theme="1"/>
      <name val="ＭＳ Ｐ明朝"/>
      <family val="2"/>
      <charset val="128"/>
    </font>
    <font>
      <sz val="16"/>
      <color theme="1"/>
      <name val="ＭＳ Ｐゴシック"/>
      <family val="3"/>
      <charset val="128"/>
    </font>
    <font>
      <sz val="10"/>
      <color theme="1"/>
      <name val="ＭＳ Ｐ明朝"/>
      <family val="2"/>
      <charset val="128"/>
    </font>
    <font>
      <vertAlign val="subscript"/>
      <sz val="10"/>
      <color theme="1"/>
      <name val="ＭＳ Ｐ明朝"/>
      <family val="1"/>
      <charset val="128"/>
    </font>
    <font>
      <sz val="10"/>
      <color theme="1"/>
      <name val="ＭＳ Ｐ明朝"/>
      <family val="1"/>
      <charset val="128"/>
    </font>
    <font>
      <sz val="8"/>
      <color theme="1"/>
      <name val="ＭＳ Ｐ明朝"/>
      <family val="1"/>
      <charset val="128"/>
    </font>
    <font>
      <sz val="10"/>
      <name val="ＭＳ Ｐ明朝"/>
      <family val="2"/>
      <charset val="128"/>
    </font>
    <font>
      <sz val="10"/>
      <color rgb="FFFF0000"/>
      <name val="ＭＳ Ｐ明朝"/>
      <family val="2"/>
      <charset val="128"/>
    </font>
    <font>
      <vertAlign val="subscript"/>
      <sz val="10"/>
      <name val="ＭＳ Ｐ明朝"/>
      <family val="1"/>
      <charset val="128"/>
    </font>
    <font>
      <b/>
      <sz val="10"/>
      <color indexed="59"/>
      <name val="ＭＳ Ｐゴシック"/>
      <family val="3"/>
      <charset val="128"/>
    </font>
    <font>
      <strike/>
      <sz val="10"/>
      <color indexed="8"/>
      <name val="ＭＳ Ｐ明朝"/>
      <family val="1"/>
      <charset val="128"/>
    </font>
    <font>
      <strike/>
      <sz val="10"/>
      <color rgb="FFFF0000"/>
      <name val="ＭＳ Ｐ明朝"/>
      <family val="1"/>
      <charset val="128"/>
    </font>
    <font>
      <sz val="6"/>
      <name val="ＭＳ Ｐゴシック"/>
      <family val="2"/>
      <charset val="128"/>
    </font>
    <font>
      <sz val="10"/>
      <color indexed="81"/>
      <name val="MS P ゴシック"/>
      <family val="3"/>
      <charset val="128"/>
    </font>
    <font>
      <sz val="11"/>
      <color theme="1"/>
      <name val="游ゴシック"/>
      <family val="3"/>
      <charset val="128"/>
    </font>
    <font>
      <b/>
      <sz val="12"/>
      <color theme="1"/>
      <name val="游ゴシック"/>
      <family val="3"/>
      <charset val="128"/>
    </font>
    <font>
      <sz val="11"/>
      <name val="游ゴシック"/>
      <family val="3"/>
      <charset val="128"/>
    </font>
  </fonts>
  <fills count="2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top style="hair">
        <color auto="1"/>
      </top>
      <bottom style="thin">
        <color auto="1"/>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right style="medium">
        <color indexed="64"/>
      </right>
      <top style="thin">
        <color indexed="64"/>
      </top>
      <bottom style="double">
        <color indexed="64"/>
      </bottom>
      <diagonal/>
    </border>
    <border diagonalUp="1">
      <left/>
      <right/>
      <top style="thin">
        <color indexed="64"/>
      </top>
      <bottom style="double">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style="thin">
        <color indexed="64"/>
      </left>
      <right/>
      <top style="thin">
        <color indexed="64"/>
      </top>
      <bottom style="double">
        <color indexed="64"/>
      </bottom>
      <diagonal style="thin">
        <color indexed="64"/>
      </diagonal>
    </border>
    <border>
      <left style="thin">
        <color indexed="64"/>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thin">
        <color auto="1"/>
      </left>
      <right/>
      <top style="double">
        <color auto="1"/>
      </top>
      <bottom style="double">
        <color auto="1"/>
      </bottom>
      <diagonal/>
    </border>
    <border>
      <left style="medium">
        <color indexed="64"/>
      </left>
      <right style="medium">
        <color indexed="64"/>
      </right>
      <top style="double">
        <color auto="1"/>
      </top>
      <bottom style="double">
        <color auto="1"/>
      </bottom>
      <diagonal/>
    </border>
    <border>
      <left/>
      <right/>
      <top style="double">
        <color auto="1"/>
      </top>
      <bottom style="double">
        <color auto="1"/>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bottom style="double">
        <color indexed="64"/>
      </bottom>
      <diagonal style="thin">
        <color indexed="64"/>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medium">
        <color indexed="64"/>
      </left>
      <right style="medium">
        <color indexed="64"/>
      </right>
      <top style="double">
        <color indexed="64"/>
      </top>
      <bottom style="medium">
        <color indexed="64"/>
      </bottom>
      <diagonal/>
    </border>
    <border>
      <left style="hair">
        <color auto="1"/>
      </left>
      <right/>
      <top style="hair">
        <color auto="1"/>
      </top>
      <bottom style="thin">
        <color auto="1"/>
      </bottom>
      <diagonal/>
    </border>
    <border>
      <left style="hair">
        <color auto="1"/>
      </left>
      <right style="thin">
        <color indexed="64"/>
      </right>
      <top style="hair">
        <color auto="1"/>
      </top>
      <bottom style="thin">
        <color auto="1"/>
      </bottom>
      <diagonal/>
    </border>
    <border>
      <left style="hair">
        <color auto="1"/>
      </left>
      <right/>
      <top style="thin">
        <color auto="1"/>
      </top>
      <bottom style="hair">
        <color auto="1"/>
      </bottom>
      <diagonal/>
    </border>
    <border>
      <left style="hair">
        <color auto="1"/>
      </left>
      <right style="thin">
        <color indexed="64"/>
      </right>
      <top style="thin">
        <color auto="1"/>
      </top>
      <bottom style="hair">
        <color auto="1"/>
      </bottom>
      <diagonal/>
    </border>
    <border>
      <left style="hair">
        <color auto="1"/>
      </left>
      <right/>
      <top style="hair">
        <color auto="1"/>
      </top>
      <bottom/>
      <diagonal/>
    </border>
    <border>
      <left style="hair">
        <color auto="1"/>
      </left>
      <right style="thin">
        <color indexed="64"/>
      </right>
      <top style="hair">
        <color auto="1"/>
      </top>
      <bottom/>
      <diagonal/>
    </border>
    <border>
      <left style="hair">
        <color auto="1"/>
      </left>
      <right/>
      <top style="hair">
        <color auto="1"/>
      </top>
      <bottom style="hair">
        <color auto="1"/>
      </bottom>
      <diagonal/>
    </border>
    <border>
      <left style="hair">
        <color auto="1"/>
      </left>
      <right style="thin">
        <color indexed="64"/>
      </right>
      <top style="hair">
        <color auto="1"/>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s>
  <cellStyleXfs count="17">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2" fillId="0" borderId="0">
      <alignment vertical="center"/>
    </xf>
    <xf numFmtId="38" fontId="31" fillId="0" borderId="0" applyFont="0" applyFill="0" applyBorder="0" applyAlignment="0" applyProtection="0">
      <alignment vertical="center"/>
    </xf>
    <xf numFmtId="0" fontId="56"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xf numFmtId="0" fontId="28" fillId="0" borderId="0">
      <alignment vertical="center"/>
    </xf>
    <xf numFmtId="38" fontId="32" fillId="0" borderId="0" applyFont="0" applyFill="0" applyBorder="0" applyAlignment="0" applyProtection="0">
      <alignment vertical="center"/>
    </xf>
    <xf numFmtId="0" fontId="156" fillId="0" borderId="0">
      <alignment vertical="center"/>
    </xf>
    <xf numFmtId="38" fontId="10" fillId="0" borderId="0" applyFont="0" applyFill="0" applyBorder="0" applyAlignment="0" applyProtection="0">
      <alignment vertical="center"/>
    </xf>
  </cellStyleXfs>
  <cellXfs count="2327">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38" fillId="10" borderId="0" xfId="0" applyFont="1" applyFill="1" applyAlignment="1">
      <alignment vertical="center"/>
    </xf>
    <xf numFmtId="0" fontId="39" fillId="10" borderId="0" xfId="0" applyFont="1" applyFill="1" applyAlignment="1">
      <alignment vertical="center"/>
    </xf>
    <xf numFmtId="0" fontId="40" fillId="10" borderId="0" xfId="0" applyFont="1" applyFill="1" applyAlignment="1">
      <alignment vertical="center"/>
    </xf>
    <xf numFmtId="0" fontId="41" fillId="10" borderId="0" xfId="0" applyFont="1" applyFill="1" applyAlignment="1">
      <alignment vertical="center"/>
    </xf>
    <xf numFmtId="0" fontId="43" fillId="10" borderId="0" xfId="0" applyFont="1" applyFill="1" applyAlignment="1">
      <alignment vertical="center"/>
    </xf>
    <xf numFmtId="0" fontId="40" fillId="0" borderId="73" xfId="0" applyFont="1" applyFill="1" applyBorder="1" applyAlignment="1" applyProtection="1">
      <alignment vertical="center"/>
      <protection locked="0"/>
    </xf>
    <xf numFmtId="0" fontId="40" fillId="0" borderId="74" xfId="0" applyFont="1" applyFill="1" applyBorder="1" applyAlignment="1" applyProtection="1">
      <alignment vertical="center"/>
      <protection locked="0"/>
    </xf>
    <xf numFmtId="0" fontId="40" fillId="0" borderId="75" xfId="0" applyFont="1" applyFill="1" applyBorder="1" applyAlignment="1" applyProtection="1">
      <alignment vertical="center"/>
      <protection locked="0"/>
    </xf>
    <xf numFmtId="0" fontId="38" fillId="10" borderId="0" xfId="0" applyFont="1" applyFill="1" applyAlignment="1">
      <alignment horizontal="center" vertical="center"/>
    </xf>
    <xf numFmtId="0" fontId="38" fillId="10" borderId="0" xfId="0" applyFont="1" applyFill="1" applyBorder="1" applyAlignment="1">
      <alignment horizontal="right" vertical="center"/>
    </xf>
    <xf numFmtId="2" fontId="38" fillId="10" borderId="0" xfId="0" applyNumberFormat="1" applyFont="1" applyFill="1" applyBorder="1" applyAlignment="1" applyProtection="1">
      <alignment vertical="center"/>
    </xf>
    <xf numFmtId="0" fontId="38" fillId="0" borderId="72" xfId="0" applyFont="1" applyFill="1" applyBorder="1" applyAlignment="1" applyProtection="1">
      <alignment vertical="center"/>
      <protection locked="0"/>
    </xf>
    <xf numFmtId="0" fontId="38" fillId="10" borderId="0" xfId="0" applyFont="1" applyFill="1" applyBorder="1" applyAlignment="1">
      <alignment vertical="center"/>
    </xf>
    <xf numFmtId="0" fontId="47" fillId="10" borderId="0" xfId="0" applyFont="1" applyFill="1" applyAlignment="1">
      <alignment vertical="center"/>
    </xf>
    <xf numFmtId="0" fontId="34" fillId="10" borderId="0" xfId="0" applyFont="1" applyFill="1" applyAlignment="1">
      <alignment vertical="center"/>
    </xf>
    <xf numFmtId="0" fontId="41" fillId="10" borderId="0" xfId="0" applyFont="1" applyFill="1" applyAlignment="1" applyProtection="1">
      <alignment vertical="center"/>
    </xf>
    <xf numFmtId="0" fontId="47" fillId="10" borderId="0" xfId="0" applyFont="1" applyFill="1" applyAlignment="1" applyProtection="1">
      <alignment vertical="center"/>
    </xf>
    <xf numFmtId="0" fontId="38" fillId="10" borderId="0" xfId="0" applyFont="1" applyFill="1" applyAlignment="1" applyProtection="1">
      <alignment vertical="center"/>
    </xf>
    <xf numFmtId="0" fontId="38" fillId="10" borderId="0" xfId="0" applyFont="1" applyFill="1" applyAlignment="1" applyProtection="1">
      <alignment vertical="center"/>
      <protection locked="0"/>
    </xf>
    <xf numFmtId="0" fontId="38" fillId="10" borderId="0" xfId="0" applyFont="1" applyFill="1" applyBorder="1" applyAlignment="1">
      <alignment horizontal="left" vertical="center"/>
    </xf>
    <xf numFmtId="0" fontId="38" fillId="10" borderId="78" xfId="0" applyFont="1" applyFill="1" applyBorder="1" applyAlignment="1">
      <alignment horizontal="center" vertical="center"/>
    </xf>
    <xf numFmtId="0" fontId="38" fillId="10" borderId="77" xfId="0" applyFont="1" applyFill="1" applyBorder="1" applyAlignment="1">
      <alignment horizontal="center" vertical="center"/>
    </xf>
    <xf numFmtId="0" fontId="38" fillId="0" borderId="72" xfId="0" applyFont="1" applyFill="1" applyBorder="1" applyAlignment="1" applyProtection="1">
      <alignment horizontal="right" vertical="center"/>
      <protection locked="0"/>
    </xf>
    <xf numFmtId="0" fontId="38" fillId="10" borderId="0" xfId="0" applyFont="1" applyFill="1" applyAlignment="1">
      <alignment horizontal="right" vertical="center"/>
    </xf>
    <xf numFmtId="0" fontId="38" fillId="10" borderId="0" xfId="0" applyFont="1" applyFill="1" applyAlignment="1">
      <alignment horizontal="left" vertical="center"/>
    </xf>
    <xf numFmtId="182" fontId="38" fillId="0" borderId="72" xfId="1" applyNumberFormat="1" applyFont="1" applyFill="1" applyBorder="1" applyProtection="1">
      <alignment vertical="center"/>
      <protection locked="0"/>
    </xf>
    <xf numFmtId="0" fontId="39" fillId="10" borderId="0" xfId="0" applyFont="1" applyFill="1" applyBorder="1" applyAlignment="1">
      <alignment horizontal="left" vertical="center"/>
    </xf>
    <xf numFmtId="0" fontId="35" fillId="10" borderId="0" xfId="0" applyFont="1" applyFill="1" applyAlignment="1">
      <alignment vertical="center"/>
    </xf>
    <xf numFmtId="0" fontId="38" fillId="10" borderId="0"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7"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19" xfId="0" applyFont="1" applyFill="1" applyBorder="1" applyAlignment="1">
      <alignment horizontal="center" vertical="center"/>
    </xf>
    <xf numFmtId="0" fontId="35" fillId="10" borderId="20" xfId="0" applyFont="1" applyFill="1" applyBorder="1" applyAlignment="1">
      <alignment horizontal="center" vertical="center"/>
    </xf>
    <xf numFmtId="0" fontId="50" fillId="10" borderId="1" xfId="0" applyFont="1" applyFill="1" applyBorder="1" applyAlignment="1">
      <alignment horizontal="center" vertical="center"/>
    </xf>
    <xf numFmtId="0" fontId="50" fillId="10" borderId="17" xfId="0" applyFont="1" applyFill="1" applyBorder="1" applyAlignment="1">
      <alignment horizontal="center" vertical="center"/>
    </xf>
    <xf numFmtId="0" fontId="50" fillId="10" borderId="0" xfId="0" applyFont="1" applyFill="1" applyAlignment="1">
      <alignment vertical="center"/>
    </xf>
    <xf numFmtId="0" fontId="35" fillId="10" borderId="1"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22"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0" xfId="0" applyFont="1" applyFill="1" applyBorder="1" applyAlignment="1">
      <alignment horizontal="center" vertical="center"/>
    </xf>
    <xf numFmtId="0" fontId="52" fillId="10" borderId="0" xfId="0" applyFont="1" applyFill="1" applyBorder="1" applyAlignment="1">
      <alignment horizontal="center" vertical="center"/>
    </xf>
    <xf numFmtId="0" fontId="38" fillId="10" borderId="80" xfId="0" applyFont="1" applyFill="1" applyBorder="1" applyAlignment="1">
      <alignment horizontal="right" vertical="center"/>
    </xf>
    <xf numFmtId="0" fontId="38" fillId="10" borderId="79" xfId="0" applyFont="1" applyFill="1" applyBorder="1" applyAlignment="1">
      <alignment vertical="center"/>
    </xf>
    <xf numFmtId="0" fontId="38" fillId="10" borderId="80" xfId="0" applyFont="1" applyFill="1" applyBorder="1" applyAlignment="1">
      <alignment vertical="center"/>
    </xf>
    <xf numFmtId="180" fontId="38" fillId="10" borderId="78" xfId="0" applyNumberFormat="1" applyFont="1" applyFill="1" applyBorder="1" applyAlignment="1">
      <alignment vertical="center"/>
    </xf>
    <xf numFmtId="2" fontId="38" fillId="10" borderId="80" xfId="0" applyNumberFormat="1" applyFont="1" applyFill="1" applyBorder="1" applyAlignment="1">
      <alignment vertical="center"/>
    </xf>
    <xf numFmtId="0" fontId="38" fillId="10" borderId="78" xfId="0" applyFont="1" applyFill="1" applyBorder="1" applyAlignment="1">
      <alignment vertical="center"/>
    </xf>
    <xf numFmtId="2" fontId="38" fillId="10" borderId="83" xfId="0" applyNumberFormat="1" applyFont="1" applyFill="1" applyBorder="1" applyAlignment="1">
      <alignment vertical="center"/>
    </xf>
    <xf numFmtId="0" fontId="38" fillId="10" borderId="84" xfId="0" applyFont="1" applyFill="1" applyBorder="1" applyAlignment="1">
      <alignment vertical="center"/>
    </xf>
    <xf numFmtId="0" fontId="52" fillId="10" borderId="0" xfId="0" applyFont="1" applyFill="1" applyAlignment="1">
      <alignment vertical="center"/>
    </xf>
    <xf numFmtId="0" fontId="35" fillId="10" borderId="55" xfId="0" applyFont="1" applyFill="1" applyBorder="1" applyAlignment="1">
      <alignment horizontal="center" vertical="center"/>
    </xf>
    <xf numFmtId="0" fontId="35" fillId="10" borderId="20" xfId="0" applyFont="1" applyFill="1" applyBorder="1" applyAlignment="1">
      <alignment vertical="center"/>
    </xf>
    <xf numFmtId="0" fontId="35" fillId="10" borderId="2" xfId="0" applyFont="1" applyFill="1" applyBorder="1" applyAlignment="1">
      <alignment horizontal="center" vertical="center"/>
    </xf>
    <xf numFmtId="0" fontId="35" fillId="10" borderId="17" xfId="0" applyFont="1" applyFill="1" applyBorder="1" applyAlignment="1">
      <alignment vertical="center"/>
    </xf>
    <xf numFmtId="0" fontId="50" fillId="10" borderId="2" xfId="0" applyFont="1" applyFill="1" applyBorder="1" applyAlignment="1">
      <alignment horizontal="center" vertical="center"/>
    </xf>
    <xf numFmtId="0" fontId="50" fillId="10" borderId="17" xfId="0" applyFont="1" applyFill="1" applyBorder="1" applyAlignment="1">
      <alignment vertical="center"/>
    </xf>
    <xf numFmtId="0" fontId="35" fillId="10" borderId="23" xfId="0" applyFont="1" applyFill="1" applyBorder="1" applyAlignment="1">
      <alignment horizontal="center" vertical="center"/>
    </xf>
    <xf numFmtId="0" fontId="35" fillId="10" borderId="24" xfId="0" applyFont="1" applyFill="1" applyBorder="1" applyAlignment="1">
      <alignment vertical="center"/>
    </xf>
    <xf numFmtId="0" fontId="39" fillId="10" borderId="41" xfId="0" applyFont="1" applyFill="1" applyBorder="1" applyAlignment="1">
      <alignment vertical="center"/>
    </xf>
    <xf numFmtId="0" fontId="39" fillId="10" borderId="66" xfId="0" applyFont="1" applyFill="1" applyBorder="1" applyAlignment="1">
      <alignment vertical="center"/>
    </xf>
    <xf numFmtId="0" fontId="38" fillId="10" borderId="66" xfId="0" applyFont="1" applyFill="1" applyBorder="1" applyAlignment="1">
      <alignment vertical="center"/>
    </xf>
    <xf numFmtId="0" fontId="38" fillId="10" borderId="42" xfId="0" applyFont="1" applyFill="1" applyBorder="1" applyAlignment="1">
      <alignment vertical="center"/>
    </xf>
    <xf numFmtId="0" fontId="38" fillId="10" borderId="43" xfId="0" applyFont="1" applyFill="1" applyBorder="1" applyAlignment="1">
      <alignment vertical="center"/>
    </xf>
    <xf numFmtId="0" fontId="38" fillId="10" borderId="44" xfId="0" applyFont="1" applyFill="1" applyBorder="1" applyAlignment="1">
      <alignment vertical="center"/>
    </xf>
    <xf numFmtId="0" fontId="38" fillId="10" borderId="1" xfId="0" applyFont="1" applyFill="1" applyBorder="1" applyAlignment="1">
      <alignment horizontal="center" vertical="center"/>
    </xf>
    <xf numFmtId="0" fontId="38" fillId="10" borderId="1" xfId="0" applyFont="1" applyFill="1" applyBorder="1" applyAlignment="1">
      <alignment vertical="center"/>
    </xf>
    <xf numFmtId="38" fontId="38" fillId="10" borderId="1" xfId="0" applyNumberFormat="1" applyFont="1" applyFill="1" applyBorder="1" applyAlignment="1">
      <alignment vertical="center"/>
    </xf>
    <xf numFmtId="40" fontId="38" fillId="10" borderId="1" xfId="0" applyNumberFormat="1" applyFont="1" applyFill="1" applyBorder="1" applyAlignment="1">
      <alignment vertical="center"/>
    </xf>
    <xf numFmtId="0" fontId="38" fillId="10" borderId="48" xfId="0" applyFont="1" applyFill="1" applyBorder="1" applyAlignment="1">
      <alignment vertical="center"/>
    </xf>
    <xf numFmtId="0" fontId="38" fillId="10" borderId="6" xfId="0" applyFont="1" applyFill="1" applyBorder="1" applyAlignment="1">
      <alignment vertical="center"/>
    </xf>
    <xf numFmtId="0" fontId="38" fillId="10" borderId="49" xfId="0" applyFont="1" applyFill="1" applyBorder="1" applyAlignment="1">
      <alignment vertical="center"/>
    </xf>
    <xf numFmtId="0" fontId="48" fillId="10" borderId="0" xfId="0" applyFont="1" applyFill="1" applyAlignment="1">
      <alignment vertical="center"/>
    </xf>
    <xf numFmtId="0" fontId="52" fillId="10" borderId="82" xfId="0" applyFont="1" applyFill="1" applyBorder="1" applyAlignment="1">
      <alignment horizontal="center" vertical="center"/>
    </xf>
    <xf numFmtId="0" fontId="52" fillId="10" borderId="36" xfId="0" applyFont="1" applyFill="1" applyBorder="1" applyAlignment="1">
      <alignment horizontal="center" vertical="center"/>
    </xf>
    <xf numFmtId="0" fontId="52" fillId="10" borderId="37" xfId="0" applyFont="1" applyFill="1" applyBorder="1" applyAlignment="1">
      <alignment horizontal="center" vertical="center"/>
    </xf>
    <xf numFmtId="0" fontId="52" fillId="10" borderId="39" xfId="0" applyFont="1" applyFill="1" applyBorder="1" applyAlignment="1">
      <alignment horizontal="center" vertical="center"/>
    </xf>
    <xf numFmtId="0" fontId="52" fillId="10" borderId="0" xfId="0" applyFont="1" applyFill="1" applyBorder="1" applyAlignment="1">
      <alignment vertical="center"/>
    </xf>
    <xf numFmtId="0" fontId="39" fillId="10" borderId="0" xfId="0" applyFont="1" applyFill="1" applyBorder="1" applyAlignment="1">
      <alignment horizontal="left" vertical="center"/>
    </xf>
    <xf numFmtId="0" fontId="39" fillId="10" borderId="0" xfId="0" applyFont="1" applyFill="1" applyAlignment="1">
      <alignment horizontal="left" vertical="center"/>
    </xf>
    <xf numFmtId="0" fontId="45" fillId="10" borderId="0" xfId="0" applyFont="1" applyFill="1" applyAlignment="1">
      <alignment horizontal="left" vertical="center"/>
    </xf>
    <xf numFmtId="0" fontId="38" fillId="0" borderId="0" xfId="0" applyFont="1" applyAlignment="1">
      <alignment horizontal="center" vertical="center"/>
    </xf>
    <xf numFmtId="0" fontId="41" fillId="0" borderId="0" xfId="0" applyFont="1" applyAlignment="1">
      <alignment horizontal="distributed" vertical="center"/>
    </xf>
    <xf numFmtId="0" fontId="41" fillId="0" borderId="0" xfId="0" applyFont="1" applyAlignment="1">
      <alignment vertical="center"/>
    </xf>
    <xf numFmtId="0" fontId="38" fillId="0" borderId="6" xfId="0" applyFont="1" applyBorder="1" applyAlignment="1">
      <alignment horizontal="center" vertical="center"/>
    </xf>
    <xf numFmtId="0" fontId="38" fillId="0" borderId="0" xfId="0" applyFont="1" applyAlignment="1">
      <alignment vertical="center"/>
    </xf>
    <xf numFmtId="0" fontId="38" fillId="9" borderId="70" xfId="0" applyFont="1" applyFill="1" applyBorder="1" applyAlignment="1">
      <alignment vertical="center"/>
    </xf>
    <xf numFmtId="0" fontId="52" fillId="9" borderId="0" xfId="0" applyFont="1" applyFill="1" applyBorder="1" applyAlignment="1">
      <alignment horizontal="right" vertical="center"/>
    </xf>
    <xf numFmtId="0" fontId="38" fillId="0" borderId="1" xfId="0" applyFont="1" applyBorder="1" applyAlignment="1">
      <alignment vertical="center"/>
    </xf>
    <xf numFmtId="0" fontId="38" fillId="0" borderId="19" xfId="0" applyFont="1" applyBorder="1" applyAlignment="1">
      <alignment vertical="center"/>
    </xf>
    <xf numFmtId="0" fontId="38" fillId="9" borderId="0" xfId="0" applyFont="1" applyFill="1" applyBorder="1" applyAlignment="1">
      <alignment vertical="center"/>
    </xf>
    <xf numFmtId="0" fontId="38" fillId="0" borderId="1" xfId="0" applyFont="1" applyBorder="1" applyAlignment="1">
      <alignment horizontal="center" vertical="center"/>
    </xf>
    <xf numFmtId="0" fontId="38" fillId="0" borderId="33" xfId="0" applyFont="1" applyBorder="1" applyAlignment="1">
      <alignment horizontal="center" vertical="center"/>
    </xf>
    <xf numFmtId="0" fontId="38" fillId="9" borderId="44" xfId="0" applyFont="1" applyFill="1" applyBorder="1" applyAlignment="1">
      <alignment vertical="center"/>
    </xf>
    <xf numFmtId="0" fontId="38" fillId="9" borderId="43" xfId="0" applyFont="1" applyFill="1" applyBorder="1" applyAlignment="1">
      <alignment horizontal="center" vertical="center"/>
    </xf>
    <xf numFmtId="0" fontId="38" fillId="9" borderId="0" xfId="0" applyFont="1" applyFill="1" applyAlignment="1">
      <alignment horizontal="center" vertical="center"/>
    </xf>
    <xf numFmtId="0" fontId="38" fillId="9" borderId="41" xfId="0" applyFont="1" applyFill="1" applyBorder="1" applyAlignment="1">
      <alignment horizontal="center" vertical="center"/>
    </xf>
    <xf numFmtId="0" fontId="38" fillId="9" borderId="43" xfId="0" applyFont="1" applyFill="1" applyBorder="1" applyAlignment="1">
      <alignment horizontal="left" vertical="center"/>
    </xf>
    <xf numFmtId="2" fontId="38" fillId="0" borderId="1" xfId="0" applyNumberFormat="1" applyFont="1" applyBorder="1" applyAlignment="1">
      <alignment horizontal="center" vertical="center"/>
    </xf>
    <xf numFmtId="38" fontId="38" fillId="0" borderId="1" xfId="0" applyNumberFormat="1" applyFont="1" applyBorder="1" applyAlignment="1">
      <alignment horizontal="right" vertical="center"/>
    </xf>
    <xf numFmtId="0" fontId="38" fillId="9" borderId="0" xfId="0" applyFont="1" applyFill="1" applyBorder="1" applyAlignment="1">
      <alignment horizontal="left" vertical="center"/>
    </xf>
    <xf numFmtId="0" fontId="39" fillId="9" borderId="43" xfId="0" applyFont="1" applyFill="1" applyBorder="1" applyAlignment="1">
      <alignment horizontal="center" vertical="center"/>
    </xf>
    <xf numFmtId="0" fontId="39" fillId="9" borderId="62" xfId="0" applyFont="1" applyFill="1" applyBorder="1" applyAlignment="1">
      <alignment horizontal="right" vertical="center"/>
    </xf>
    <xf numFmtId="0" fontId="35" fillId="9" borderId="7" xfId="0" applyFont="1" applyFill="1" applyBorder="1" applyAlignment="1">
      <alignment vertical="center"/>
    </xf>
    <xf numFmtId="0" fontId="35" fillId="9" borderId="9" xfId="0" applyFont="1" applyFill="1" applyBorder="1" applyAlignment="1">
      <alignment vertical="center"/>
    </xf>
    <xf numFmtId="0" fontId="39" fillId="9" borderId="50" xfId="0" applyFont="1" applyFill="1" applyBorder="1" applyAlignment="1">
      <alignment horizontal="center" vertical="center"/>
    </xf>
    <xf numFmtId="0" fontId="39" fillId="9" borderId="52" xfId="0" applyFont="1" applyFill="1" applyBorder="1" applyAlignment="1">
      <alignment horizontal="right" vertical="center"/>
    </xf>
    <xf numFmtId="0" fontId="38" fillId="9" borderId="64" xfId="0" applyFont="1" applyFill="1" applyBorder="1" applyAlignment="1">
      <alignment horizontal="center" vertical="center"/>
    </xf>
    <xf numFmtId="0" fontId="35" fillId="0" borderId="4" xfId="0" applyFont="1" applyBorder="1" applyAlignment="1">
      <alignment horizontal="left"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16" xfId="0" applyFont="1" applyBorder="1" applyAlignment="1">
      <alignment horizontal="center" vertical="center"/>
    </xf>
    <xf numFmtId="0" fontId="35" fillId="0" borderId="46" xfId="0" applyFont="1" applyBorder="1" applyAlignment="1">
      <alignment horizontal="left" vertical="center"/>
    </xf>
    <xf numFmtId="0" fontId="38" fillId="0" borderId="0" xfId="0" applyFont="1" applyFill="1" applyAlignment="1">
      <alignment horizontal="left" vertical="center"/>
    </xf>
    <xf numFmtId="0" fontId="38" fillId="0" borderId="0" xfId="0" applyFont="1" applyFill="1" applyAlignment="1">
      <alignment horizontal="center" vertical="center"/>
    </xf>
    <xf numFmtId="0" fontId="38" fillId="0" borderId="0" xfId="0" applyFont="1" applyFill="1" applyBorder="1" applyAlignment="1">
      <alignment horizontal="center" vertical="center"/>
    </xf>
    <xf numFmtId="0" fontId="38" fillId="9" borderId="18" xfId="0" applyFont="1" applyFill="1" applyBorder="1" applyAlignment="1">
      <alignment horizontal="center" vertical="center" shrinkToFit="1"/>
    </xf>
    <xf numFmtId="0" fontId="38" fillId="9" borderId="19" xfId="0" applyFont="1" applyFill="1" applyBorder="1" applyAlignment="1">
      <alignment horizontal="center" vertical="center" shrinkToFit="1"/>
    </xf>
    <xf numFmtId="0" fontId="38" fillId="9" borderId="20" xfId="0" applyFont="1" applyFill="1" applyBorder="1" applyAlignment="1">
      <alignment horizontal="center" vertical="center" shrinkToFit="1"/>
    </xf>
    <xf numFmtId="0" fontId="38" fillId="9" borderId="23" xfId="0" applyFont="1" applyFill="1" applyBorder="1" applyAlignment="1">
      <alignment horizontal="center" vertical="center"/>
    </xf>
    <xf numFmtId="0" fontId="38" fillId="9" borderId="24" xfId="0" applyFont="1" applyFill="1" applyBorder="1" applyAlignment="1">
      <alignment horizontal="center" vertical="center"/>
    </xf>
    <xf numFmtId="0" fontId="38" fillId="9" borderId="65" xfId="0" applyFont="1" applyFill="1" applyBorder="1" applyAlignment="1">
      <alignment horizontal="center" vertical="center"/>
    </xf>
    <xf numFmtId="0" fontId="38" fillId="9" borderId="26" xfId="0" applyFont="1" applyFill="1" applyBorder="1" applyAlignment="1">
      <alignment horizontal="center" vertical="center"/>
    </xf>
    <xf numFmtId="0" fontId="38" fillId="9" borderId="27" xfId="0" applyFont="1" applyFill="1" applyBorder="1" applyAlignment="1">
      <alignment horizontal="center" vertical="center"/>
    </xf>
    <xf numFmtId="0" fontId="38" fillId="0" borderId="27" xfId="0" applyFont="1" applyBorder="1" applyAlignment="1">
      <alignment horizontal="center" vertical="center"/>
    </xf>
    <xf numFmtId="40" fontId="38" fillId="0" borderId="28" xfId="1" applyNumberFormat="1" applyFont="1" applyBorder="1" applyAlignment="1">
      <alignment horizontal="center" vertical="center"/>
    </xf>
    <xf numFmtId="176" fontId="38" fillId="0" borderId="45" xfId="0" applyNumberFormat="1" applyFont="1" applyBorder="1" applyAlignment="1">
      <alignment horizontal="right" vertical="center"/>
    </xf>
    <xf numFmtId="38" fontId="38" fillId="0" borderId="57" xfId="1" applyFont="1" applyBorder="1" applyAlignment="1">
      <alignment horizontal="right" vertical="center"/>
    </xf>
    <xf numFmtId="0" fontId="38" fillId="0" borderId="57" xfId="0" applyFont="1" applyBorder="1" applyAlignment="1">
      <alignment horizontal="right" vertical="center"/>
    </xf>
    <xf numFmtId="177" fontId="38" fillId="0" borderId="57" xfId="1" applyNumberFormat="1" applyFont="1" applyBorder="1" applyAlignment="1">
      <alignment horizontal="right" vertical="center"/>
    </xf>
    <xf numFmtId="38" fontId="38" fillId="0" borderId="53" xfId="1" applyFont="1" applyBorder="1" applyAlignment="1">
      <alignment horizontal="right" vertical="center"/>
    </xf>
    <xf numFmtId="0" fontId="38" fillId="0" borderId="26" xfId="0" applyFont="1" applyBorder="1" applyAlignment="1">
      <alignment horizontal="center" vertical="center"/>
    </xf>
    <xf numFmtId="176" fontId="38" fillId="0" borderId="6" xfId="0" applyNumberFormat="1" applyFont="1" applyBorder="1" applyAlignment="1">
      <alignment horizontal="center" vertical="center"/>
    </xf>
    <xf numFmtId="176" fontId="38" fillId="0" borderId="50" xfId="0" applyNumberFormat="1" applyFont="1" applyBorder="1" applyAlignment="1">
      <alignment horizontal="left" vertical="center"/>
    </xf>
    <xf numFmtId="176" fontId="38" fillId="0" borderId="37" xfId="0" applyNumberFormat="1" applyFont="1" applyBorder="1" applyAlignment="1">
      <alignment horizontal="left" vertical="center"/>
    </xf>
    <xf numFmtId="38" fontId="38" fillId="0" borderId="39" xfId="1" applyFont="1" applyBorder="1" applyAlignment="1">
      <alignment horizontal="right" vertical="center"/>
    </xf>
    <xf numFmtId="40" fontId="38" fillId="0" borderId="13" xfId="1" applyNumberFormat="1" applyFont="1" applyBorder="1" applyAlignment="1">
      <alignment horizontal="center" vertical="center"/>
    </xf>
    <xf numFmtId="0" fontId="38" fillId="0" borderId="7" xfId="0" applyFont="1" applyBorder="1" applyAlignment="1">
      <alignment horizontal="right" vertical="center"/>
    </xf>
    <xf numFmtId="38" fontId="38" fillId="0" borderId="8" xfId="1" applyFont="1" applyBorder="1" applyAlignment="1">
      <alignment horizontal="right" vertical="center"/>
    </xf>
    <xf numFmtId="0" fontId="38" fillId="0" borderId="8" xfId="0" applyFont="1" applyBorder="1" applyAlignment="1">
      <alignment horizontal="right" vertical="center"/>
    </xf>
    <xf numFmtId="177" fontId="38" fillId="0" borderId="8" xfId="1" applyNumberFormat="1" applyFont="1" applyBorder="1" applyAlignment="1">
      <alignment horizontal="right" vertical="center"/>
    </xf>
    <xf numFmtId="38" fontId="38" fillId="0" borderId="13" xfId="1" applyFont="1" applyBorder="1" applyAlignment="1">
      <alignment horizontal="right" vertical="center"/>
    </xf>
    <xf numFmtId="0" fontId="38" fillId="0" borderId="87" xfId="0" applyFont="1" applyBorder="1" applyAlignment="1">
      <alignment horizontal="left" vertical="center"/>
    </xf>
    <xf numFmtId="0" fontId="38" fillId="0" borderId="8" xfId="0" applyFont="1" applyBorder="1" applyAlignment="1">
      <alignment horizontal="left" vertical="center"/>
    </xf>
    <xf numFmtId="40" fontId="38" fillId="0" borderId="17" xfId="1" applyNumberFormat="1" applyFont="1" applyBorder="1" applyAlignment="1">
      <alignment horizontal="center" vertical="center"/>
    </xf>
    <xf numFmtId="0" fontId="38" fillId="0" borderId="14" xfId="0" applyFont="1" applyBorder="1" applyAlignment="1">
      <alignment horizontal="right" vertical="center"/>
    </xf>
    <xf numFmtId="38" fontId="38" fillId="0" borderId="1" xfId="1" applyFont="1" applyBorder="1" applyAlignment="1">
      <alignment horizontal="right" vertical="center"/>
    </xf>
    <xf numFmtId="0" fontId="38" fillId="0" borderId="1" xfId="0" applyFont="1" applyBorder="1" applyAlignment="1">
      <alignment horizontal="right" vertical="center"/>
    </xf>
    <xf numFmtId="177" fontId="38" fillId="0" borderId="1" xfId="1" applyNumberFormat="1" applyFont="1" applyBorder="1" applyAlignment="1">
      <alignment horizontal="right" vertical="center"/>
    </xf>
    <xf numFmtId="38" fontId="38" fillId="0" borderId="17" xfId="1" applyFont="1" applyBorder="1" applyAlignment="1">
      <alignment horizontal="right" vertical="center"/>
    </xf>
    <xf numFmtId="0" fontId="38" fillId="0" borderId="14" xfId="0" applyFont="1" applyBorder="1" applyAlignment="1">
      <alignment horizontal="center" vertical="center"/>
    </xf>
    <xf numFmtId="0" fontId="38" fillId="0" borderId="15" xfId="0" applyFont="1" applyBorder="1" applyAlignment="1">
      <alignment horizontal="left" vertical="center"/>
    </xf>
    <xf numFmtId="0" fontId="38" fillId="0" borderId="1" xfId="0" applyFont="1" applyBorder="1" applyAlignment="1">
      <alignment horizontal="left" vertical="center"/>
    </xf>
    <xf numFmtId="176" fontId="38" fillId="0" borderId="15" xfId="0" applyNumberFormat="1" applyFont="1" applyBorder="1" applyAlignment="1">
      <alignment horizontal="left" vertical="center"/>
    </xf>
    <xf numFmtId="40" fontId="38" fillId="0" borderId="24" xfId="1" applyNumberFormat="1" applyFont="1" applyBorder="1" applyAlignment="1">
      <alignment horizontal="center" vertical="center"/>
    </xf>
    <xf numFmtId="0" fontId="38" fillId="0" borderId="32" xfId="0" applyFont="1" applyBorder="1" applyAlignment="1">
      <alignment horizontal="right" vertical="center"/>
    </xf>
    <xf numFmtId="38" fontId="38" fillId="0" borderId="33" xfId="1" applyFont="1" applyBorder="1" applyAlignment="1">
      <alignment horizontal="right" vertical="center"/>
    </xf>
    <xf numFmtId="177" fontId="38" fillId="0" borderId="33" xfId="1" applyNumberFormat="1" applyFont="1" applyBorder="1" applyAlignment="1">
      <alignment horizontal="right" vertical="center"/>
    </xf>
    <xf numFmtId="38" fontId="38" fillId="0" borderId="35" xfId="1" applyFont="1" applyBorder="1" applyAlignment="1">
      <alignment horizontal="right" vertical="center"/>
    </xf>
    <xf numFmtId="0" fontId="38" fillId="0" borderId="60" xfId="0" applyFont="1" applyBorder="1" applyAlignment="1">
      <alignment horizontal="left" vertical="center"/>
    </xf>
    <xf numFmtId="0" fontId="38" fillId="0" borderId="22" xfId="0" applyFont="1" applyBorder="1" applyAlignment="1">
      <alignment horizontal="left" vertical="center"/>
    </xf>
    <xf numFmtId="38" fontId="38" fillId="0" borderId="24" xfId="1" applyFont="1" applyBorder="1" applyAlignment="1">
      <alignment horizontal="right" vertical="center"/>
    </xf>
    <xf numFmtId="40" fontId="38" fillId="0" borderId="9" xfId="0" applyNumberFormat="1" applyFont="1" applyBorder="1" applyAlignment="1">
      <alignment horizontal="center" vertical="center"/>
    </xf>
    <xf numFmtId="40" fontId="38" fillId="0" borderId="2" xfId="0" applyNumberFormat="1" applyFont="1" applyBorder="1" applyAlignment="1">
      <alignment horizontal="center" vertical="center"/>
    </xf>
    <xf numFmtId="40" fontId="38" fillId="0" borderId="34" xfId="0" applyNumberFormat="1" applyFont="1" applyBorder="1" applyAlignment="1">
      <alignment horizontal="center" vertical="center"/>
    </xf>
    <xf numFmtId="0" fontId="38" fillId="0" borderId="21" xfId="0" applyFont="1" applyBorder="1" applyAlignment="1">
      <alignment horizontal="right" vertical="center"/>
    </xf>
    <xf numFmtId="38" fontId="38" fillId="0" borderId="22" xfId="1" applyFont="1" applyBorder="1" applyAlignment="1">
      <alignment horizontal="right" vertical="center"/>
    </xf>
    <xf numFmtId="0" fontId="38" fillId="0" borderId="22" xfId="0" applyFont="1" applyBorder="1" applyAlignment="1">
      <alignment horizontal="right" vertical="center"/>
    </xf>
    <xf numFmtId="0" fontId="38" fillId="4" borderId="26" xfId="0" applyFont="1" applyFill="1" applyBorder="1" applyAlignment="1">
      <alignment horizontal="center" vertical="center"/>
    </xf>
    <xf numFmtId="38" fontId="38" fillId="0" borderId="27" xfId="1" applyFont="1" applyBorder="1" applyAlignment="1">
      <alignment horizontal="right" vertical="center"/>
    </xf>
    <xf numFmtId="0" fontId="38" fillId="4" borderId="27" xfId="0" applyFont="1" applyFill="1" applyBorder="1" applyAlignment="1">
      <alignment horizontal="center" vertical="center"/>
    </xf>
    <xf numFmtId="38" fontId="38" fillId="4" borderId="27" xfId="1" applyFont="1" applyFill="1" applyBorder="1" applyAlignment="1">
      <alignment horizontal="center" vertical="center"/>
    </xf>
    <xf numFmtId="38" fontId="38" fillId="0" borderId="29" xfId="1" applyFont="1" applyBorder="1" applyAlignment="1">
      <alignment horizontal="right" vertical="center"/>
    </xf>
    <xf numFmtId="0" fontId="38" fillId="4" borderId="36" xfId="0" applyFont="1" applyFill="1" applyBorder="1" applyAlignment="1">
      <alignment horizontal="center" vertical="center"/>
    </xf>
    <xf numFmtId="0" fontId="38" fillId="4" borderId="51" xfId="0" applyFont="1" applyFill="1" applyBorder="1" applyAlignment="1">
      <alignment horizontal="center" vertical="center"/>
    </xf>
    <xf numFmtId="0" fontId="38" fillId="4" borderId="6" xfId="0" applyFont="1" applyFill="1" applyBorder="1" applyAlignment="1">
      <alignment horizontal="center" vertical="center"/>
    </xf>
    <xf numFmtId="0" fontId="38" fillId="4" borderId="41" xfId="0" applyFont="1" applyFill="1" applyBorder="1" applyAlignment="1">
      <alignment horizontal="center" vertical="center"/>
    </xf>
    <xf numFmtId="0" fontId="38" fillId="4" borderId="66" xfId="0" applyFont="1" applyFill="1" applyBorder="1" applyAlignment="1">
      <alignment horizontal="center" vertical="center"/>
    </xf>
    <xf numFmtId="0" fontId="38" fillId="4" borderId="42" xfId="0" applyFont="1" applyFill="1" applyBorder="1" applyAlignment="1">
      <alignment horizontal="center" vertical="center"/>
    </xf>
    <xf numFmtId="0" fontId="38" fillId="4" borderId="43" xfId="0" applyFont="1" applyFill="1" applyBorder="1" applyAlignment="1">
      <alignment horizontal="center" vertical="center"/>
    </xf>
    <xf numFmtId="0" fontId="38" fillId="4" borderId="0" xfId="0" applyFont="1" applyFill="1" applyAlignment="1">
      <alignment horizontal="center" vertical="center"/>
    </xf>
    <xf numFmtId="0" fontId="38" fillId="4" borderId="44" xfId="0" applyFont="1" applyFill="1" applyBorder="1" applyAlignment="1">
      <alignment horizontal="center" vertical="center"/>
    </xf>
    <xf numFmtId="0" fontId="38" fillId="9" borderId="4" xfId="0" applyFont="1" applyFill="1" applyBorder="1" applyAlignment="1">
      <alignment horizontal="center" vertical="center" shrinkToFit="1"/>
    </xf>
    <xf numFmtId="0" fontId="38" fillId="9" borderId="1" xfId="0" applyFont="1" applyFill="1" applyBorder="1" applyAlignment="1">
      <alignment horizontal="center" vertical="center" shrinkToFit="1"/>
    </xf>
    <xf numFmtId="0" fontId="38" fillId="9" borderId="17" xfId="0" applyFont="1" applyFill="1" applyBorder="1" applyAlignment="1">
      <alignment horizontal="center" vertical="center" shrinkToFit="1"/>
    </xf>
    <xf numFmtId="0" fontId="38" fillId="0" borderId="19" xfId="0" applyFont="1" applyBorder="1" applyAlignment="1">
      <alignment horizontal="center" vertical="center"/>
    </xf>
    <xf numFmtId="0" fontId="38" fillId="0" borderId="20" xfId="0" applyFont="1" applyBorder="1" applyAlignment="1">
      <alignment horizontal="center" vertical="center"/>
    </xf>
    <xf numFmtId="2" fontId="38" fillId="0" borderId="54" xfId="0" applyNumberFormat="1" applyFont="1" applyBorder="1" applyAlignment="1">
      <alignment horizontal="right" vertical="center"/>
    </xf>
    <xf numFmtId="38" fontId="38" fillId="0" borderId="19" xfId="1" applyFont="1" applyBorder="1" applyAlignment="1">
      <alignment horizontal="right" vertical="center"/>
    </xf>
    <xf numFmtId="2" fontId="38" fillId="0" borderId="19" xfId="0" applyNumberFormat="1" applyFont="1" applyBorder="1" applyAlignment="1">
      <alignment horizontal="right" vertical="center"/>
    </xf>
    <xf numFmtId="38" fontId="38" fillId="0" borderId="20" xfId="1" applyFont="1" applyBorder="1" applyAlignment="1">
      <alignment horizontal="right" vertical="center"/>
    </xf>
    <xf numFmtId="0" fontId="38" fillId="0" borderId="17" xfId="0" applyFont="1" applyBorder="1" applyAlignment="1">
      <alignment horizontal="center" vertical="center"/>
    </xf>
    <xf numFmtId="38" fontId="38" fillId="0" borderId="11" xfId="1" applyFont="1" applyBorder="1" applyAlignment="1">
      <alignment horizontal="right" vertical="center"/>
    </xf>
    <xf numFmtId="0" fontId="38" fillId="4" borderId="48" xfId="0" applyFont="1" applyFill="1" applyBorder="1" applyAlignment="1">
      <alignment horizontal="center" vertical="center"/>
    </xf>
    <xf numFmtId="0" fontId="38" fillId="4" borderId="49" xfId="0" applyFont="1" applyFill="1" applyBorder="1" applyAlignment="1">
      <alignment horizontal="center" vertical="center"/>
    </xf>
    <xf numFmtId="38" fontId="38" fillId="0" borderId="37" xfId="1" applyFont="1" applyBorder="1" applyAlignment="1">
      <alignment horizontal="right" vertical="center"/>
    </xf>
    <xf numFmtId="38" fontId="38" fillId="0" borderId="0" xfId="1" applyFont="1" applyFill="1" applyBorder="1" applyAlignment="1">
      <alignment horizontal="right" vertical="center"/>
    </xf>
    <xf numFmtId="0" fontId="38" fillId="9" borderId="35" xfId="0" applyFont="1" applyFill="1" applyBorder="1" applyAlignment="1">
      <alignment horizontal="center" vertical="center"/>
    </xf>
    <xf numFmtId="40" fontId="38" fillId="0" borderId="28" xfId="0" applyNumberFormat="1" applyFont="1" applyBorder="1" applyAlignment="1">
      <alignment horizontal="center" vertical="center"/>
    </xf>
    <xf numFmtId="177" fontId="38" fillId="0" borderId="45" xfId="1" applyNumberFormat="1" applyFont="1" applyBorder="1" applyAlignment="1">
      <alignment horizontal="right" vertical="center"/>
    </xf>
    <xf numFmtId="0" fontId="38" fillId="0" borderId="36" xfId="0" applyFont="1" applyBorder="1" applyAlignment="1">
      <alignment horizontal="center" vertical="center"/>
    </xf>
    <xf numFmtId="176" fontId="38" fillId="0" borderId="51" xfId="0" applyNumberFormat="1" applyFont="1" applyBorder="1" applyAlignment="1">
      <alignment horizontal="center" vertical="center"/>
    </xf>
    <xf numFmtId="176" fontId="38" fillId="0" borderId="51" xfId="0" applyNumberFormat="1" applyFont="1" applyBorder="1" applyAlignment="1">
      <alignment horizontal="left" vertical="center"/>
    </xf>
    <xf numFmtId="40" fontId="38" fillId="0" borderId="13" xfId="0" applyNumberFormat="1" applyFont="1" applyBorder="1" applyAlignment="1">
      <alignment horizontal="center" vertical="center"/>
    </xf>
    <xf numFmtId="0" fontId="38" fillId="0" borderId="63" xfId="0" applyFont="1" applyBorder="1" applyAlignment="1">
      <alignment horizontal="left" vertical="center"/>
    </xf>
    <xf numFmtId="40" fontId="38" fillId="0" borderId="17" xfId="0" applyNumberFormat="1" applyFont="1" applyBorder="1" applyAlignment="1">
      <alignment horizontal="center" vertical="center"/>
    </xf>
    <xf numFmtId="0" fontId="38" fillId="0" borderId="3" xfId="0" applyFont="1" applyBorder="1" applyAlignment="1">
      <alignment horizontal="left" vertical="center"/>
    </xf>
    <xf numFmtId="176" fontId="38" fillId="0" borderId="3" xfId="0" applyNumberFormat="1" applyFont="1" applyBorder="1" applyAlignment="1">
      <alignment horizontal="left" vertical="center"/>
    </xf>
    <xf numFmtId="40" fontId="38" fillId="0" borderId="24" xfId="0" applyNumberFormat="1" applyFont="1" applyBorder="1" applyAlignment="1">
      <alignment horizontal="center" vertical="center"/>
    </xf>
    <xf numFmtId="0" fontId="38" fillId="0" borderId="65" xfId="0" applyFont="1" applyBorder="1" applyAlignment="1">
      <alignment horizontal="left" vertical="center"/>
    </xf>
    <xf numFmtId="0" fontId="38" fillId="0" borderId="54" xfId="0" applyFont="1" applyBorder="1" applyAlignment="1">
      <alignment horizontal="center" vertical="center"/>
    </xf>
    <xf numFmtId="0" fontId="38" fillId="0" borderId="4" xfId="0" applyFont="1" applyBorder="1" applyAlignment="1">
      <alignment horizontal="center" vertical="center"/>
    </xf>
    <xf numFmtId="0" fontId="38" fillId="0" borderId="56" xfId="0" applyFont="1" applyBorder="1" applyAlignment="1">
      <alignment horizontal="center" vertical="center"/>
    </xf>
    <xf numFmtId="2" fontId="38" fillId="0" borderId="4" xfId="0" applyNumberFormat="1" applyFont="1" applyBorder="1" applyAlignment="1">
      <alignment horizontal="right" vertical="center"/>
    </xf>
    <xf numFmtId="2" fontId="38" fillId="0" borderId="1" xfId="0" applyNumberFormat="1" applyFont="1" applyBorder="1" applyAlignment="1">
      <alignment horizontal="right" vertical="center"/>
    </xf>
    <xf numFmtId="2" fontId="38" fillId="0" borderId="46" xfId="0" applyNumberFormat="1" applyFont="1" applyBorder="1" applyAlignment="1">
      <alignment horizontal="right" vertical="center"/>
    </xf>
    <xf numFmtId="38" fontId="38" fillId="0" borderId="0" xfId="0" applyNumberFormat="1" applyFont="1" applyAlignment="1">
      <alignment horizontal="center" vertical="center"/>
    </xf>
    <xf numFmtId="0" fontId="38" fillId="0" borderId="50" xfId="0" applyFont="1" applyBorder="1" applyAlignment="1">
      <alignment horizontal="center" vertical="center"/>
    </xf>
    <xf numFmtId="0" fontId="38" fillId="0" borderId="0" xfId="0" applyFont="1" applyBorder="1" applyAlignment="1">
      <alignment horizontal="center" vertical="center"/>
    </xf>
    <xf numFmtId="0" fontId="38" fillId="0" borderId="0" xfId="0" applyFont="1" applyAlignment="1">
      <alignment horizontal="left" vertical="center"/>
    </xf>
    <xf numFmtId="0" fontId="38" fillId="0" borderId="0" xfId="0" applyFont="1" applyBorder="1" applyAlignment="1">
      <alignment horizontal="left" vertical="center"/>
    </xf>
    <xf numFmtId="38" fontId="38" fillId="0" borderId="0" xfId="0" applyNumberFormat="1" applyFont="1" applyBorder="1" applyAlignment="1">
      <alignment horizontal="right" vertical="center"/>
    </xf>
    <xf numFmtId="0" fontId="38" fillId="0" borderId="76" xfId="0" applyFont="1" applyBorder="1" applyAlignment="1">
      <alignment horizontal="left" vertical="center"/>
    </xf>
    <xf numFmtId="0" fontId="38" fillId="0" borderId="0" xfId="0" applyNumberFormat="1" applyFont="1" applyBorder="1" applyAlignment="1">
      <alignment horizontal="left" vertical="center"/>
    </xf>
    <xf numFmtId="0" fontId="38" fillId="0" borderId="61" xfId="0" applyFont="1" applyBorder="1" applyAlignment="1">
      <alignment horizontal="left" vertical="center"/>
    </xf>
    <xf numFmtId="0" fontId="55" fillId="0" borderId="0" xfId="0" applyFont="1" applyAlignment="1">
      <alignment horizontal="center" vertical="center"/>
    </xf>
    <xf numFmtId="0" fontId="35" fillId="9" borderId="1" xfId="0" applyFont="1" applyFill="1" applyBorder="1" applyAlignment="1">
      <alignment vertical="center" shrinkToFit="1"/>
    </xf>
    <xf numFmtId="0" fontId="35" fillId="9" borderId="34" xfId="0" applyFont="1" applyFill="1" applyBorder="1" applyAlignment="1">
      <alignment horizontal="center" vertical="center" shrinkToFit="1"/>
    </xf>
    <xf numFmtId="0" fontId="35" fillId="9" borderId="64" xfId="0" applyFont="1" applyFill="1" applyBorder="1" applyAlignment="1">
      <alignment horizontal="center" vertical="center" shrinkToFit="1"/>
    </xf>
    <xf numFmtId="0" fontId="35"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38" fillId="0" borderId="0" xfId="0" applyFont="1" applyBorder="1" applyAlignment="1">
      <alignment vertical="center"/>
    </xf>
    <xf numFmtId="38" fontId="38" fillId="0" borderId="0" xfId="1" applyFont="1" applyBorder="1" applyAlignment="1">
      <alignment horizontal="right" vertical="center"/>
    </xf>
    <xf numFmtId="38" fontId="38" fillId="10" borderId="1" xfId="1" applyFont="1" applyFill="1" applyBorder="1" applyAlignment="1">
      <alignment vertical="center"/>
    </xf>
    <xf numFmtId="177" fontId="38" fillId="10" borderId="1" xfId="0" applyNumberFormat="1" applyFont="1" applyFill="1" applyBorder="1" applyAlignment="1">
      <alignment vertical="center"/>
    </xf>
    <xf numFmtId="38" fontId="38" fillId="10" borderId="0" xfId="0" applyNumberFormat="1" applyFont="1" applyFill="1" applyBorder="1" applyAlignment="1">
      <alignment vertical="center"/>
    </xf>
    <xf numFmtId="38" fontId="38" fillId="10" borderId="0" xfId="1" applyFont="1" applyFill="1" applyBorder="1" applyAlignment="1">
      <alignment vertical="center"/>
    </xf>
    <xf numFmtId="0" fontId="38" fillId="0" borderId="5" xfId="0" applyFont="1" applyBorder="1" applyAlignment="1">
      <alignment vertical="center"/>
    </xf>
    <xf numFmtId="38" fontId="38" fillId="0" borderId="55" xfId="1" applyFont="1" applyBorder="1" applyAlignment="1">
      <alignment horizontal="right" vertical="center"/>
    </xf>
    <xf numFmtId="0" fontId="38" fillId="0" borderId="17" xfId="0" applyFont="1" applyBorder="1" applyAlignment="1">
      <alignment horizontal="left" vertical="center"/>
    </xf>
    <xf numFmtId="0" fontId="38" fillId="7" borderId="50" xfId="0" applyFont="1" applyFill="1" applyBorder="1" applyAlignment="1">
      <alignment horizontal="center" vertical="center"/>
    </xf>
    <xf numFmtId="0" fontId="67" fillId="7" borderId="0" xfId="0" applyFont="1" applyFill="1" applyAlignment="1">
      <alignment horizontal="left" vertical="center"/>
    </xf>
    <xf numFmtId="0" fontId="38" fillId="15" borderId="50" xfId="0" applyFont="1" applyFill="1" applyBorder="1" applyAlignment="1">
      <alignment horizontal="center" vertical="center"/>
    </xf>
    <xf numFmtId="0" fontId="67" fillId="15" borderId="0" xfId="0" applyFont="1" applyFill="1" applyAlignment="1">
      <alignment horizontal="left" vertical="center"/>
    </xf>
    <xf numFmtId="0" fontId="67" fillId="5" borderId="0" xfId="0" applyFont="1" applyFill="1" applyAlignment="1">
      <alignment horizontal="left" vertical="center"/>
    </xf>
    <xf numFmtId="0" fontId="38"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38" fillId="0" borderId="64" xfId="0" applyFont="1" applyBorder="1" applyAlignment="1">
      <alignment vertical="center"/>
    </xf>
    <xf numFmtId="38" fontId="38" fillId="0" borderId="34" xfId="1" applyFont="1" applyBorder="1" applyAlignment="1">
      <alignment horizontal="right" vertical="center"/>
    </xf>
    <xf numFmtId="0" fontId="38" fillId="0" borderId="2" xfId="0" applyFont="1" applyBorder="1" applyAlignment="1">
      <alignment vertical="center"/>
    </xf>
    <xf numFmtId="0" fontId="38" fillId="0" borderId="3" xfId="0" applyFont="1" applyBorder="1" applyAlignment="1">
      <alignment vertical="center"/>
    </xf>
    <xf numFmtId="177" fontId="38" fillId="0" borderId="2" xfId="1" applyNumberFormat="1" applyFont="1" applyBorder="1" applyAlignment="1">
      <alignment horizontal="right" vertical="center"/>
    </xf>
    <xf numFmtId="0" fontId="62"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38" fillId="11" borderId="72" xfId="0" applyFont="1" applyFill="1" applyBorder="1" applyAlignment="1" applyProtection="1">
      <alignment horizontal="right" vertical="center"/>
      <protection locked="0"/>
    </xf>
    <xf numFmtId="40" fontId="38" fillId="11" borderId="72" xfId="0" applyNumberFormat="1" applyFont="1" applyFill="1" applyBorder="1" applyAlignment="1" applyProtection="1">
      <alignment horizontal="right" vertical="center"/>
      <protection locked="0"/>
    </xf>
    <xf numFmtId="0" fontId="0" fillId="0" borderId="1" xfId="0" applyBorder="1" applyAlignment="1">
      <alignment horizontal="center" vertical="center"/>
    </xf>
    <xf numFmtId="0" fontId="38"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6" borderId="1" xfId="0" applyFont="1" applyFill="1" applyBorder="1" applyAlignment="1">
      <alignment horizontal="center" vertical="center" wrapText="1"/>
    </xf>
    <xf numFmtId="38" fontId="0" fillId="16" borderId="1" xfId="1" applyFont="1" applyFill="1" applyBorder="1">
      <alignment vertical="center"/>
    </xf>
    <xf numFmtId="0" fontId="72" fillId="0" borderId="0" xfId="0" applyFont="1" applyAlignment="1">
      <alignment vertical="center"/>
    </xf>
    <xf numFmtId="14" fontId="72" fillId="0" borderId="0" xfId="0" applyNumberFormat="1" applyFont="1" applyAlignment="1">
      <alignment vertical="center"/>
    </xf>
    <xf numFmtId="0" fontId="38" fillId="9" borderId="45" xfId="0" applyFont="1" applyFill="1" applyBorder="1" applyAlignment="1">
      <alignment horizontal="center" vertical="center"/>
    </xf>
    <xf numFmtId="0" fontId="38" fillId="0" borderId="43" xfId="0" applyFont="1" applyBorder="1" applyAlignment="1">
      <alignment horizontal="left" vertical="center"/>
    </xf>
    <xf numFmtId="0" fontId="38" fillId="0" borderId="57" xfId="0" applyFont="1" applyBorder="1" applyAlignment="1">
      <alignment horizontal="left" vertical="center"/>
    </xf>
    <xf numFmtId="0" fontId="38" fillId="9" borderId="36" xfId="0" applyFont="1" applyFill="1" applyBorder="1" applyAlignment="1">
      <alignment horizontal="right" vertical="center"/>
    </xf>
    <xf numFmtId="0" fontId="38" fillId="9" borderId="37" xfId="0" applyFont="1" applyFill="1" applyBorder="1" applyAlignment="1">
      <alignment horizontal="right" vertical="center"/>
    </xf>
    <xf numFmtId="177" fontId="38" fillId="9" borderId="37" xfId="1" applyNumberFormat="1" applyFont="1" applyFill="1" applyBorder="1" applyAlignment="1">
      <alignment horizontal="right" vertical="center"/>
    </xf>
    <xf numFmtId="38" fontId="38" fillId="0" borderId="39" xfId="1" applyFont="1" applyFill="1" applyBorder="1" applyAlignment="1">
      <alignment horizontal="right" vertical="center"/>
    </xf>
    <xf numFmtId="0" fontId="38" fillId="0" borderId="64" xfId="0" applyFont="1" applyBorder="1" applyAlignment="1">
      <alignment horizontal="center" vertical="center"/>
    </xf>
    <xf numFmtId="0" fontId="38" fillId="0" borderId="64" xfId="0" applyFont="1" applyBorder="1" applyAlignment="1">
      <alignment horizontal="left" vertical="center"/>
    </xf>
    <xf numFmtId="0" fontId="38" fillId="0" borderId="50" xfId="0" applyFont="1" applyBorder="1" applyAlignment="1">
      <alignment horizontal="left" vertical="center"/>
    </xf>
    <xf numFmtId="0" fontId="38" fillId="0" borderId="5" xfId="0" applyFont="1" applyBorder="1" applyAlignment="1">
      <alignment horizontal="center" vertical="center"/>
    </xf>
    <xf numFmtId="0" fontId="38"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2" fillId="0" borderId="2" xfId="0" applyFont="1" applyBorder="1" applyAlignment="1">
      <alignment horizontal="center" vertical="center" shrinkToFit="1"/>
    </xf>
    <xf numFmtId="0" fontId="62" fillId="0" borderId="1" xfId="0" applyFont="1" applyBorder="1" applyAlignment="1">
      <alignment horizontal="left" vertical="center"/>
    </xf>
    <xf numFmtId="38" fontId="38" fillId="0" borderId="1" xfId="1" applyFont="1" applyBorder="1" applyAlignment="1">
      <alignment horizontal="left" vertical="center"/>
    </xf>
    <xf numFmtId="0" fontId="38"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4" fillId="10" borderId="0" xfId="0" applyFont="1" applyFill="1" applyAlignment="1">
      <alignment vertical="center"/>
    </xf>
    <xf numFmtId="0" fontId="76" fillId="0" borderId="112" xfId="2" applyFont="1" applyBorder="1" applyAlignment="1" applyProtection="1">
      <alignment vertical="center"/>
    </xf>
    <xf numFmtId="0" fontId="76" fillId="0" borderId="112" xfId="2" applyFont="1" applyBorder="1" applyProtection="1">
      <alignment vertical="center"/>
    </xf>
    <xf numFmtId="0" fontId="76" fillId="0" borderId="112" xfId="2" applyFont="1" applyBorder="1" applyAlignment="1" applyProtection="1">
      <alignment vertical="center" wrapText="1"/>
    </xf>
    <xf numFmtId="0" fontId="76" fillId="0" borderId="112"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13"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3" fillId="10" borderId="0" xfId="0" applyFont="1" applyFill="1" applyBorder="1" applyAlignment="1">
      <alignment horizontal="right" vertical="center"/>
    </xf>
    <xf numFmtId="0" fontId="43" fillId="10" borderId="135"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1"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59"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2"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2"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59"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0" fillId="10" borderId="73" xfId="0" applyFont="1" applyFill="1" applyBorder="1" applyAlignment="1">
      <alignment horizontal="center" vertical="center"/>
    </xf>
    <xf numFmtId="0" fontId="40" fillId="10" borderId="135" xfId="0" applyFont="1" applyFill="1" applyBorder="1" applyAlignment="1">
      <alignment horizontal="center" vertical="center"/>
    </xf>
    <xf numFmtId="0" fontId="40" fillId="11" borderId="135" xfId="0" applyFont="1" applyFill="1" applyBorder="1" applyAlignment="1" applyProtection="1">
      <alignment vertical="center"/>
      <protection locked="0"/>
    </xf>
    <xf numFmtId="0" fontId="38" fillId="0" borderId="138" xfId="0" applyFont="1" applyFill="1" applyBorder="1" applyAlignment="1" applyProtection="1">
      <alignment vertical="center"/>
      <protection locked="0"/>
    </xf>
    <xf numFmtId="0" fontId="38" fillId="0" borderId="139" xfId="0" applyFont="1" applyFill="1" applyBorder="1" applyAlignment="1" applyProtection="1">
      <alignment vertical="center"/>
      <protection locked="0"/>
    </xf>
    <xf numFmtId="0" fontId="38" fillId="10" borderId="80" xfId="0" applyFont="1" applyFill="1" applyBorder="1" applyAlignment="1">
      <alignment horizontal="center" vertical="center"/>
    </xf>
    <xf numFmtId="0" fontId="38" fillId="11" borderId="138" xfId="0" applyFont="1" applyFill="1" applyBorder="1" applyAlignment="1" applyProtection="1">
      <alignment horizontal="right" vertical="center"/>
      <protection locked="0"/>
    </xf>
    <xf numFmtId="0" fontId="38" fillId="11" borderId="140" xfId="0" applyFont="1" applyFill="1" applyBorder="1" applyAlignment="1" applyProtection="1">
      <alignment horizontal="right" vertical="center"/>
      <protection locked="0"/>
    </xf>
    <xf numFmtId="0" fontId="38" fillId="11" borderId="139" xfId="0" applyFont="1" applyFill="1" applyBorder="1" applyAlignment="1" applyProtection="1">
      <alignment horizontal="right" vertical="center"/>
      <protection locked="0"/>
    </xf>
    <xf numFmtId="0" fontId="38" fillId="10" borderId="141" xfId="0" applyFont="1" applyFill="1" applyBorder="1" applyAlignment="1">
      <alignment vertical="center"/>
    </xf>
    <xf numFmtId="0" fontId="44" fillId="10" borderId="0" xfId="0" applyFont="1" applyFill="1" applyAlignment="1">
      <alignment horizontal="right" vertical="center"/>
    </xf>
    <xf numFmtId="0" fontId="10" fillId="0" borderId="71" xfId="2" applyBorder="1" applyProtection="1">
      <alignment vertical="center"/>
    </xf>
    <xf numFmtId="0" fontId="10" fillId="0" borderId="143" xfId="2" applyBorder="1" applyProtection="1">
      <alignment vertical="center"/>
    </xf>
    <xf numFmtId="187" fontId="10" fillId="0" borderId="143"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38" fillId="10" borderId="6" xfId="0" applyFont="1" applyFill="1" applyBorder="1" applyAlignment="1">
      <alignment horizontal="center" vertical="center"/>
    </xf>
    <xf numFmtId="0" fontId="39"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90" fillId="10" borderId="0" xfId="0" applyFont="1" applyFill="1" applyAlignment="1">
      <alignment vertical="center"/>
    </xf>
    <xf numFmtId="0" fontId="91" fillId="10" borderId="0" xfId="0" applyFont="1" applyFill="1" applyAlignment="1">
      <alignment vertical="center"/>
    </xf>
    <xf numFmtId="0" fontId="52" fillId="9" borderId="8" xfId="0" applyFont="1" applyFill="1" applyBorder="1" applyAlignment="1">
      <alignment vertical="center"/>
    </xf>
    <xf numFmtId="0" fontId="35" fillId="10" borderId="0" xfId="0" applyFont="1" applyFill="1" applyBorder="1" applyAlignment="1">
      <alignment vertical="center"/>
    </xf>
    <xf numFmtId="0" fontId="38" fillId="10" borderId="120" xfId="0" applyFont="1" applyFill="1" applyBorder="1" applyAlignment="1">
      <alignment vertical="center"/>
    </xf>
    <xf numFmtId="0" fontId="38" fillId="10" borderId="120" xfId="0" applyFont="1" applyFill="1" applyBorder="1" applyAlignment="1">
      <alignment horizontal="center" vertical="center"/>
    </xf>
    <xf numFmtId="0" fontId="50" fillId="10" borderId="33" xfId="0" applyFont="1" applyFill="1" applyBorder="1" applyAlignment="1">
      <alignment horizontal="center" vertical="center"/>
    </xf>
    <xf numFmtId="0" fontId="50" fillId="10" borderId="34" xfId="0" applyFont="1" applyFill="1" applyBorder="1" applyAlignment="1">
      <alignment horizontal="center" vertical="center"/>
    </xf>
    <xf numFmtId="0" fontId="50" fillId="10" borderId="35" xfId="0" applyFont="1" applyFill="1" applyBorder="1" applyAlignment="1">
      <alignment vertical="center"/>
    </xf>
    <xf numFmtId="31" fontId="5" fillId="0" borderId="0" xfId="0" applyNumberFormat="1" applyFont="1" applyAlignment="1">
      <alignment vertical="center"/>
    </xf>
    <xf numFmtId="0" fontId="7" fillId="18" borderId="0" xfId="0" applyFont="1" applyFill="1" applyAlignment="1">
      <alignment vertical="center"/>
    </xf>
    <xf numFmtId="0" fontId="6" fillId="18" borderId="1" xfId="0" applyFont="1" applyFill="1" applyBorder="1" applyAlignment="1">
      <alignment horizontal="center" vertical="center" wrapText="1"/>
    </xf>
    <xf numFmtId="0" fontId="7" fillId="18" borderId="1" xfId="0" applyFont="1" applyFill="1" applyBorder="1" applyAlignment="1">
      <alignment vertical="center"/>
    </xf>
    <xf numFmtId="0" fontId="7" fillId="18"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8" borderId="0" xfId="0" applyFont="1" applyFill="1" applyBorder="1" applyAlignment="1">
      <alignment horizontal="left" vertical="center"/>
    </xf>
    <xf numFmtId="0" fontId="12" fillId="18" borderId="0" xfId="0" applyFont="1" applyFill="1" applyBorder="1" applyAlignment="1">
      <alignment vertical="center"/>
    </xf>
    <xf numFmtId="0" fontId="12" fillId="18" borderId="0" xfId="0" applyFont="1" applyFill="1" applyBorder="1" applyAlignment="1">
      <alignment horizontal="left" vertical="center"/>
    </xf>
    <xf numFmtId="0" fontId="6" fillId="18" borderId="0" xfId="0" applyFont="1" applyFill="1" applyBorder="1" applyAlignment="1">
      <alignment vertical="center"/>
    </xf>
    <xf numFmtId="0" fontId="12" fillId="18" borderId="0" xfId="0" applyFont="1" applyFill="1" applyAlignment="1">
      <alignment vertical="center"/>
    </xf>
    <xf numFmtId="0" fontId="6" fillId="18" borderId="1" xfId="0" applyFont="1" applyFill="1" applyBorder="1" applyAlignment="1">
      <alignment horizontal="center" vertical="center"/>
    </xf>
    <xf numFmtId="0" fontId="6" fillId="18" borderId="1" xfId="0" applyFont="1" applyFill="1" applyBorder="1" applyAlignment="1">
      <alignment horizontal="left" vertical="center"/>
    </xf>
    <xf numFmtId="0" fontId="6" fillId="18" borderId="1" xfId="0" applyFont="1" applyFill="1" applyBorder="1" applyAlignment="1">
      <alignment vertical="center"/>
    </xf>
    <xf numFmtId="38" fontId="6" fillId="18" borderId="1" xfId="0" applyNumberFormat="1" applyFont="1" applyFill="1" applyBorder="1" applyAlignment="1">
      <alignment vertical="center"/>
    </xf>
    <xf numFmtId="38" fontId="6" fillId="18" borderId="1" xfId="0" applyNumberFormat="1" applyFont="1" applyFill="1" applyBorder="1" applyAlignment="1">
      <alignment horizontal="right" vertical="center"/>
    </xf>
    <xf numFmtId="0" fontId="6" fillId="18"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8" borderId="1" xfId="0" applyFill="1" applyBorder="1" applyAlignment="1">
      <alignment horizontal="center" vertical="center" wrapText="1"/>
    </xf>
    <xf numFmtId="38" fontId="0" fillId="18" borderId="1" xfId="1" applyFont="1" applyFill="1" applyBorder="1">
      <alignment vertical="center"/>
    </xf>
    <xf numFmtId="38" fontId="0" fillId="18" borderId="1" xfId="0" applyNumberFormat="1" applyFill="1" applyBorder="1" applyAlignment="1">
      <alignment vertical="center"/>
    </xf>
    <xf numFmtId="0" fontId="0" fillId="18" borderId="1" xfId="0" applyFill="1" applyBorder="1" applyAlignment="1">
      <alignment vertical="center"/>
    </xf>
    <xf numFmtId="2" fontId="0" fillId="18" borderId="1" xfId="0" applyNumberFormat="1" applyFill="1" applyBorder="1" applyAlignment="1">
      <alignment vertical="center"/>
    </xf>
    <xf numFmtId="0" fontId="4" fillId="18" borderId="0" xfId="0" applyFont="1" applyFill="1" applyBorder="1" applyAlignment="1">
      <alignment horizontal="left" vertical="center"/>
    </xf>
    <xf numFmtId="0" fontId="4" fillId="18" borderId="0" xfId="0" applyFont="1" applyFill="1" applyAlignment="1">
      <alignment vertical="center"/>
    </xf>
    <xf numFmtId="0" fontId="4" fillId="18" borderId="22" xfId="0" applyFont="1" applyFill="1" applyBorder="1" applyAlignment="1">
      <alignment horizontal="center" vertical="center"/>
    </xf>
    <xf numFmtId="0" fontId="4" fillId="18" borderId="8" xfId="0" applyFont="1" applyFill="1" applyBorder="1" applyAlignment="1">
      <alignment horizontal="center" vertical="center"/>
    </xf>
    <xf numFmtId="38" fontId="4" fillId="18" borderId="8" xfId="0" applyNumberFormat="1" applyFont="1" applyFill="1" applyBorder="1" applyAlignment="1">
      <alignment horizontal="right" vertical="center"/>
    </xf>
    <xf numFmtId="38" fontId="4" fillId="18" borderId="13" xfId="0" applyNumberFormat="1" applyFont="1" applyFill="1" applyBorder="1" applyAlignment="1">
      <alignment horizontal="right" vertical="center"/>
    </xf>
    <xf numFmtId="0" fontId="4" fillId="18" borderId="1" xfId="0" applyFont="1" applyFill="1" applyBorder="1" applyAlignment="1">
      <alignment horizontal="center" vertical="center"/>
    </xf>
    <xf numFmtId="38" fontId="4" fillId="18" borderId="1" xfId="0" applyNumberFormat="1" applyFont="1" applyFill="1" applyBorder="1" applyAlignment="1">
      <alignment horizontal="right" vertical="center"/>
    </xf>
    <xf numFmtId="38" fontId="4" fillId="18" borderId="17" xfId="0" applyNumberFormat="1" applyFont="1" applyFill="1" applyBorder="1" applyAlignment="1">
      <alignment horizontal="right" vertical="center"/>
    </xf>
    <xf numFmtId="0" fontId="4" fillId="18" borderId="33" xfId="0" applyFont="1" applyFill="1" applyBorder="1" applyAlignment="1">
      <alignment horizontal="center" vertical="center"/>
    </xf>
    <xf numFmtId="38" fontId="4" fillId="18" borderId="33" xfId="0" applyNumberFormat="1" applyFont="1" applyFill="1" applyBorder="1" applyAlignment="1">
      <alignment horizontal="right" vertical="center"/>
    </xf>
    <xf numFmtId="38" fontId="4" fillId="18" borderId="35" xfId="0" applyNumberFormat="1" applyFont="1" applyFill="1" applyBorder="1" applyAlignment="1">
      <alignment horizontal="right" vertical="center"/>
    </xf>
    <xf numFmtId="0" fontId="4" fillId="18" borderId="36" xfId="0" applyFont="1" applyFill="1" applyBorder="1" applyAlignment="1">
      <alignment horizontal="center" vertical="center"/>
    </xf>
    <xf numFmtId="38" fontId="4" fillId="18" borderId="37" xfId="0" applyNumberFormat="1" applyFont="1" applyFill="1" applyBorder="1" applyAlignment="1">
      <alignment horizontal="center" vertical="center"/>
    </xf>
    <xf numFmtId="38" fontId="4" fillId="18" borderId="39" xfId="0" applyNumberFormat="1" applyFont="1" applyFill="1" applyBorder="1" applyAlignment="1">
      <alignment horizontal="center" vertical="center"/>
    </xf>
    <xf numFmtId="0" fontId="4" fillId="18" borderId="31" xfId="0" applyFont="1" applyFill="1" applyBorder="1" applyAlignment="1">
      <alignment horizontal="center" vertical="center"/>
    </xf>
    <xf numFmtId="0" fontId="4" fillId="18" borderId="40" xfId="0" applyFont="1" applyFill="1" applyBorder="1" applyAlignment="1">
      <alignment horizontal="center" vertical="center"/>
    </xf>
    <xf numFmtId="38" fontId="4" fillId="18" borderId="25" xfId="1" applyFont="1" applyFill="1" applyBorder="1" applyAlignment="1">
      <alignment horizontal="right" vertical="center"/>
    </xf>
    <xf numFmtId="0" fontId="4" fillId="18" borderId="25" xfId="0" applyFont="1" applyFill="1" applyBorder="1" applyAlignment="1">
      <alignment horizontal="right" vertical="center"/>
    </xf>
    <xf numFmtId="38" fontId="4" fillId="18" borderId="76" xfId="1" applyFont="1" applyFill="1" applyBorder="1" applyAlignment="1">
      <alignment horizontal="right" vertical="center"/>
    </xf>
    <xf numFmtId="38" fontId="4" fillId="18" borderId="25" xfId="1" applyFont="1" applyFill="1" applyBorder="1" applyAlignment="1">
      <alignment horizontal="center" vertical="center"/>
    </xf>
    <xf numFmtId="0" fontId="4" fillId="18" borderId="4" xfId="0" applyFont="1" applyFill="1" applyBorder="1" applyAlignment="1">
      <alignment horizontal="center" vertical="center"/>
    </xf>
    <xf numFmtId="38" fontId="4" fillId="18" borderId="30" xfId="1" applyFont="1" applyFill="1" applyBorder="1" applyAlignment="1">
      <alignment horizontal="right" vertical="center"/>
    </xf>
    <xf numFmtId="0" fontId="4" fillId="18" borderId="30" xfId="0" applyFont="1" applyFill="1" applyBorder="1" applyAlignment="1">
      <alignment horizontal="right" vertical="center"/>
    </xf>
    <xf numFmtId="38" fontId="4" fillId="18" borderId="16" xfId="1" applyFont="1" applyFill="1" applyBorder="1" applyAlignment="1">
      <alignment horizontal="right" vertical="center"/>
    </xf>
    <xf numFmtId="38" fontId="4" fillId="18" borderId="30" xfId="1" applyFont="1" applyFill="1" applyBorder="1" applyAlignment="1">
      <alignment horizontal="center" vertical="center"/>
    </xf>
    <xf numFmtId="176" fontId="4" fillId="18" borderId="30" xfId="0" applyNumberFormat="1" applyFont="1" applyFill="1" applyBorder="1" applyAlignment="1">
      <alignment horizontal="right" vertical="center"/>
    </xf>
    <xf numFmtId="0" fontId="4" fillId="18" borderId="56" xfId="0" applyFont="1" applyFill="1" applyBorder="1" applyAlignment="1">
      <alignment horizontal="center" vertical="center"/>
    </xf>
    <xf numFmtId="38" fontId="4" fillId="18" borderId="31" xfId="1" applyFont="1" applyFill="1" applyBorder="1" applyAlignment="1">
      <alignment horizontal="right" vertical="center"/>
    </xf>
    <xf numFmtId="0" fontId="4" fillId="18" borderId="31" xfId="0" applyFont="1" applyFill="1" applyBorder="1" applyAlignment="1">
      <alignment horizontal="right" vertical="center"/>
    </xf>
    <xf numFmtId="38" fontId="4" fillId="18" borderId="61" xfId="1" applyFont="1" applyFill="1" applyBorder="1" applyAlignment="1">
      <alignment horizontal="right" vertical="center"/>
    </xf>
    <xf numFmtId="0" fontId="96" fillId="18" borderId="36" xfId="0" applyFont="1" applyFill="1" applyBorder="1" applyAlignment="1">
      <alignment horizontal="center" vertical="center"/>
    </xf>
    <xf numFmtId="38" fontId="96" fillId="18" borderId="37" xfId="0" applyNumberFormat="1" applyFont="1" applyFill="1" applyBorder="1" applyAlignment="1">
      <alignment horizontal="center" vertical="center"/>
    </xf>
    <xf numFmtId="38" fontId="96" fillId="18" borderId="39" xfId="0" applyNumberFormat="1" applyFont="1" applyFill="1" applyBorder="1" applyAlignment="1">
      <alignment horizontal="center" vertical="center"/>
    </xf>
    <xf numFmtId="38" fontId="96" fillId="18" borderId="67" xfId="1" applyFont="1" applyFill="1" applyBorder="1" applyAlignment="1">
      <alignment horizontal="center" vertical="center"/>
    </xf>
    <xf numFmtId="0" fontId="4" fillId="2" borderId="67" xfId="0" applyFont="1" applyFill="1" applyBorder="1" applyAlignment="1">
      <alignment horizontal="center" vertical="center"/>
    </xf>
    <xf numFmtId="38" fontId="96" fillId="18" borderId="59" xfId="1" applyFont="1" applyFill="1" applyBorder="1" applyAlignment="1">
      <alignment horizontal="right" vertical="center"/>
    </xf>
    <xf numFmtId="0" fontId="4" fillId="18" borderId="2" xfId="0" applyFont="1" applyFill="1" applyBorder="1" applyAlignment="1">
      <alignment horizontal="center" vertical="center"/>
    </xf>
    <xf numFmtId="0" fontId="4" fillId="18" borderId="34" xfId="0" applyFont="1" applyFill="1" applyBorder="1" applyAlignment="1">
      <alignment horizontal="center" vertical="center"/>
    </xf>
    <xf numFmtId="38" fontId="4" fillId="18" borderId="16" xfId="0" applyNumberFormat="1" applyFont="1" applyFill="1" applyBorder="1" applyAlignment="1">
      <alignment horizontal="right" vertical="center"/>
    </xf>
    <xf numFmtId="38" fontId="4" fillId="18" borderId="86" xfId="0" applyNumberFormat="1" applyFont="1" applyFill="1" applyBorder="1" applyAlignment="1">
      <alignment horizontal="right" vertical="center"/>
    </xf>
    <xf numFmtId="0" fontId="4" fillId="18" borderId="55" xfId="0" applyFont="1" applyFill="1" applyBorder="1" applyAlignment="1">
      <alignment horizontal="center" vertical="center"/>
    </xf>
    <xf numFmtId="38" fontId="4" fillId="18" borderId="19" xfId="0" applyNumberFormat="1" applyFont="1" applyFill="1" applyBorder="1" applyAlignment="1">
      <alignment horizontal="right" vertical="center"/>
    </xf>
    <xf numFmtId="38" fontId="4" fillId="18" borderId="144" xfId="0" applyNumberFormat="1" applyFont="1" applyFill="1" applyBorder="1" applyAlignment="1">
      <alignment horizontal="right" vertical="center"/>
    </xf>
    <xf numFmtId="0" fontId="4" fillId="18" borderId="10" xfId="0" applyFont="1" applyFill="1" applyBorder="1" applyAlignment="1">
      <alignment horizontal="center" vertical="center"/>
    </xf>
    <xf numFmtId="38" fontId="4" fillId="18" borderId="11" xfId="0" applyNumberFormat="1" applyFont="1" applyFill="1" applyBorder="1" applyAlignment="1">
      <alignment horizontal="center" vertical="center"/>
    </xf>
    <xf numFmtId="38" fontId="4" fillId="18"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8"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96" fillId="0" borderId="0" xfId="0" applyFont="1" applyFill="1" applyBorder="1" applyAlignment="1">
      <alignment horizontal="center" vertical="center"/>
    </xf>
    <xf numFmtId="38" fontId="96"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8" borderId="19" xfId="0" applyFont="1" applyFill="1" applyBorder="1" applyAlignment="1">
      <alignment horizontal="center" vertical="center"/>
    </xf>
    <xf numFmtId="38" fontId="4" fillId="18" borderId="20" xfId="0" applyNumberFormat="1" applyFont="1" applyFill="1" applyBorder="1" applyAlignment="1">
      <alignment horizontal="right" vertical="center"/>
    </xf>
    <xf numFmtId="0" fontId="97" fillId="0" borderId="0" xfId="0" applyFont="1" applyAlignment="1">
      <alignment vertical="center"/>
    </xf>
    <xf numFmtId="38" fontId="4" fillId="18" borderId="25" xfId="0" applyNumberFormat="1" applyFont="1" applyFill="1" applyBorder="1" applyAlignment="1">
      <alignment horizontal="right" vertical="center"/>
    </xf>
    <xf numFmtId="38" fontId="4" fillId="18" borderId="30" xfId="0" applyNumberFormat="1" applyFont="1" applyFill="1" applyBorder="1" applyAlignment="1">
      <alignment horizontal="right" vertical="center"/>
    </xf>
    <xf numFmtId="177" fontId="4" fillId="18" borderId="25" xfId="1" applyNumberFormat="1" applyFont="1" applyFill="1" applyBorder="1" applyAlignment="1">
      <alignment horizontal="right" vertical="center"/>
    </xf>
    <xf numFmtId="177" fontId="4" fillId="18" borderId="30" xfId="1" applyNumberFormat="1" applyFont="1" applyFill="1" applyBorder="1" applyAlignment="1">
      <alignment horizontal="right" vertical="center"/>
    </xf>
    <xf numFmtId="0" fontId="7" fillId="18" borderId="1" xfId="0" applyFont="1" applyFill="1" applyBorder="1" applyAlignment="1">
      <alignment horizontal="center" vertical="center"/>
    </xf>
    <xf numFmtId="0" fontId="12"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38" fontId="4" fillId="18" borderId="25" xfId="0" applyNumberFormat="1" applyFont="1" applyFill="1" applyBorder="1" applyAlignment="1">
      <alignment horizontal="center" vertical="center"/>
    </xf>
    <xf numFmtId="38" fontId="4" fillId="18" borderId="30" xfId="0" applyNumberFormat="1" applyFont="1" applyFill="1" applyBorder="1" applyAlignment="1">
      <alignment horizontal="center" vertical="center"/>
    </xf>
    <xf numFmtId="0" fontId="62" fillId="9" borderId="22" xfId="0" applyFont="1" applyFill="1" applyBorder="1" applyAlignment="1">
      <alignment horizontal="center" vertical="center"/>
    </xf>
    <xf numFmtId="0" fontId="99" fillId="9" borderId="22" xfId="0" applyFont="1" applyFill="1" applyBorder="1" applyAlignment="1">
      <alignment horizontal="center" vertical="center"/>
    </xf>
    <xf numFmtId="190" fontId="0" fillId="0" borderId="0" xfId="0" applyNumberFormat="1" applyAlignment="1">
      <alignment horizontal="left"/>
    </xf>
    <xf numFmtId="0" fontId="0" fillId="0" borderId="3" xfId="0" applyBorder="1"/>
    <xf numFmtId="0" fontId="100" fillId="10" borderId="0" xfId="0" applyFont="1" applyFill="1" applyAlignment="1">
      <alignment vertical="center"/>
    </xf>
    <xf numFmtId="0" fontId="7" fillId="18" borderId="1" xfId="0" applyFont="1" applyFill="1" applyBorder="1" applyAlignment="1">
      <alignment horizontal="center"/>
    </xf>
    <xf numFmtId="38" fontId="7" fillId="18" borderId="1" xfId="0" applyNumberFormat="1" applyFont="1" applyFill="1" applyBorder="1" applyAlignment="1">
      <alignment horizontal="center" vertical="center"/>
    </xf>
    <xf numFmtId="38" fontId="7" fillId="18" borderId="1" xfId="0" applyNumberFormat="1" applyFont="1" applyFill="1" applyBorder="1" applyAlignment="1">
      <alignment horizontal="center"/>
    </xf>
    <xf numFmtId="0" fontId="46"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101"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02" fillId="0" borderId="0" xfId="0" applyFont="1" applyAlignment="1">
      <alignment vertical="center"/>
    </xf>
    <xf numFmtId="0" fontId="103" fillId="0" borderId="0" xfId="0" applyFont="1" applyAlignment="1">
      <alignment vertical="center"/>
    </xf>
    <xf numFmtId="0" fontId="51" fillId="0" borderId="0" xfId="0" applyFont="1" applyAlignment="1">
      <alignment vertical="center"/>
    </xf>
    <xf numFmtId="0" fontId="60" fillId="0" borderId="0" xfId="0" applyFont="1" applyAlignment="1">
      <alignment vertical="center"/>
    </xf>
    <xf numFmtId="0" fontId="29" fillId="0" borderId="1" xfId="0" applyFont="1" applyBorder="1" applyAlignment="1">
      <alignment horizontal="center" vertical="center"/>
    </xf>
    <xf numFmtId="191" fontId="29" fillId="0" borderId="1" xfId="1" applyNumberFormat="1" applyFont="1" applyBorder="1" applyAlignment="1">
      <alignment horizontal="center" vertical="center" wrapText="1"/>
    </xf>
    <xf numFmtId="0" fontId="29" fillId="19" borderId="1" xfId="0" applyFont="1" applyFill="1" applyBorder="1" applyAlignment="1">
      <alignment vertical="center"/>
    </xf>
    <xf numFmtId="191" fontId="29" fillId="19" borderId="1" xfId="1" applyNumberFormat="1" applyFont="1" applyFill="1" applyBorder="1" applyAlignment="1">
      <alignment vertical="center"/>
    </xf>
    <xf numFmtId="0" fontId="29" fillId="0" borderId="1" xfId="0" applyFont="1" applyBorder="1" applyAlignment="1">
      <alignment vertical="center"/>
    </xf>
    <xf numFmtId="191" fontId="29" fillId="0" borderId="1" xfId="1" applyNumberFormat="1" applyFont="1" applyBorder="1" applyAlignment="1">
      <alignment vertical="center"/>
    </xf>
    <xf numFmtId="0" fontId="29" fillId="21" borderId="1" xfId="0" applyFont="1" applyFill="1" applyBorder="1" applyAlignment="1">
      <alignment vertical="center"/>
    </xf>
    <xf numFmtId="191" fontId="29" fillId="21"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19" borderId="1" xfId="0" applyFill="1" applyBorder="1" applyAlignment="1">
      <alignment vertical="center"/>
    </xf>
    <xf numFmtId="0" fontId="0" fillId="19" borderId="1" xfId="0" applyFill="1" applyBorder="1" applyAlignment="1">
      <alignment horizontal="center" vertical="center"/>
    </xf>
    <xf numFmtId="0" fontId="0" fillId="19"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1"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1" borderId="1" xfId="0" applyFont="1" applyFill="1" applyBorder="1" applyAlignment="1">
      <alignment horizontal="center"/>
    </xf>
    <xf numFmtId="0" fontId="8" fillId="0" borderId="1" xfId="0" applyFont="1" applyFill="1" applyBorder="1" applyAlignment="1">
      <alignment horizontal="left"/>
    </xf>
    <xf numFmtId="0" fontId="19" fillId="21" borderId="1" xfId="0" applyFont="1" applyFill="1" applyBorder="1" applyAlignment="1">
      <alignment horizontal="center"/>
    </xf>
    <xf numFmtId="0" fontId="0" fillId="21" borderId="1" xfId="0" applyFill="1" applyBorder="1"/>
    <xf numFmtId="0" fontId="8" fillId="0" borderId="1" xfId="0" applyFont="1" applyBorder="1" applyAlignment="1">
      <alignment horizontal="left"/>
    </xf>
    <xf numFmtId="177" fontId="0" fillId="21"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7" borderId="0" xfId="0" applyNumberFormat="1" applyFill="1"/>
    <xf numFmtId="20" fontId="0" fillId="22" borderId="0" xfId="0" applyNumberFormat="1" applyFill="1"/>
    <xf numFmtId="0" fontId="29" fillId="0" borderId="0" xfId="0" quotePrefix="1" applyFont="1" applyAlignment="1">
      <alignment vertical="center"/>
    </xf>
    <xf numFmtId="0" fontId="102" fillId="0" borderId="0" xfId="0" applyFont="1" applyAlignment="1">
      <alignment horizontal="right" vertical="center"/>
    </xf>
    <xf numFmtId="0" fontId="103"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1" fontId="102" fillId="0" borderId="0" xfId="1" applyNumberFormat="1" applyFont="1" applyAlignment="1">
      <alignment vertical="center"/>
    </xf>
    <xf numFmtId="0" fontId="102" fillId="0" borderId="0" xfId="0" applyFont="1" applyAlignment="1">
      <alignment horizontal="center" vertical="center"/>
    </xf>
    <xf numFmtId="180" fontId="102" fillId="0" borderId="0" xfId="0" applyNumberFormat="1" applyFont="1" applyAlignment="1">
      <alignment vertical="center"/>
    </xf>
    <xf numFmtId="40" fontId="102" fillId="0" borderId="0" xfId="1" applyNumberFormat="1" applyFont="1" applyAlignment="1">
      <alignment vertical="center"/>
    </xf>
    <xf numFmtId="40" fontId="102" fillId="20" borderId="51" xfId="1" applyNumberFormat="1" applyFont="1" applyFill="1" applyBorder="1" applyAlignment="1">
      <alignment vertical="center"/>
    </xf>
    <xf numFmtId="0" fontId="102" fillId="20" borderId="51" xfId="0" applyFont="1" applyFill="1" applyBorder="1" applyAlignment="1">
      <alignment vertical="center"/>
    </xf>
    <xf numFmtId="0" fontId="29" fillId="20" borderId="59" xfId="0" applyFont="1" applyFill="1" applyBorder="1" applyAlignment="1">
      <alignment vertical="center"/>
    </xf>
    <xf numFmtId="0" fontId="103"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0" fillId="3" borderId="67" xfId="0" applyFont="1" applyFill="1" applyBorder="1" applyAlignment="1">
      <alignment vertical="center"/>
    </xf>
    <xf numFmtId="0" fontId="62" fillId="10" borderId="0" xfId="0" applyFont="1" applyFill="1" applyAlignment="1">
      <alignment vertical="center"/>
    </xf>
    <xf numFmtId="0" fontId="38"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52" fillId="10" borderId="1" xfId="0" applyNumberFormat="1" applyFont="1" applyFill="1" applyBorder="1" applyAlignment="1">
      <alignment vertical="center"/>
    </xf>
    <xf numFmtId="38" fontId="52" fillId="10" borderId="1" xfId="1" applyFont="1" applyFill="1" applyBorder="1" applyAlignment="1">
      <alignment vertical="center"/>
    </xf>
    <xf numFmtId="0" fontId="80" fillId="10" borderId="0" xfId="0" applyFont="1" applyFill="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177" fontId="38"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8" borderId="107" xfId="0" applyFont="1" applyFill="1" applyBorder="1" applyAlignment="1">
      <alignment vertical="center" wrapText="1"/>
    </xf>
    <xf numFmtId="177" fontId="0" fillId="0" borderId="3" xfId="1" applyNumberFormat="1" applyFont="1" applyBorder="1" applyAlignment="1">
      <alignment vertical="center"/>
    </xf>
    <xf numFmtId="40" fontId="0" fillId="18" borderId="1" xfId="1" applyNumberFormat="1" applyFont="1" applyFill="1" applyBorder="1" applyAlignment="1">
      <alignment vertical="center"/>
    </xf>
    <xf numFmtId="38" fontId="6" fillId="18" borderId="4" xfId="0" applyNumberFormat="1" applyFont="1" applyFill="1" applyBorder="1" applyAlignment="1">
      <alignment vertical="center"/>
    </xf>
    <xf numFmtId="38" fontId="6" fillId="18" borderId="33" xfId="0" applyNumberFormat="1" applyFont="1" applyFill="1" applyBorder="1" applyAlignment="1">
      <alignment vertical="center"/>
    </xf>
    <xf numFmtId="38" fontId="6" fillId="18" borderId="19" xfId="0" applyNumberFormat="1" applyFont="1" applyFill="1" applyBorder="1" applyAlignment="1">
      <alignment vertical="center"/>
    </xf>
    <xf numFmtId="38" fontId="6" fillId="18" borderId="2" xfId="0" applyNumberFormat="1" applyFont="1" applyFill="1" applyBorder="1" applyAlignment="1">
      <alignment vertical="center"/>
    </xf>
    <xf numFmtId="38" fontId="6" fillId="18" borderId="3" xfId="0" applyNumberFormat="1" applyFont="1" applyFill="1" applyBorder="1" applyAlignment="1">
      <alignment vertical="center"/>
    </xf>
    <xf numFmtId="0" fontId="6" fillId="18" borderId="33" xfId="0" applyFont="1" applyFill="1" applyBorder="1" applyAlignment="1">
      <alignment vertical="center"/>
    </xf>
    <xf numFmtId="0" fontId="6" fillId="18" borderId="55" xfId="0" applyFont="1" applyFill="1" applyBorder="1" applyAlignment="1">
      <alignment vertical="center"/>
    </xf>
    <xf numFmtId="38" fontId="0" fillId="18" borderId="1" xfId="1" applyFont="1" applyFill="1" applyBorder="1" applyAlignment="1">
      <alignment vertical="center"/>
    </xf>
    <xf numFmtId="0" fontId="4" fillId="0" borderId="0" xfId="0" applyFont="1" applyFill="1" applyAlignment="1">
      <alignment vertical="center"/>
    </xf>
    <xf numFmtId="0" fontId="6" fillId="18" borderId="1" xfId="0" applyFont="1" applyFill="1" applyBorder="1" applyAlignment="1">
      <alignment horizontal="center" vertical="center" wrapText="1"/>
    </xf>
    <xf numFmtId="38" fontId="0" fillId="18" borderId="1" xfId="0" applyNumberFormat="1" applyFont="1" applyFill="1" applyBorder="1" applyAlignment="1">
      <alignment vertical="center"/>
    </xf>
    <xf numFmtId="0" fontId="0" fillId="18" borderId="1" xfId="0" applyFont="1" applyFill="1" applyBorder="1" applyAlignment="1">
      <alignmen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0" borderId="0" xfId="0" applyFont="1" applyBorder="1" applyAlignment="1">
      <alignment horizontal="center" vertical="center"/>
    </xf>
    <xf numFmtId="0" fontId="6" fillId="18" borderId="1" xfId="0" applyFont="1" applyFill="1" applyBorder="1" applyAlignment="1">
      <alignment horizontal="center" vertical="center" wrapText="1"/>
    </xf>
    <xf numFmtId="191" fontId="0" fillId="18" borderId="1" xfId="1" applyNumberFormat="1" applyFont="1" applyFill="1" applyBorder="1" applyAlignment="1">
      <alignment vertical="center"/>
    </xf>
    <xf numFmtId="0" fontId="105" fillId="9" borderId="62" xfId="0" applyFont="1" applyFill="1" applyBorder="1" applyAlignment="1">
      <alignment horizontal="right" vertical="center"/>
    </xf>
    <xf numFmtId="177" fontId="0" fillId="0" borderId="3" xfId="0" applyNumberFormat="1" applyBorder="1" applyAlignment="1">
      <alignment vertical="center"/>
    </xf>
    <xf numFmtId="0" fontId="106" fillId="9" borderId="47" xfId="0" applyFont="1" applyFill="1" applyBorder="1" applyAlignment="1">
      <alignment horizontal="right" vertical="center"/>
    </xf>
    <xf numFmtId="0" fontId="106" fillId="9" borderId="62" xfId="0" applyFont="1" applyFill="1" applyBorder="1" applyAlignment="1">
      <alignment horizontal="right" vertical="center"/>
    </xf>
    <xf numFmtId="0" fontId="108" fillId="10" borderId="0" xfId="0" applyFont="1" applyFill="1" applyAlignment="1" applyProtection="1">
      <alignment vertical="center"/>
    </xf>
    <xf numFmtId="0" fontId="109" fillId="0" borderId="0" xfId="0" applyFont="1" applyFill="1" applyAlignment="1">
      <alignment vertical="center"/>
    </xf>
    <xf numFmtId="0" fontId="110" fillId="10" borderId="0" xfId="0" applyFont="1" applyFill="1" applyAlignment="1">
      <alignment vertical="center"/>
    </xf>
    <xf numFmtId="0" fontId="111" fillId="10" borderId="0" xfId="0" applyFont="1" applyFill="1" applyAlignment="1">
      <alignment vertical="center"/>
    </xf>
    <xf numFmtId="0" fontId="112" fillId="10" borderId="0" xfId="0" applyFont="1" applyFill="1" applyAlignment="1">
      <alignment vertical="center"/>
    </xf>
    <xf numFmtId="0" fontId="17" fillId="0" borderId="0" xfId="0" applyFont="1"/>
    <xf numFmtId="0" fontId="38" fillId="7" borderId="51" xfId="0" applyFont="1" applyFill="1" applyBorder="1" applyAlignment="1">
      <alignment horizontal="center" vertical="center"/>
    </xf>
    <xf numFmtId="0" fontId="38" fillId="7" borderId="59"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0" fontId="38" fillId="9" borderId="0" xfId="0" applyFont="1" applyFill="1" applyBorder="1" applyAlignment="1">
      <alignment horizontal="right"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 xfId="0" applyFont="1" applyFill="1" applyBorder="1" applyAlignment="1">
      <alignment horizontal="center" vertical="center" shrinkToFit="1"/>
    </xf>
    <xf numFmtId="0" fontId="38" fillId="9" borderId="0" xfId="0" applyFont="1" applyFill="1" applyBorder="1" applyAlignment="1">
      <alignment horizontal="center" vertical="center"/>
    </xf>
    <xf numFmtId="0" fontId="38" fillId="0" borderId="37" xfId="0" applyFont="1" applyBorder="1" applyAlignment="1">
      <alignment horizontal="left"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38" fillId="0" borderId="33" xfId="0" applyFont="1" applyBorder="1" applyAlignment="1">
      <alignment horizontal="left" vertical="center"/>
    </xf>
    <xf numFmtId="0" fontId="38" fillId="0" borderId="35" xfId="0" applyFont="1" applyBorder="1" applyAlignment="1">
      <alignment horizontal="left" vertical="center"/>
    </xf>
    <xf numFmtId="0" fontId="38" fillId="0" borderId="33" xfId="0" applyFont="1" applyBorder="1" applyAlignment="1">
      <alignment horizontal="right" vertical="center"/>
    </xf>
    <xf numFmtId="0" fontId="38" fillId="0" borderId="19" xfId="0" applyFont="1" applyBorder="1" applyAlignment="1">
      <alignment horizontal="left" vertical="center"/>
    </xf>
    <xf numFmtId="38" fontId="38" fillId="0" borderId="19" xfId="0" applyNumberFormat="1" applyFont="1" applyBorder="1" applyAlignment="1">
      <alignment horizontal="right" vertical="center"/>
    </xf>
    <xf numFmtId="0" fontId="38" fillId="9" borderId="46" xfId="0" applyFont="1" applyFill="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32" xfId="0" applyFont="1" applyFill="1" applyBorder="1" applyAlignment="1">
      <alignment horizontal="center" vertical="center"/>
    </xf>
    <xf numFmtId="0" fontId="38" fillId="5" borderId="51" xfId="0" applyFont="1" applyFill="1" applyBorder="1" applyAlignment="1">
      <alignment horizontal="center" vertical="center"/>
    </xf>
    <xf numFmtId="0" fontId="38" fillId="5" borderId="59" xfId="0" applyFont="1" applyFill="1" applyBorder="1" applyAlignment="1">
      <alignment horizontal="center" vertical="center"/>
    </xf>
    <xf numFmtId="0" fontId="38" fillId="15" borderId="51" xfId="0" applyFont="1" applyFill="1" applyBorder="1" applyAlignment="1">
      <alignment horizontal="center" vertical="center"/>
    </xf>
    <xf numFmtId="0" fontId="38" fillId="15" borderId="59" xfId="0" applyFont="1" applyFill="1" applyBorder="1" applyAlignment="1">
      <alignment horizontal="center" vertical="center"/>
    </xf>
    <xf numFmtId="0" fontId="113" fillId="10" borderId="0" xfId="0" applyFont="1" applyFill="1" applyAlignment="1" applyProtection="1">
      <alignment vertical="center"/>
    </xf>
    <xf numFmtId="0" fontId="102" fillId="19" borderId="67" xfId="0" applyFont="1" applyFill="1" applyBorder="1" applyAlignment="1" applyProtection="1">
      <alignment vertical="center"/>
      <protection locked="0"/>
    </xf>
    <xf numFmtId="180" fontId="102" fillId="19" borderId="67" xfId="0" applyNumberFormat="1" applyFont="1" applyFill="1" applyBorder="1" applyAlignment="1" applyProtection="1">
      <alignment horizontal="right" vertical="center"/>
      <protection locked="0"/>
    </xf>
    <xf numFmtId="0" fontId="44" fillId="10" borderId="0" xfId="0" applyFont="1" applyFill="1" applyBorder="1" applyAlignment="1">
      <alignment horizontal="left" vertical="center"/>
    </xf>
    <xf numFmtId="0" fontId="32" fillId="10" borderId="0" xfId="0" applyFont="1" applyFill="1" applyAlignment="1">
      <alignment vertical="center"/>
    </xf>
    <xf numFmtId="0" fontId="117" fillId="0" borderId="0" xfId="0" applyFont="1"/>
    <xf numFmtId="0" fontId="119" fillId="0" borderId="0" xfId="0" applyFont="1" applyFill="1" applyAlignment="1" applyProtection="1">
      <alignment vertical="center"/>
    </xf>
    <xf numFmtId="0" fontId="118" fillId="0" borderId="0" xfId="0" applyFont="1" applyFill="1" applyAlignment="1">
      <alignment vertical="center"/>
    </xf>
    <xf numFmtId="0" fontId="29" fillId="0" borderId="0" xfId="0" applyFont="1" applyAlignment="1" applyProtection="1">
      <alignment vertical="center"/>
    </xf>
    <xf numFmtId="0" fontId="60" fillId="0" borderId="0" xfId="0" applyFont="1" applyAlignment="1" applyProtection="1">
      <alignment vertical="center"/>
    </xf>
    <xf numFmtId="0" fontId="102" fillId="0" borderId="33" xfId="0" applyFont="1" applyFill="1" applyBorder="1" applyAlignment="1" applyProtection="1">
      <alignment horizontal="center" vertical="center"/>
    </xf>
    <xf numFmtId="0" fontId="102"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03" fillId="0" borderId="0" xfId="0" applyFont="1" applyAlignment="1" applyProtection="1">
      <alignment vertical="center"/>
    </xf>
    <xf numFmtId="0" fontId="102" fillId="0" borderId="2" xfId="0" applyFont="1" applyFill="1" applyBorder="1" applyAlignment="1" applyProtection="1">
      <alignment horizontal="left" vertical="center"/>
    </xf>
    <xf numFmtId="191" fontId="103" fillId="20" borderId="67" xfId="1" applyNumberFormat="1" applyFont="1" applyFill="1" applyBorder="1" applyAlignment="1" applyProtection="1">
      <alignment vertical="center"/>
    </xf>
    <xf numFmtId="0" fontId="51" fillId="0" borderId="0" xfId="0" applyFont="1" applyBorder="1" applyAlignment="1" applyProtection="1">
      <alignment vertical="center"/>
    </xf>
    <xf numFmtId="0" fontId="51" fillId="0" borderId="0" xfId="0" applyFont="1" applyAlignment="1" applyProtection="1">
      <alignment vertical="center"/>
    </xf>
    <xf numFmtId="0" fontId="103" fillId="0" borderId="0" xfId="0" applyFont="1" applyFill="1" applyBorder="1" applyAlignment="1" applyProtection="1">
      <alignment vertical="center" wrapText="1"/>
    </xf>
    <xf numFmtId="0" fontId="60" fillId="0" borderId="0" xfId="0" applyFont="1" applyBorder="1" applyAlignment="1" applyProtection="1">
      <alignment vertical="center"/>
    </xf>
    <xf numFmtId="0" fontId="29" fillId="0" borderId="141" xfId="0" applyFont="1" applyBorder="1" applyAlignment="1" applyProtection="1">
      <alignment vertical="center"/>
    </xf>
    <xf numFmtId="0" fontId="60" fillId="0" borderId="141" xfId="0" applyFont="1" applyBorder="1" applyAlignment="1" applyProtection="1">
      <alignment vertical="center"/>
    </xf>
    <xf numFmtId="177" fontId="103" fillId="20" borderId="67" xfId="1" applyNumberFormat="1" applyFont="1" applyFill="1" applyBorder="1" applyAlignment="1" applyProtection="1">
      <alignment vertical="center"/>
    </xf>
    <xf numFmtId="0" fontId="102" fillId="0" borderId="0" xfId="0" applyFont="1" applyFill="1" applyBorder="1" applyAlignment="1" applyProtection="1">
      <alignment horizontal="left" vertical="center"/>
    </xf>
    <xf numFmtId="40" fontId="102" fillId="0" borderId="0" xfId="1" applyNumberFormat="1" applyFont="1" applyFill="1" applyBorder="1" applyAlignment="1" applyProtection="1">
      <alignment vertical="center"/>
    </xf>
    <xf numFmtId="0" fontId="102" fillId="0" borderId="0" xfId="0" applyFont="1" applyFill="1" applyBorder="1" applyAlignment="1" applyProtection="1">
      <alignment vertical="top"/>
    </xf>
    <xf numFmtId="0" fontId="29" fillId="0" borderId="1" xfId="0" applyFont="1" applyBorder="1" applyAlignment="1" applyProtection="1">
      <alignment horizontal="center" vertical="center"/>
    </xf>
    <xf numFmtId="191" fontId="29" fillId="0" borderId="1" xfId="1" applyNumberFormat="1" applyFont="1" applyBorder="1" applyAlignment="1" applyProtection="1">
      <alignment horizontal="center" vertical="center" wrapText="1"/>
    </xf>
    <xf numFmtId="0" fontId="29" fillId="19" borderId="1" xfId="0" applyFont="1" applyFill="1" applyBorder="1" applyAlignment="1" applyProtection="1">
      <alignment vertical="center"/>
    </xf>
    <xf numFmtId="191" fontId="29" fillId="19" borderId="1" xfId="1" applyNumberFormat="1" applyFont="1" applyFill="1" applyBorder="1" applyAlignment="1" applyProtection="1">
      <alignment vertical="center"/>
    </xf>
    <xf numFmtId="0" fontId="29" fillId="0" borderId="1" xfId="0" applyFont="1" applyBorder="1" applyAlignment="1" applyProtection="1">
      <alignment vertical="center"/>
    </xf>
    <xf numFmtId="191" fontId="29" fillId="0" borderId="1" xfId="1" applyNumberFormat="1" applyFont="1" applyBorder="1" applyAlignment="1" applyProtection="1">
      <alignment vertical="center"/>
    </xf>
    <xf numFmtId="0" fontId="29" fillId="21" borderId="1" xfId="0" applyFont="1" applyFill="1" applyBorder="1" applyAlignment="1" applyProtection="1">
      <alignment vertical="center"/>
    </xf>
    <xf numFmtId="191" fontId="29" fillId="21"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20" xfId="0" applyBorder="1"/>
    <xf numFmtId="0" fontId="29" fillId="0" borderId="122" xfId="0" applyFont="1" applyBorder="1" applyAlignment="1" applyProtection="1">
      <alignment vertical="center"/>
    </xf>
    <xf numFmtId="0" fontId="38" fillId="10" borderId="145" xfId="0" applyFont="1" applyFill="1" applyBorder="1" applyAlignment="1">
      <alignment horizontal="right" vertical="center"/>
    </xf>
    <xf numFmtId="0" fontId="42" fillId="10" borderId="0" xfId="0" applyFont="1" applyFill="1" applyAlignment="1">
      <alignment vertical="center"/>
    </xf>
    <xf numFmtId="0" fontId="38" fillId="11" borderId="136" xfId="0" applyFont="1" applyFill="1" applyBorder="1" applyAlignment="1" applyProtection="1">
      <alignment horizontal="right" vertical="center"/>
      <protection locked="0"/>
    </xf>
    <xf numFmtId="0" fontId="38" fillId="10" borderId="146" xfId="0" applyFont="1" applyFill="1" applyBorder="1" applyAlignment="1">
      <alignment horizontal="center" vertical="center"/>
    </xf>
    <xf numFmtId="40" fontId="38" fillId="11" borderId="136" xfId="0" applyNumberFormat="1" applyFont="1" applyFill="1" applyBorder="1" applyAlignment="1" applyProtection="1">
      <alignment horizontal="right" vertical="center"/>
      <protection locked="0"/>
    </xf>
    <xf numFmtId="0" fontId="53" fillId="10" borderId="0" xfId="0" applyFont="1" applyFill="1" applyBorder="1" applyAlignment="1">
      <alignment horizontal="right" vertical="center" wrapText="1"/>
    </xf>
    <xf numFmtId="0" fontId="53" fillId="10" borderId="0" xfId="0" applyFont="1" applyFill="1" applyAlignment="1">
      <alignment horizontal="center" vertical="center" wrapText="1"/>
    </xf>
    <xf numFmtId="0" fontId="52" fillId="13" borderId="78" xfId="0" applyFont="1" applyFill="1" applyBorder="1" applyAlignment="1">
      <alignment horizontal="center" vertical="center"/>
    </xf>
    <xf numFmtId="0" fontId="126" fillId="13" borderId="78" xfId="0" applyFont="1" applyFill="1" applyBorder="1" applyAlignment="1">
      <alignment horizontal="center" vertical="center"/>
    </xf>
    <xf numFmtId="0" fontId="127" fillId="13" borderId="78" xfId="0" applyFont="1" applyFill="1" applyBorder="1" applyAlignment="1">
      <alignment horizontal="center" vertical="center" wrapText="1"/>
    </xf>
    <xf numFmtId="0" fontId="91" fillId="10" borderId="0" xfId="0" applyFont="1" applyFill="1" applyAlignment="1">
      <alignment vertical="top" wrapText="1"/>
    </xf>
    <xf numFmtId="38" fontId="38" fillId="0" borderId="9" xfId="1" quotePrefix="1" applyFont="1" applyBorder="1" applyAlignment="1">
      <alignment horizontal="right" vertical="center"/>
    </xf>
    <xf numFmtId="38" fontId="38" fillId="0" borderId="23" xfId="1" quotePrefix="1" applyFont="1" applyBorder="1" applyAlignment="1">
      <alignment horizontal="right" vertical="center"/>
    </xf>
    <xf numFmtId="38" fontId="4" fillId="7" borderId="25" xfId="1" applyFont="1" applyFill="1" applyBorder="1" applyAlignment="1">
      <alignment horizontal="right" vertical="center"/>
    </xf>
    <xf numFmtId="38" fontId="4" fillId="7" borderId="30" xfId="1" applyFont="1" applyFill="1" applyBorder="1" applyAlignment="1">
      <alignment horizontal="right" vertical="center"/>
    </xf>
    <xf numFmtId="38" fontId="4" fillId="7" borderId="31" xfId="1" applyFont="1" applyFill="1" applyBorder="1" applyAlignment="1">
      <alignment horizontal="right" vertical="center"/>
    </xf>
    <xf numFmtId="0" fontId="90" fillId="0" borderId="1" xfId="0" applyFont="1" applyBorder="1" applyAlignment="1">
      <alignment horizontal="left" vertical="center"/>
    </xf>
    <xf numFmtId="38" fontId="38" fillId="0" borderId="1" xfId="1" quotePrefix="1" applyFont="1" applyBorder="1" applyAlignment="1">
      <alignment horizontal="right" vertical="center"/>
    </xf>
    <xf numFmtId="177" fontId="38" fillId="0" borderId="1" xfId="1" quotePrefix="1" applyNumberFormat="1" applyFont="1" applyBorder="1" applyAlignment="1">
      <alignment horizontal="right" vertical="center"/>
    </xf>
    <xf numFmtId="0" fontId="6" fillId="0" borderId="0" xfId="2" applyFont="1" applyBorder="1" applyAlignment="1" applyProtection="1">
      <alignment horizontal="center" vertical="center" shrinkToFit="1"/>
    </xf>
    <xf numFmtId="0" fontId="4" fillId="0" borderId="0" xfId="2" applyFont="1" applyBorder="1" applyAlignment="1" applyProtection="1">
      <alignment horizontal="right" vertical="center" wrapText="1"/>
    </xf>
    <xf numFmtId="0" fontId="27" fillId="0" borderId="0" xfId="13" applyNumberFormat="1" applyFont="1" applyProtection="1">
      <alignment vertical="center"/>
    </xf>
    <xf numFmtId="0" fontId="27" fillId="12" borderId="0" xfId="13" applyNumberFormat="1" applyFont="1" applyFill="1" applyProtection="1">
      <alignment vertical="center"/>
    </xf>
    <xf numFmtId="0" fontId="138" fillId="12" borderId="0" xfId="13" applyNumberFormat="1" applyFont="1" applyFill="1" applyAlignment="1" applyProtection="1">
      <alignment horizontal="left" vertical="center"/>
    </xf>
    <xf numFmtId="0" fontId="27" fillId="12" borderId="0" xfId="13" applyNumberFormat="1" applyFont="1" applyFill="1" applyAlignment="1" applyProtection="1">
      <alignment horizontal="left" vertical="center"/>
    </xf>
    <xf numFmtId="0" fontId="27" fillId="0" borderId="0" xfId="13" applyNumberFormat="1" applyFont="1" applyAlignment="1" applyProtection="1">
      <alignment vertical="center"/>
    </xf>
    <xf numFmtId="0" fontId="28" fillId="0" borderId="0" xfId="13" applyNumberFormat="1" applyFont="1" applyBorder="1" applyAlignment="1" applyProtection="1">
      <alignment vertical="center"/>
    </xf>
    <xf numFmtId="0" fontId="27" fillId="0" borderId="0" xfId="13" applyNumberFormat="1" applyFont="1" applyBorder="1" applyAlignment="1" applyProtection="1">
      <alignment vertical="center"/>
    </xf>
    <xf numFmtId="0" fontId="28" fillId="0" borderId="0" xfId="13" applyNumberFormat="1" applyFont="1" applyBorder="1" applyAlignment="1" applyProtection="1">
      <alignment horizontal="right" vertical="center" wrapText="1"/>
    </xf>
    <xf numFmtId="0" fontId="140" fillId="0" borderId="0" xfId="13" applyNumberFormat="1" applyFont="1" applyFill="1" applyBorder="1" applyAlignment="1" applyProtection="1">
      <alignment horizontal="left" vertical="center"/>
    </xf>
    <xf numFmtId="0" fontId="141" fillId="12" borderId="111" xfId="6" applyNumberFormat="1" applyFont="1" applyFill="1" applyBorder="1" applyAlignment="1" applyProtection="1">
      <alignment horizontal="center" vertical="center" wrapText="1"/>
    </xf>
    <xf numFmtId="0" fontId="141" fillId="0" borderId="11" xfId="6" applyNumberFormat="1" applyFont="1" applyFill="1" applyBorder="1" applyAlignment="1" applyProtection="1">
      <alignment horizontal="center" vertical="center" wrapText="1"/>
    </xf>
    <xf numFmtId="0" fontId="141" fillId="0" borderId="66" xfId="6" applyNumberFormat="1" applyFont="1" applyFill="1" applyBorder="1" applyAlignment="1" applyProtection="1">
      <alignment horizontal="center" vertical="center" wrapText="1"/>
    </xf>
    <xf numFmtId="0" fontId="141" fillId="12" borderId="109" xfId="6" applyNumberFormat="1" applyFont="1" applyFill="1" applyBorder="1" applyAlignment="1" applyProtection="1">
      <alignment horizontal="center" vertical="center" wrapText="1"/>
    </xf>
    <xf numFmtId="0" fontId="27" fillId="0" borderId="66" xfId="13" applyNumberFormat="1" applyFont="1" applyBorder="1" applyAlignment="1" applyProtection="1">
      <alignment horizontal="center" vertical="center" wrapText="1"/>
    </xf>
    <xf numFmtId="0" fontId="27" fillId="0" borderId="109" xfId="13" applyNumberFormat="1" applyFont="1" applyBorder="1" applyAlignment="1" applyProtection="1">
      <alignment horizontal="center" vertical="center" wrapText="1"/>
    </xf>
    <xf numFmtId="0" fontId="129" fillId="12" borderId="96" xfId="6" applyNumberFormat="1" applyFont="1" applyFill="1" applyBorder="1" applyAlignment="1" applyProtection="1">
      <alignment horizontal="center" vertical="center" wrapText="1"/>
    </xf>
    <xf numFmtId="0" fontId="142" fillId="12" borderId="90" xfId="6" applyNumberFormat="1" applyFont="1" applyFill="1" applyBorder="1" applyAlignment="1" applyProtection="1">
      <alignment horizontal="center" vertical="center" wrapText="1"/>
    </xf>
    <xf numFmtId="0" fontId="129" fillId="12" borderId="152" xfId="6" applyNumberFormat="1" applyFont="1" applyFill="1" applyBorder="1" applyAlignment="1" applyProtection="1">
      <alignment horizontal="center" vertical="center" wrapText="1"/>
    </xf>
    <xf numFmtId="0" fontId="143" fillId="0" borderId="96" xfId="13" applyNumberFormat="1" applyFont="1" applyBorder="1" applyAlignment="1" applyProtection="1">
      <alignment horizontal="center" vertical="center"/>
    </xf>
    <xf numFmtId="0" fontId="144" fillId="0" borderId="152" xfId="13" applyNumberFormat="1" applyFont="1" applyBorder="1" applyAlignment="1" applyProtection="1">
      <alignment horizontal="center" vertical="center" wrapText="1"/>
    </xf>
    <xf numFmtId="0" fontId="141" fillId="12" borderId="65" xfId="6" applyNumberFormat="1" applyFont="1" applyFill="1" applyBorder="1" applyAlignment="1" applyProtection="1">
      <alignment horizontal="center" vertical="center"/>
    </xf>
    <xf numFmtId="0" fontId="141" fillId="12" borderId="46" xfId="6" applyNumberFormat="1" applyFont="1" applyFill="1" applyBorder="1" applyAlignment="1" applyProtection="1">
      <alignment horizontal="center" vertical="center"/>
    </xf>
    <xf numFmtId="0" fontId="141" fillId="12" borderId="65" xfId="6" applyNumberFormat="1" applyFont="1" applyFill="1" applyBorder="1" applyAlignment="1" applyProtection="1">
      <alignment horizontal="center" vertical="center" wrapText="1"/>
    </xf>
    <xf numFmtId="0" fontId="141" fillId="12" borderId="46" xfId="6" applyNumberFormat="1" applyFont="1" applyFill="1" applyBorder="1" applyAlignment="1" applyProtection="1">
      <alignment horizontal="center" vertical="center" wrapText="1"/>
    </xf>
    <xf numFmtId="0" fontId="129" fillId="12" borderId="23" xfId="6" applyNumberFormat="1" applyFont="1" applyFill="1" applyBorder="1" applyAlignment="1" applyProtection="1">
      <alignment horizontal="center" vertical="center" wrapText="1"/>
    </xf>
    <xf numFmtId="0" fontId="129" fillId="12" borderId="22" xfId="6" applyNumberFormat="1" applyFont="1" applyFill="1" applyBorder="1" applyAlignment="1" applyProtection="1">
      <alignment horizontal="center" vertical="center" wrapText="1"/>
    </xf>
    <xf numFmtId="0" fontId="129" fillId="12" borderId="65" xfId="6" applyNumberFormat="1" applyFont="1" applyFill="1" applyBorder="1" applyAlignment="1" applyProtection="1">
      <alignment horizontal="center" vertical="center" wrapText="1"/>
    </xf>
    <xf numFmtId="0" fontId="129" fillId="12" borderId="31" xfId="6" applyNumberFormat="1" applyFont="1" applyFill="1" applyBorder="1" applyAlignment="1" applyProtection="1">
      <alignment horizontal="center" vertical="center" wrapText="1"/>
    </xf>
    <xf numFmtId="0" fontId="144" fillId="0" borderId="31" xfId="13" applyNumberFormat="1" applyFont="1" applyBorder="1" applyAlignment="1" applyProtection="1">
      <alignment horizontal="center" vertical="center"/>
    </xf>
    <xf numFmtId="0" fontId="145" fillId="23" borderId="5" xfId="14" applyNumberFormat="1" applyFont="1" applyFill="1" applyBorder="1" applyAlignment="1" applyProtection="1">
      <alignment horizontal="right" vertical="center"/>
    </xf>
    <xf numFmtId="0" fontId="145" fillId="12" borderId="54" xfId="6" applyNumberFormat="1" applyFont="1" applyFill="1" applyBorder="1" applyAlignment="1" applyProtection="1">
      <alignment horizontal="center" vertical="center"/>
    </xf>
    <xf numFmtId="0" fontId="145" fillId="12" borderId="9" xfId="6" applyNumberFormat="1" applyFont="1" applyFill="1" applyBorder="1" applyAlignment="1" applyProtection="1">
      <alignment horizontal="center" vertical="center" wrapText="1"/>
    </xf>
    <xf numFmtId="0" fontId="145" fillId="12" borderId="40" xfId="6" applyNumberFormat="1" applyFont="1" applyFill="1" applyBorder="1" applyAlignment="1" applyProtection="1">
      <alignment horizontal="center" vertical="center" wrapText="1"/>
    </xf>
    <xf numFmtId="0" fontId="145" fillId="12" borderId="8" xfId="6" applyNumberFormat="1" applyFont="1" applyFill="1" applyBorder="1" applyAlignment="1" applyProtection="1">
      <alignment horizontal="center" vertical="center" wrapText="1"/>
    </xf>
    <xf numFmtId="0" fontId="145" fillId="12" borderId="2" xfId="6" applyNumberFormat="1" applyFont="1" applyFill="1" applyBorder="1" applyAlignment="1" applyProtection="1">
      <alignment horizontal="center" vertical="center" wrapText="1"/>
    </xf>
    <xf numFmtId="0" fontId="145" fillId="24" borderId="69" xfId="6" applyNumberFormat="1" applyFont="1" applyFill="1" applyBorder="1" applyAlignment="1" applyProtection="1">
      <alignment horizontal="right" vertical="center" wrapText="1"/>
    </xf>
    <xf numFmtId="0" fontId="147" fillId="0" borderId="63" xfId="13" applyNumberFormat="1" applyFont="1" applyBorder="1" applyAlignment="1" applyProtection="1">
      <alignment vertical="center"/>
    </xf>
    <xf numFmtId="0" fontId="147" fillId="25" borderId="25" xfId="13" applyNumberFormat="1" applyFont="1" applyFill="1" applyBorder="1" applyAlignment="1" applyProtection="1">
      <alignment horizontal="right" vertical="center"/>
    </xf>
    <xf numFmtId="0" fontId="145" fillId="0" borderId="5" xfId="14" applyNumberFormat="1" applyFont="1" applyFill="1" applyBorder="1" applyAlignment="1" applyProtection="1">
      <alignment horizontal="right" vertical="center"/>
      <protection locked="0"/>
    </xf>
    <xf numFmtId="0" fontId="148" fillId="12" borderId="4" xfId="6" applyNumberFormat="1" applyFont="1" applyFill="1" applyBorder="1" applyAlignment="1" applyProtection="1">
      <alignment horizontal="center" vertical="center"/>
    </xf>
    <xf numFmtId="0" fontId="146" fillId="12" borderId="2" xfId="6" applyNumberFormat="1" applyFont="1" applyFill="1" applyBorder="1" applyAlignment="1" applyProtection="1">
      <alignment horizontal="center" vertical="center" wrapText="1"/>
    </xf>
    <xf numFmtId="0" fontId="146" fillId="12" borderId="4" xfId="6" applyNumberFormat="1" applyFont="1" applyFill="1" applyBorder="1" applyAlignment="1" applyProtection="1">
      <alignment horizontal="center" vertical="center" wrapText="1"/>
    </xf>
    <xf numFmtId="0" fontId="145" fillId="12" borderId="1" xfId="6" applyNumberFormat="1" applyFont="1" applyFill="1" applyBorder="1" applyAlignment="1" applyProtection="1">
      <alignment horizontal="center" vertical="center" wrapText="1"/>
    </xf>
    <xf numFmtId="192" fontId="145" fillId="0" borderId="69" xfId="6" applyNumberFormat="1" applyFont="1" applyFill="1" applyBorder="1" applyAlignment="1" applyProtection="1">
      <alignment horizontal="right" vertical="center" wrapText="1"/>
    </xf>
    <xf numFmtId="0" fontId="149" fillId="0" borderId="3" xfId="13" applyNumberFormat="1" applyFont="1" applyBorder="1" applyProtection="1">
      <alignment vertical="center"/>
    </xf>
    <xf numFmtId="193" fontId="147" fillId="25" borderId="30" xfId="13" applyNumberFormat="1" applyFont="1" applyFill="1" applyBorder="1" applyAlignment="1" applyProtection="1">
      <alignment horizontal="right" vertical="center"/>
    </xf>
    <xf numFmtId="194" fontId="146" fillId="12" borderId="2" xfId="6" applyNumberFormat="1" applyFont="1" applyFill="1" applyBorder="1" applyAlignment="1" applyProtection="1">
      <alignment horizontal="center" vertical="center" wrapText="1"/>
    </xf>
    <xf numFmtId="0" fontId="146" fillId="0" borderId="3" xfId="13" applyNumberFormat="1" applyFont="1" applyBorder="1" applyProtection="1">
      <alignment vertical="center"/>
    </xf>
    <xf numFmtId="0" fontId="148" fillId="12" borderId="56" xfId="6" applyNumberFormat="1" applyFont="1" applyFill="1" applyBorder="1" applyAlignment="1" applyProtection="1">
      <alignment horizontal="center" vertical="center"/>
    </xf>
    <xf numFmtId="0" fontId="145" fillId="12" borderId="56" xfId="6" applyNumberFormat="1" applyFont="1" applyFill="1" applyBorder="1" applyAlignment="1" applyProtection="1">
      <alignment horizontal="center" vertical="center"/>
    </xf>
    <xf numFmtId="0" fontId="145" fillId="12" borderId="4" xfId="6" applyNumberFormat="1" applyFont="1" applyFill="1" applyBorder="1" applyAlignment="1" applyProtection="1">
      <alignment horizontal="center" vertical="center"/>
    </xf>
    <xf numFmtId="0" fontId="146" fillId="12" borderId="2" xfId="6" applyNumberFormat="1" applyFont="1" applyFill="1" applyBorder="1" applyAlignment="1" applyProtection="1">
      <alignment horizontal="center" vertical="center"/>
    </xf>
    <xf numFmtId="0" fontId="146" fillId="12" borderId="4" xfId="6" applyNumberFormat="1" applyFont="1" applyFill="1" applyBorder="1" applyAlignment="1" applyProtection="1">
      <alignment horizontal="center" vertical="center"/>
    </xf>
    <xf numFmtId="0" fontId="27" fillId="12" borderId="153" xfId="13" applyNumberFormat="1" applyFont="1" applyFill="1" applyBorder="1" applyAlignment="1" applyProtection="1">
      <alignment vertical="center" wrapText="1"/>
    </xf>
    <xf numFmtId="0" fontId="145" fillId="12" borderId="158" xfId="6" applyNumberFormat="1" applyFont="1" applyFill="1" applyBorder="1" applyAlignment="1" applyProtection="1">
      <alignment horizontal="center" vertical="center"/>
    </xf>
    <xf numFmtId="0" fontId="146" fillId="12" borderId="159" xfId="6" applyNumberFormat="1" applyFont="1" applyFill="1" applyBorder="1" applyAlignment="1" applyProtection="1">
      <alignment horizontal="center" vertical="center" wrapText="1"/>
    </xf>
    <xf numFmtId="192" fontId="147" fillId="0" borderId="160" xfId="13" applyNumberFormat="1" applyFont="1" applyFill="1" applyBorder="1" applyAlignment="1" applyProtection="1">
      <alignment horizontal="right" vertical="center"/>
    </xf>
    <xf numFmtId="0" fontId="149" fillId="0" borderId="118" xfId="13" applyNumberFormat="1" applyFont="1" applyBorder="1" applyProtection="1">
      <alignment vertical="center"/>
    </xf>
    <xf numFmtId="0" fontId="145" fillId="12" borderId="164" xfId="14" applyNumberFormat="1" applyFont="1" applyFill="1" applyBorder="1" applyAlignment="1" applyProtection="1">
      <alignment horizontal="center" vertical="center"/>
    </xf>
    <xf numFmtId="0" fontId="145" fillId="12" borderId="165" xfId="6" applyNumberFormat="1" applyFont="1" applyFill="1" applyBorder="1" applyAlignment="1" applyProtection="1">
      <alignment horizontal="center" vertical="center"/>
    </xf>
    <xf numFmtId="0" fontId="146" fillId="12" borderId="166" xfId="6" applyNumberFormat="1" applyFont="1" applyFill="1" applyBorder="1" applyAlignment="1" applyProtection="1">
      <alignment horizontal="center" vertical="center"/>
    </xf>
    <xf numFmtId="0" fontId="146" fillId="12" borderId="165" xfId="6" applyNumberFormat="1" applyFont="1" applyFill="1" applyBorder="1" applyAlignment="1" applyProtection="1">
      <alignment horizontal="center" vertical="center"/>
    </xf>
    <xf numFmtId="0" fontId="145" fillId="12" borderId="166" xfId="6" applyNumberFormat="1" applyFont="1" applyFill="1" applyBorder="1" applyAlignment="1" applyProtection="1">
      <alignment horizontal="center" vertical="center"/>
    </xf>
    <xf numFmtId="0" fontId="146" fillId="12" borderId="166" xfId="6" applyNumberFormat="1" applyFont="1" applyFill="1" applyBorder="1" applyAlignment="1" applyProtection="1">
      <alignment horizontal="center" vertical="center" wrapText="1"/>
    </xf>
    <xf numFmtId="192" fontId="147" fillId="0" borderId="167" xfId="13" applyNumberFormat="1" applyFont="1" applyFill="1" applyBorder="1" applyAlignment="1" applyProtection="1">
      <alignment horizontal="right" vertical="center"/>
    </xf>
    <xf numFmtId="0" fontId="149" fillId="0" borderId="64" xfId="13" applyNumberFormat="1" applyFont="1" applyBorder="1" applyProtection="1">
      <alignment vertical="center"/>
    </xf>
    <xf numFmtId="193" fontId="147" fillId="25" borderId="68" xfId="13" applyNumberFormat="1" applyFont="1" applyFill="1" applyBorder="1" applyAlignment="1" applyProtection="1">
      <alignment horizontal="right" vertical="center"/>
    </xf>
    <xf numFmtId="0" fontId="145" fillId="12" borderId="62" xfId="6" applyNumberFormat="1" applyFont="1" applyFill="1" applyBorder="1" applyAlignment="1" applyProtection="1">
      <alignment horizontal="center" vertical="center"/>
    </xf>
    <xf numFmtId="0" fontId="146" fillId="12" borderId="55" xfId="6" applyNumberFormat="1" applyFont="1" applyFill="1" applyBorder="1" applyAlignment="1" applyProtection="1">
      <alignment horizontal="center" vertical="center"/>
    </xf>
    <xf numFmtId="0" fontId="146" fillId="12" borderId="54" xfId="6" applyNumberFormat="1" applyFont="1" applyFill="1" applyBorder="1" applyAlignment="1" applyProtection="1">
      <alignment horizontal="center" vertical="center"/>
    </xf>
    <xf numFmtId="0" fontId="145" fillId="12" borderId="55" xfId="6" applyNumberFormat="1" applyFont="1" applyFill="1" applyBorder="1" applyAlignment="1" applyProtection="1">
      <alignment horizontal="center" vertical="center" wrapText="1"/>
    </xf>
    <xf numFmtId="0" fontId="146" fillId="12" borderId="55" xfId="6" applyNumberFormat="1" applyFont="1" applyFill="1" applyBorder="1" applyAlignment="1" applyProtection="1">
      <alignment horizontal="center" vertical="center" wrapText="1"/>
    </xf>
    <xf numFmtId="0" fontId="149" fillId="0" borderId="164" xfId="13" applyNumberFormat="1" applyFont="1" applyBorder="1" applyProtection="1">
      <alignment vertical="center"/>
    </xf>
    <xf numFmtId="193" fontId="147" fillId="25" borderId="167" xfId="13" applyNumberFormat="1" applyFont="1" applyFill="1" applyBorder="1" applyAlignment="1" applyProtection="1">
      <alignment horizontal="right" vertical="center"/>
    </xf>
    <xf numFmtId="0" fontId="145" fillId="23" borderId="5" xfId="14" applyNumberFormat="1" applyFont="1" applyFill="1" applyBorder="1" applyAlignment="1" applyProtection="1">
      <alignment horizontal="center" vertical="center"/>
    </xf>
    <xf numFmtId="0" fontId="146" fillId="12" borderId="70" xfId="6" applyNumberFormat="1" applyFont="1" applyFill="1" applyBorder="1" applyAlignment="1" applyProtection="1">
      <alignment horizontal="center" vertical="center" wrapText="1"/>
    </xf>
    <xf numFmtId="192" fontId="145" fillId="0" borderId="108" xfId="6" applyNumberFormat="1" applyFont="1" applyFill="1" applyBorder="1" applyAlignment="1" applyProtection="1">
      <alignment horizontal="right" vertical="center" wrapText="1"/>
    </xf>
    <xf numFmtId="0" fontId="145" fillId="0" borderId="5" xfId="14" applyNumberFormat="1" applyFont="1" applyFill="1" applyBorder="1" applyAlignment="1" applyProtection="1">
      <alignment horizontal="center" vertical="center"/>
      <protection locked="0"/>
    </xf>
    <xf numFmtId="0" fontId="153" fillId="12" borderId="4" xfId="6" applyNumberFormat="1" applyFont="1" applyFill="1" applyBorder="1" applyAlignment="1" applyProtection="1">
      <alignment horizontal="center" vertical="center"/>
    </xf>
    <xf numFmtId="0" fontId="146" fillId="12" borderId="168" xfId="6" applyNumberFormat="1" applyFont="1" applyFill="1" applyBorder="1" applyAlignment="1" applyProtection="1">
      <alignment horizontal="center" vertical="center" wrapText="1"/>
    </xf>
    <xf numFmtId="192" fontId="145" fillId="0" borderId="169" xfId="6" applyNumberFormat="1" applyFont="1" applyFill="1" applyBorder="1" applyAlignment="1" applyProtection="1">
      <alignment horizontal="right" vertical="center" wrapText="1"/>
    </xf>
    <xf numFmtId="0" fontId="154" fillId="0" borderId="170" xfId="13" applyNumberFormat="1" applyFont="1" applyFill="1" applyBorder="1" applyProtection="1">
      <alignment vertical="center"/>
    </xf>
    <xf numFmtId="193" fontId="147" fillId="25" borderId="169" xfId="13" applyNumberFormat="1" applyFont="1" applyFill="1" applyBorder="1" applyAlignment="1" applyProtection="1">
      <alignment horizontal="right" vertical="center"/>
    </xf>
    <xf numFmtId="0" fontId="145" fillId="12" borderId="174" xfId="6" applyNumberFormat="1" applyFont="1" applyFill="1" applyBorder="1" applyProtection="1">
      <alignment vertical="center"/>
    </xf>
    <xf numFmtId="0" fontId="145" fillId="12" borderId="159" xfId="6" applyNumberFormat="1" applyFont="1" applyFill="1" applyBorder="1" applyAlignment="1" applyProtection="1">
      <alignment horizontal="center" vertical="center" wrapText="1"/>
    </xf>
    <xf numFmtId="0" fontId="149" fillId="0" borderId="175" xfId="13" applyNumberFormat="1" applyFont="1" applyBorder="1" applyAlignment="1" applyProtection="1">
      <alignment vertical="center" wrapText="1"/>
    </xf>
    <xf numFmtId="193" fontId="147" fillId="25" borderId="108" xfId="13" applyNumberFormat="1" applyFont="1" applyFill="1" applyBorder="1" applyAlignment="1" applyProtection="1">
      <alignment horizontal="right" vertical="center"/>
    </xf>
    <xf numFmtId="0" fontId="145" fillId="12" borderId="182" xfId="6" applyNumberFormat="1" applyFont="1" applyFill="1" applyBorder="1" applyAlignment="1" applyProtection="1">
      <alignment horizontal="center" vertical="center"/>
    </xf>
    <xf numFmtId="0" fontId="147" fillId="0" borderId="183" xfId="13" applyNumberFormat="1" applyFont="1" applyBorder="1" applyAlignment="1" applyProtection="1">
      <alignment vertical="center"/>
    </xf>
    <xf numFmtId="0" fontId="147" fillId="0" borderId="181" xfId="13" applyNumberFormat="1" applyFont="1" applyBorder="1" applyAlignment="1" applyProtection="1">
      <alignment vertical="center"/>
    </xf>
    <xf numFmtId="192" fontId="143" fillId="0" borderId="107" xfId="13" applyNumberFormat="1" applyFont="1" applyFill="1" applyBorder="1" applyAlignment="1" applyProtection="1">
      <alignment horizontal="right" vertical="center"/>
    </xf>
    <xf numFmtId="0" fontId="149" fillId="0" borderId="179" xfId="13" applyNumberFormat="1" applyFont="1" applyBorder="1" applyAlignment="1" applyProtection="1">
      <alignment vertical="center" wrapText="1"/>
    </xf>
    <xf numFmtId="193" fontId="143" fillId="25" borderId="184" xfId="13" applyNumberFormat="1" applyFont="1" applyFill="1" applyBorder="1" applyAlignment="1" applyProtection="1">
      <alignment horizontal="right" vertical="center" shrinkToFit="1"/>
    </xf>
    <xf numFmtId="0" fontId="147" fillId="0" borderId="66" xfId="13" applyNumberFormat="1" applyFont="1" applyFill="1" applyBorder="1" applyAlignment="1" applyProtection="1">
      <alignment horizontal="distributed" vertical="center"/>
    </xf>
    <xf numFmtId="0" fontId="145" fillId="0" borderId="66" xfId="6" applyNumberFormat="1" applyFont="1" applyFill="1" applyBorder="1" applyAlignment="1" applyProtection="1">
      <alignment vertical="center"/>
    </xf>
    <xf numFmtId="0" fontId="147" fillId="0" borderId="66" xfId="13" applyNumberFormat="1" applyFont="1" applyFill="1" applyBorder="1" applyAlignment="1" applyProtection="1">
      <alignment vertical="center"/>
    </xf>
    <xf numFmtId="0" fontId="147" fillId="0" borderId="66" xfId="13" applyNumberFormat="1" applyFont="1" applyFill="1" applyBorder="1" applyAlignment="1" applyProtection="1">
      <alignment horizontal="center" vertical="center"/>
    </xf>
    <xf numFmtId="0" fontId="145" fillId="0" borderId="66" xfId="6" applyNumberFormat="1" applyFont="1" applyFill="1" applyBorder="1" applyAlignment="1" applyProtection="1">
      <alignment horizontal="center" vertical="center"/>
    </xf>
    <xf numFmtId="0" fontId="155" fillId="0" borderId="66" xfId="13" applyNumberFormat="1" applyFont="1" applyFill="1" applyBorder="1" applyAlignment="1" applyProtection="1">
      <alignment horizontal="right" vertical="center"/>
    </xf>
    <xf numFmtId="0" fontId="147" fillId="0" borderId="66" xfId="13" applyNumberFormat="1" applyFont="1" applyFill="1" applyBorder="1" applyAlignment="1" applyProtection="1">
      <alignment vertical="center" wrapText="1"/>
    </xf>
    <xf numFmtId="0" fontId="27" fillId="0" borderId="66" xfId="13" applyNumberFormat="1" applyFont="1" applyFill="1" applyBorder="1" applyAlignment="1" applyProtection="1">
      <alignment vertical="center" wrapText="1"/>
    </xf>
    <xf numFmtId="0" fontId="147" fillId="0" borderId="0" xfId="13" applyNumberFormat="1" applyFont="1" applyFill="1" applyBorder="1" applyAlignment="1" applyProtection="1">
      <alignment horizontal="distributed" vertical="center"/>
    </xf>
    <xf numFmtId="0" fontId="145" fillId="0" borderId="0" xfId="6" applyNumberFormat="1" applyFont="1" applyFill="1" applyBorder="1" applyAlignment="1" applyProtection="1">
      <alignment vertical="center"/>
    </xf>
    <xf numFmtId="0" fontId="147" fillId="0" borderId="0" xfId="13" applyNumberFormat="1" applyFont="1" applyFill="1" applyBorder="1" applyAlignment="1" applyProtection="1">
      <alignment vertical="center"/>
    </xf>
    <xf numFmtId="0" fontId="147" fillId="0" borderId="0" xfId="13" applyNumberFormat="1" applyFont="1" applyFill="1" applyBorder="1" applyAlignment="1" applyProtection="1">
      <alignment horizontal="center" vertical="center"/>
    </xf>
    <xf numFmtId="0" fontId="145" fillId="0" borderId="0" xfId="6" applyNumberFormat="1" applyFont="1" applyFill="1" applyBorder="1" applyAlignment="1" applyProtection="1">
      <alignment horizontal="center" vertical="center"/>
    </xf>
    <xf numFmtId="0" fontId="155" fillId="0" borderId="0" xfId="13" applyNumberFormat="1" applyFont="1" applyFill="1" applyBorder="1" applyAlignment="1" applyProtection="1">
      <alignment horizontal="right" vertical="center"/>
    </xf>
    <xf numFmtId="0" fontId="147" fillId="0" borderId="0" xfId="13" applyNumberFormat="1" applyFont="1" applyFill="1" applyBorder="1" applyAlignment="1" applyProtection="1">
      <alignment vertical="center" wrapText="1"/>
    </xf>
    <xf numFmtId="0" fontId="27" fillId="0" borderId="0" xfId="13" applyNumberFormat="1" applyFont="1" applyFill="1" applyBorder="1" applyAlignment="1" applyProtection="1">
      <alignment vertical="center" wrapText="1"/>
    </xf>
    <xf numFmtId="0" fontId="28" fillId="0" borderId="0" xfId="13" applyNumberFormat="1" applyFont="1" applyProtection="1">
      <alignment vertical="center"/>
    </xf>
    <xf numFmtId="0" fontId="147" fillId="0" borderId="0" xfId="13" applyNumberFormat="1" applyFont="1" applyAlignment="1" applyProtection="1">
      <alignment horizontal="left" vertical="center" wrapText="1"/>
    </xf>
    <xf numFmtId="0" fontId="28" fillId="0" borderId="0" xfId="13" applyNumberFormat="1" applyFont="1" applyAlignment="1" applyProtection="1">
      <alignment horizontal="left" vertical="center"/>
    </xf>
    <xf numFmtId="0" fontId="32" fillId="0" borderId="0" xfId="13" applyNumberFormat="1" applyFont="1" applyAlignment="1" applyProtection="1">
      <alignment horizontal="left" vertical="center"/>
    </xf>
    <xf numFmtId="0" fontId="27" fillId="0" borderId="0" xfId="13" applyNumberFormat="1" applyFont="1" applyAlignment="1" applyProtection="1">
      <alignment horizontal="left" vertical="center"/>
    </xf>
    <xf numFmtId="0" fontId="157" fillId="0" borderId="0" xfId="15" applyNumberFormat="1" applyFont="1" applyBorder="1" applyAlignment="1" applyProtection="1">
      <alignment vertical="center"/>
    </xf>
    <xf numFmtId="0" fontId="60" fillId="0" borderId="0" xfId="15" applyNumberFormat="1" applyFont="1" applyBorder="1" applyAlignment="1" applyProtection="1">
      <alignment vertical="center" wrapText="1"/>
    </xf>
    <xf numFmtId="0" fontId="60" fillId="0" borderId="0" xfId="15" applyNumberFormat="1" applyFont="1" applyBorder="1" applyAlignment="1" applyProtection="1">
      <alignment vertical="center"/>
    </xf>
    <xf numFmtId="0" fontId="158" fillId="0" borderId="95" xfId="15" applyNumberFormat="1" applyFont="1" applyBorder="1" applyAlignment="1" applyProtection="1">
      <alignment horizontal="center" vertical="center"/>
    </xf>
    <xf numFmtId="0" fontId="158" fillId="0" borderId="185" xfId="15" applyNumberFormat="1" applyFont="1" applyBorder="1" applyAlignment="1" applyProtection="1">
      <alignment horizontal="center" vertical="center"/>
    </xf>
    <xf numFmtId="0" fontId="158" fillId="0" borderId="186" xfId="15" applyNumberFormat="1" applyFont="1" applyBorder="1" applyAlignment="1" applyProtection="1">
      <alignment horizontal="center" vertical="center"/>
    </xf>
    <xf numFmtId="0" fontId="158" fillId="0" borderId="98" xfId="15" applyNumberFormat="1" applyFont="1" applyBorder="1" applyAlignment="1" applyProtection="1">
      <alignment vertical="center"/>
    </xf>
    <xf numFmtId="0" fontId="158" fillId="0" borderId="99" xfId="15" applyNumberFormat="1" applyFont="1" applyBorder="1" applyAlignment="1" applyProtection="1">
      <alignment vertical="center"/>
    </xf>
    <xf numFmtId="0" fontId="158" fillId="0" borderId="98" xfId="15" applyNumberFormat="1" applyFont="1" applyBorder="1" applyAlignment="1" applyProtection="1">
      <alignment horizontal="center" vertical="center"/>
    </xf>
    <xf numFmtId="0" fontId="158" fillId="0" borderId="187" xfId="15" applyNumberFormat="1" applyFont="1" applyFill="1" applyBorder="1" applyAlignment="1" applyProtection="1">
      <alignment horizontal="right" vertical="center"/>
    </xf>
    <xf numFmtId="0" fontId="158" fillId="0" borderId="187" xfId="15" applyNumberFormat="1" applyFont="1" applyBorder="1" applyAlignment="1" applyProtection="1">
      <alignment horizontal="left" vertical="center" shrinkToFit="1"/>
    </xf>
    <xf numFmtId="0" fontId="158" fillId="0" borderId="187" xfId="15" applyNumberFormat="1" applyFont="1" applyFill="1" applyBorder="1" applyAlignment="1" applyProtection="1">
      <alignment vertical="center" shrinkToFit="1"/>
    </xf>
    <xf numFmtId="0" fontId="158" fillId="0" borderId="188" xfId="15" applyNumberFormat="1" applyFont="1" applyBorder="1" applyAlignment="1" applyProtection="1">
      <alignment horizontal="left" vertical="center" shrinkToFit="1"/>
    </xf>
    <xf numFmtId="0" fontId="158" fillId="0" borderId="121" xfId="15" applyNumberFormat="1" applyFont="1" applyBorder="1" applyAlignment="1" applyProtection="1">
      <alignment horizontal="center" vertical="center"/>
    </xf>
    <xf numFmtId="0" fontId="158" fillId="0" borderId="189" xfId="15" applyNumberFormat="1" applyFont="1" applyFill="1" applyBorder="1" applyAlignment="1" applyProtection="1">
      <alignment horizontal="right" vertical="center"/>
    </xf>
    <xf numFmtId="0" fontId="158" fillId="0" borderId="189" xfId="15" applyNumberFormat="1" applyFont="1" applyBorder="1" applyAlignment="1" applyProtection="1">
      <alignment horizontal="left" vertical="center" shrinkToFit="1"/>
    </xf>
    <xf numFmtId="0" fontId="158" fillId="0" borderId="189" xfId="15" applyNumberFormat="1" applyFont="1" applyFill="1" applyBorder="1" applyAlignment="1" applyProtection="1">
      <alignment vertical="center" shrinkToFit="1"/>
    </xf>
    <xf numFmtId="0" fontId="158" fillId="0" borderId="190" xfId="15" applyNumberFormat="1" applyFont="1" applyBorder="1" applyAlignment="1" applyProtection="1">
      <alignment horizontal="left" vertical="center" shrinkToFit="1"/>
    </xf>
    <xf numFmtId="0" fontId="158" fillId="0" borderId="91" xfId="15" applyNumberFormat="1" applyFont="1" applyBorder="1" applyAlignment="1" applyProtection="1">
      <alignment vertical="center"/>
    </xf>
    <xf numFmtId="0" fontId="158" fillId="0" borderId="92" xfId="15" applyNumberFormat="1" applyFont="1" applyBorder="1" applyAlignment="1" applyProtection="1">
      <alignment vertical="center"/>
    </xf>
    <xf numFmtId="0" fontId="158" fillId="0" borderId="91" xfId="15" applyNumberFormat="1" applyFont="1" applyBorder="1" applyAlignment="1" applyProtection="1">
      <alignment horizontal="center" vertical="center"/>
    </xf>
    <xf numFmtId="0" fontId="158" fillId="0" borderId="191" xfId="15" applyNumberFormat="1" applyFont="1" applyFill="1" applyBorder="1" applyAlignment="1" applyProtection="1">
      <alignment horizontal="right" vertical="center"/>
    </xf>
    <xf numFmtId="0" fontId="158" fillId="0" borderId="191" xfId="15" applyNumberFormat="1" applyFont="1" applyBorder="1" applyAlignment="1" applyProtection="1">
      <alignment horizontal="left" vertical="center" shrinkToFit="1"/>
    </xf>
    <xf numFmtId="0" fontId="158" fillId="0" borderId="191" xfId="15" applyNumberFormat="1" applyFont="1" applyFill="1" applyBorder="1" applyAlignment="1" applyProtection="1">
      <alignment vertical="center" shrinkToFit="1"/>
    </xf>
    <xf numFmtId="0" fontId="158" fillId="0" borderId="192" xfId="15" applyNumberFormat="1" applyFont="1" applyBorder="1" applyAlignment="1" applyProtection="1">
      <alignment horizontal="left" vertical="center" shrinkToFit="1"/>
    </xf>
    <xf numFmtId="0" fontId="162" fillId="0" borderId="191" xfId="15" applyNumberFormat="1" applyFont="1" applyFill="1" applyBorder="1" applyAlignment="1" applyProtection="1">
      <alignment horizontal="left" vertical="center" shrinkToFit="1"/>
    </xf>
    <xf numFmtId="0" fontId="163" fillId="0" borderId="191" xfId="15" applyNumberFormat="1" applyFont="1" applyFill="1" applyBorder="1" applyAlignment="1" applyProtection="1">
      <alignment vertical="center" shrinkToFit="1"/>
    </xf>
    <xf numFmtId="0" fontId="145" fillId="0" borderId="191" xfId="15" applyNumberFormat="1" applyFont="1" applyFill="1" applyBorder="1" applyAlignment="1" applyProtection="1">
      <alignment horizontal="left" vertical="center" shrinkToFit="1"/>
    </xf>
    <xf numFmtId="0" fontId="162" fillId="0" borderId="192" xfId="15" applyNumberFormat="1" applyFont="1" applyFill="1" applyBorder="1" applyAlignment="1" applyProtection="1">
      <alignment horizontal="left" vertical="center" shrinkToFit="1"/>
    </xf>
    <xf numFmtId="0" fontId="158" fillId="0" borderId="121" xfId="15" applyNumberFormat="1" applyFont="1" applyBorder="1" applyAlignment="1" applyProtection="1">
      <alignment vertical="center"/>
    </xf>
    <xf numFmtId="0" fontId="158" fillId="0" borderId="122" xfId="15" applyNumberFormat="1" applyFont="1" applyBorder="1" applyAlignment="1" applyProtection="1">
      <alignment vertical="center"/>
    </xf>
    <xf numFmtId="0" fontId="158" fillId="0" borderId="185" xfId="15" applyNumberFormat="1" applyFont="1" applyFill="1" applyBorder="1" applyAlignment="1" applyProtection="1">
      <alignment horizontal="right" vertical="center"/>
    </xf>
    <xf numFmtId="0" fontId="158" fillId="0" borderId="185" xfId="15" applyNumberFormat="1" applyFont="1" applyBorder="1" applyAlignment="1" applyProtection="1">
      <alignment horizontal="left" vertical="center" shrinkToFit="1"/>
    </xf>
    <xf numFmtId="0" fontId="158" fillId="0" borderId="185" xfId="15" applyNumberFormat="1" applyFont="1" applyFill="1" applyBorder="1" applyAlignment="1" applyProtection="1">
      <alignment vertical="center" shrinkToFit="1"/>
    </xf>
    <xf numFmtId="0" fontId="158" fillId="0" borderId="186" xfId="15" applyNumberFormat="1" applyFont="1" applyBorder="1" applyAlignment="1" applyProtection="1">
      <alignment horizontal="left" vertical="center" shrinkToFit="1"/>
    </xf>
    <xf numFmtId="0" fontId="147" fillId="0" borderId="0" xfId="13" applyNumberFormat="1" applyFont="1" applyAlignment="1" applyProtection="1">
      <alignment horizontal="center" vertical="center"/>
    </xf>
    <xf numFmtId="0" fontId="165" fillId="0" borderId="0" xfId="13" applyNumberFormat="1" applyFont="1" applyFill="1" applyAlignment="1" applyProtection="1">
      <alignment vertical="top" wrapText="1"/>
    </xf>
    <xf numFmtId="0" fontId="147" fillId="0" borderId="0" xfId="13" applyNumberFormat="1" applyFont="1" applyBorder="1" applyAlignment="1" applyProtection="1">
      <alignment horizontal="center" vertical="center"/>
    </xf>
    <xf numFmtId="0" fontId="165" fillId="0" borderId="0" xfId="13" applyNumberFormat="1" applyFont="1" applyFill="1" applyAlignment="1" applyProtection="1">
      <alignment vertical="top"/>
    </xf>
    <xf numFmtId="0" fontId="170" fillId="0" borderId="0" xfId="2" applyFont="1" applyProtection="1">
      <alignment vertical="center"/>
      <protection hidden="1"/>
    </xf>
    <xf numFmtId="0" fontId="170" fillId="0" borderId="0" xfId="2" applyFont="1" applyBorder="1">
      <alignment vertical="center"/>
    </xf>
    <xf numFmtId="0" fontId="170" fillId="0" borderId="0" xfId="2" applyFont="1" applyBorder="1" applyProtection="1">
      <alignment vertical="center"/>
      <protection locked="0"/>
    </xf>
    <xf numFmtId="0" fontId="170" fillId="0" borderId="0" xfId="2" applyFont="1" applyBorder="1" applyAlignment="1">
      <alignment horizontal="left" vertical="center"/>
    </xf>
    <xf numFmtId="0" fontId="6" fillId="0" borderId="0" xfId="2" applyFont="1" applyBorder="1" applyAlignment="1" applyProtection="1">
      <alignment horizontal="center" vertical="center" shrinkToFit="1"/>
      <protection hidden="1"/>
    </xf>
    <xf numFmtId="0" fontId="170" fillId="0" borderId="0" xfId="2" applyFont="1" applyFill="1" applyBorder="1">
      <alignment vertical="center"/>
    </xf>
    <xf numFmtId="0" fontId="172" fillId="0" borderId="0" xfId="2" applyFont="1" applyBorder="1">
      <alignment vertical="center"/>
    </xf>
    <xf numFmtId="176" fontId="170" fillId="0" borderId="0" xfId="2" applyNumberFormat="1" applyFont="1" applyAlignment="1" applyProtection="1">
      <alignment horizontal="center" vertical="center"/>
      <protection hidden="1"/>
    </xf>
    <xf numFmtId="189" fontId="170" fillId="0" borderId="0" xfId="2" applyNumberFormat="1" applyFont="1" applyAlignment="1" applyProtection="1">
      <alignment horizontal="center" vertical="center"/>
      <protection hidden="1"/>
    </xf>
    <xf numFmtId="0" fontId="170" fillId="0" borderId="0" xfId="2" applyFont="1" applyAlignment="1" applyProtection="1">
      <alignment horizontal="center" vertical="center"/>
      <protection hidden="1"/>
    </xf>
    <xf numFmtId="0" fontId="10" fillId="0" borderId="0" xfId="2">
      <alignment vertical="center"/>
    </xf>
    <xf numFmtId="0" fontId="23" fillId="0" borderId="0" xfId="2" applyFont="1" applyProtection="1">
      <alignment vertical="center"/>
      <protection hidden="1"/>
    </xf>
    <xf numFmtId="0" fontId="170" fillId="0" borderId="193" xfId="2" applyFont="1" applyBorder="1" applyProtection="1">
      <alignment vertical="center"/>
      <protection hidden="1"/>
    </xf>
    <xf numFmtId="0" fontId="170" fillId="0" borderId="194" xfId="2" applyFont="1" applyBorder="1" applyAlignment="1">
      <alignment vertical="center" wrapText="1"/>
    </xf>
    <xf numFmtId="0" fontId="170" fillId="0" borderId="195" xfId="2" applyFont="1" applyBorder="1" applyAlignment="1">
      <alignment vertical="center" wrapText="1"/>
    </xf>
    <xf numFmtId="0" fontId="170" fillId="0" borderId="193" xfId="2" applyFont="1" applyBorder="1" applyAlignment="1">
      <alignment vertical="center" wrapText="1"/>
    </xf>
    <xf numFmtId="0" fontId="170" fillId="0" borderId="0" xfId="2" applyFont="1" applyBorder="1" applyAlignment="1">
      <alignment vertical="center" wrapText="1"/>
    </xf>
    <xf numFmtId="0" fontId="170" fillId="0" borderId="197" xfId="2" applyFont="1" applyBorder="1" applyAlignment="1">
      <alignment vertical="center" wrapText="1"/>
    </xf>
    <xf numFmtId="0" fontId="170" fillId="0" borderId="198" xfId="2" applyFont="1" applyBorder="1">
      <alignment vertical="center"/>
    </xf>
    <xf numFmtId="0" fontId="170" fillId="0" borderId="141" xfId="2" applyFont="1" applyBorder="1">
      <alignment vertical="center"/>
    </xf>
    <xf numFmtId="0" fontId="170" fillId="0" borderId="199" xfId="2" applyFont="1" applyBorder="1">
      <alignment vertical="center"/>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9" xfId="0" applyBorder="1" applyAlignment="1">
      <alignment horizontal="center" vertical="center"/>
    </xf>
    <xf numFmtId="38" fontId="0" fillId="3" borderId="3" xfId="1" applyFont="1"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0" fontId="170" fillId="0" borderId="0" xfId="2" applyFont="1" applyBorder="1" applyAlignment="1" applyProtection="1">
      <alignment horizontal="left" vertical="top" wrapText="1"/>
      <protection locked="0"/>
    </xf>
    <xf numFmtId="0" fontId="170" fillId="0" borderId="196" xfId="2" applyFont="1" applyBorder="1" applyAlignment="1" applyProtection="1">
      <alignment horizontal="center" vertical="center"/>
      <protection hidden="1"/>
    </xf>
    <xf numFmtId="0" fontId="170" fillId="0" borderId="0" xfId="2" applyFont="1" applyBorder="1" applyAlignment="1" applyProtection="1">
      <alignment horizontal="center" vertical="center"/>
      <protection hidden="1"/>
    </xf>
    <xf numFmtId="0" fontId="170" fillId="0" borderId="197" xfId="2" applyFont="1" applyBorder="1" applyAlignment="1" applyProtection="1">
      <alignment horizontal="center" vertical="center"/>
      <protection hidden="1"/>
    </xf>
    <xf numFmtId="0" fontId="170" fillId="0" borderId="196" xfId="2" applyFont="1" applyBorder="1" applyAlignment="1">
      <alignment horizontal="center" vertical="center" wrapText="1"/>
    </xf>
    <xf numFmtId="0" fontId="170" fillId="0" borderId="0" xfId="2" applyFont="1" applyBorder="1" applyAlignment="1">
      <alignment horizontal="center" vertical="center" wrapText="1"/>
    </xf>
    <xf numFmtId="0" fontId="170" fillId="0" borderId="196" xfId="2" applyFont="1" applyBorder="1" applyAlignment="1">
      <alignment horizontal="left" vertical="center" wrapText="1"/>
    </xf>
    <xf numFmtId="0" fontId="170" fillId="0" borderId="0" xfId="2" applyFont="1" applyBorder="1" applyAlignment="1">
      <alignment horizontal="left" vertical="center" wrapText="1"/>
    </xf>
    <xf numFmtId="0" fontId="170" fillId="0" borderId="198" xfId="2" applyFont="1" applyBorder="1" applyAlignment="1">
      <alignment horizontal="center" vertical="center"/>
    </xf>
    <xf numFmtId="0" fontId="170" fillId="0" borderId="141" xfId="2" applyFont="1" applyBorder="1" applyAlignment="1">
      <alignment horizontal="center" vertical="center"/>
    </xf>
    <xf numFmtId="0" fontId="170" fillId="0" borderId="0" xfId="2" applyFont="1" applyBorder="1" applyAlignment="1" applyProtection="1">
      <alignment horizontal="left" vertical="center"/>
      <protection locked="0"/>
    </xf>
    <xf numFmtId="0" fontId="170" fillId="0" borderId="193" xfId="2" applyFont="1" applyBorder="1" applyAlignment="1">
      <alignment horizontal="center" vertical="center" wrapText="1"/>
    </xf>
    <xf numFmtId="0" fontId="170" fillId="0" borderId="194" xfId="2" applyFont="1" applyBorder="1" applyAlignment="1">
      <alignment horizontal="center" vertical="center" wrapText="1"/>
    </xf>
    <xf numFmtId="0" fontId="170" fillId="0" borderId="0" xfId="2" applyFont="1" applyBorder="1" applyAlignment="1" applyProtection="1">
      <alignment horizontal="right" vertical="center"/>
      <protection locked="0"/>
    </xf>
    <xf numFmtId="0" fontId="171" fillId="0" borderId="0" xfId="2" applyFont="1" applyBorder="1" applyAlignment="1">
      <alignment horizontal="center" vertical="center"/>
    </xf>
    <xf numFmtId="0" fontId="7" fillId="0" borderId="0" xfId="2" applyFont="1" applyAlignment="1" applyProtection="1">
      <alignment horizontal="left" vertical="center"/>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6" fillId="6" borderId="1" xfId="2" applyFont="1" applyFill="1" applyBorder="1" applyAlignment="1" applyProtection="1">
      <alignment horizontal="center" vertical="center" shrinkToFit="1"/>
    </xf>
    <xf numFmtId="0" fontId="57" fillId="0" borderId="1" xfId="8" applyFont="1" applyBorder="1" applyAlignment="1" applyProtection="1">
      <alignment horizontal="left" vertical="center" indent="1" shrinkToFit="1"/>
      <protection locked="0"/>
    </xf>
    <xf numFmtId="0" fontId="24" fillId="0" borderId="1" xfId="2" applyFont="1" applyBorder="1" applyAlignment="1" applyProtection="1">
      <alignment horizontal="left" vertical="center" indent="1" shrinkToFit="1"/>
      <protection locked="0"/>
    </xf>
    <xf numFmtId="0" fontId="6" fillId="6" borderId="1" xfId="2" applyFont="1" applyFill="1" applyBorder="1" applyAlignment="1" applyProtection="1">
      <alignment horizontal="center" vertical="center" wrapText="1"/>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10" fillId="0" borderId="0" xfId="2" applyAlignment="1" applyProtection="1">
      <alignment horizontal="center" vertical="center"/>
    </xf>
    <xf numFmtId="0" fontId="6" fillId="13" borderId="1" xfId="2" applyFont="1" applyFill="1" applyBorder="1" applyAlignment="1" applyProtection="1">
      <alignment horizontal="center" vertical="center"/>
    </xf>
    <xf numFmtId="0" fontId="6" fillId="6" borderId="1" xfId="2" applyFont="1" applyFill="1" applyBorder="1" applyAlignment="1" applyProtection="1">
      <alignment horizontal="center" vertical="center"/>
    </xf>
    <xf numFmtId="0" fontId="6" fillId="13" borderId="1" xfId="2" applyFont="1" applyFill="1" applyBorder="1" applyAlignment="1" applyProtection="1">
      <alignment horizontal="center" vertical="center" wrapText="1"/>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15"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17" xfId="2" applyFont="1" applyBorder="1" applyAlignment="1" applyProtection="1">
      <alignment horizontal="center" vertical="center"/>
      <protection locked="0"/>
    </xf>
    <xf numFmtId="0" fontId="24" fillId="0" borderId="118" xfId="2" applyFont="1" applyBorder="1" applyAlignment="1" applyProtection="1">
      <alignment horizontal="center" vertical="center"/>
      <protection locked="0"/>
    </xf>
    <xf numFmtId="0" fontId="24" fillId="0" borderId="119" xfId="2" applyFont="1" applyBorder="1" applyAlignment="1" applyProtection="1">
      <alignment horizontal="center" vertical="center"/>
      <protection locked="0"/>
    </xf>
    <xf numFmtId="0" fontId="24" fillId="0" borderId="2"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187" fontId="24" fillId="14" borderId="0" xfId="2" applyNumberFormat="1" applyFont="1" applyFill="1" applyBorder="1" applyAlignment="1" applyProtection="1">
      <alignment horizontal="center" vertical="center" wrapText="1"/>
      <protection hidden="1"/>
    </xf>
    <xf numFmtId="0" fontId="6" fillId="6" borderId="19" xfId="2" applyFont="1" applyFill="1" applyBorder="1" applyAlignment="1" applyProtection="1">
      <alignment horizontal="center" vertical="center"/>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0" fontId="24" fillId="0" borderId="2" xfId="2" applyFont="1" applyBorder="1" applyAlignment="1" applyProtection="1">
      <alignment horizontal="left" vertical="center"/>
      <protection locked="0"/>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6" fillId="6" borderId="19" xfId="2" applyFont="1" applyFill="1" applyBorder="1" applyAlignment="1" applyProtection="1">
      <alignment horizontal="center" vertical="center" wrapText="1"/>
    </xf>
    <xf numFmtId="0" fontId="6" fillId="6" borderId="33" xfId="2" applyFont="1" applyFill="1" applyBorder="1" applyAlignment="1" applyProtection="1">
      <alignment horizontal="center" vertical="center" wrapText="1"/>
    </xf>
    <xf numFmtId="0" fontId="6" fillId="14" borderId="0" xfId="2" applyFont="1" applyFill="1" applyBorder="1" applyAlignment="1" applyProtection="1">
      <alignment horizontal="center" vertical="center" wrapText="1"/>
    </xf>
    <xf numFmtId="0" fontId="75" fillId="0" borderId="0" xfId="2" applyFont="1" applyFill="1" applyBorder="1" applyAlignment="1" applyProtection="1">
      <alignment horizontal="center" vertical="center" wrapText="1"/>
    </xf>
    <xf numFmtId="0" fontId="75" fillId="0" borderId="62" xfId="2" applyFont="1" applyFill="1" applyBorder="1" applyAlignment="1" applyProtection="1">
      <alignment horizontal="center" vertical="center" wrapText="1"/>
    </xf>
    <xf numFmtId="188" fontId="24" fillId="0" borderId="33" xfId="2" applyNumberFormat="1" applyFont="1" applyBorder="1" applyAlignment="1" applyProtection="1">
      <alignment horizontal="center" vertical="center" wrapText="1"/>
      <protection hidden="1"/>
    </xf>
    <xf numFmtId="0" fontId="10" fillId="0" borderId="95" xfId="2" applyFont="1" applyBorder="1" applyAlignment="1" applyProtection="1">
      <alignment horizontal="center" vertical="center"/>
      <protection hidden="1"/>
    </xf>
    <xf numFmtId="0" fontId="10" fillId="0" borderId="96" xfId="2" applyFont="1" applyBorder="1" applyAlignment="1" applyProtection="1">
      <alignment horizontal="center" vertical="center"/>
      <protection hidden="1"/>
    </xf>
    <xf numFmtId="0" fontId="10" fillId="0" borderId="104" xfId="2" applyFont="1" applyBorder="1" applyAlignment="1" applyProtection="1">
      <alignment horizontal="center" vertical="center"/>
      <protection hidden="1"/>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38" fontId="24" fillId="16" borderId="34" xfId="1" applyFont="1" applyFill="1" applyBorder="1" applyAlignment="1" applyProtection="1">
      <alignment horizontal="right" vertical="center" shrinkToFit="1"/>
      <protection locked="0"/>
    </xf>
    <xf numFmtId="38" fontId="24" fillId="16" borderId="64" xfId="1" applyFont="1" applyFill="1" applyBorder="1" applyAlignment="1" applyProtection="1">
      <alignment horizontal="right" vertical="center" shrinkToFit="1"/>
      <protection locked="0"/>
    </xf>
    <xf numFmtId="38" fontId="24" fillId="16" borderId="0" xfId="1" applyFont="1" applyFill="1" applyBorder="1" applyAlignment="1" applyProtection="1">
      <alignment horizontal="right" vertical="center" shrinkToFit="1"/>
      <protection locked="0"/>
    </xf>
    <xf numFmtId="0" fontId="6" fillId="6" borderId="70" xfId="2" applyFont="1" applyFill="1" applyBorder="1" applyAlignment="1" applyProtection="1">
      <alignment horizontal="center" vertical="center" wrapText="1"/>
    </xf>
    <xf numFmtId="0" fontId="6" fillId="6" borderId="0" xfId="2" applyFont="1" applyFill="1" applyBorder="1" applyAlignment="1" applyProtection="1">
      <alignment horizontal="center" vertical="center" wrapText="1"/>
    </xf>
    <xf numFmtId="0" fontId="6" fillId="6" borderId="62" xfId="2" applyFont="1" applyFill="1" applyBorder="1" applyAlignment="1" applyProtection="1">
      <alignment horizontal="center" vertical="center" wrapText="1"/>
    </xf>
    <xf numFmtId="0" fontId="24" fillId="16" borderId="70" xfId="2" applyFont="1" applyFill="1" applyBorder="1" applyAlignment="1" applyProtection="1">
      <alignment horizontal="right" vertical="center" wrapText="1"/>
      <protection locked="0"/>
    </xf>
    <xf numFmtId="0" fontId="24" fillId="16" borderId="0" xfId="2" applyFont="1" applyFill="1" applyBorder="1" applyAlignment="1" applyProtection="1">
      <alignment horizontal="right" vertical="center" wrapText="1"/>
      <protection locked="0"/>
    </xf>
    <xf numFmtId="0" fontId="136" fillId="0" borderId="0" xfId="2" applyFont="1" applyAlignment="1" applyProtection="1">
      <alignment horizontal="center" vertical="center" wrapText="1"/>
    </xf>
    <xf numFmtId="0" fontId="136" fillId="0" borderId="0" xfId="2" applyFont="1" applyAlignment="1" applyProtection="1">
      <alignment horizontal="center" vertical="center"/>
    </xf>
    <xf numFmtId="0" fontId="61" fillId="0" borderId="0" xfId="2" applyFont="1" applyFill="1" applyAlignment="1" applyProtection="1">
      <alignment horizontal="left" vertical="center" shrinkToFit="1"/>
    </xf>
    <xf numFmtId="0" fontId="6" fillId="13" borderId="34" xfId="2" applyFont="1" applyFill="1" applyBorder="1" applyAlignment="1" applyProtection="1">
      <alignment horizontal="center" vertical="center"/>
    </xf>
    <xf numFmtId="0" fontId="6" fillId="13" borderId="64" xfId="2" applyFont="1" applyFill="1" applyBorder="1" applyAlignment="1" applyProtection="1">
      <alignment horizontal="center" vertical="center"/>
    </xf>
    <xf numFmtId="0" fontId="6" fillId="13" borderId="56" xfId="2" applyFont="1" applyFill="1" applyBorder="1" applyAlignment="1" applyProtection="1">
      <alignment horizontal="center" vertical="center"/>
    </xf>
    <xf numFmtId="0" fontId="6" fillId="13" borderId="70" xfId="2" applyFont="1" applyFill="1" applyBorder="1" applyAlignment="1" applyProtection="1">
      <alignment horizontal="center" vertical="center"/>
    </xf>
    <xf numFmtId="0" fontId="6" fillId="13" borderId="0" xfId="2" applyFont="1" applyFill="1" applyBorder="1" applyAlignment="1" applyProtection="1">
      <alignment horizontal="center" vertical="center"/>
    </xf>
    <xf numFmtId="0" fontId="6" fillId="13" borderId="62" xfId="2" applyFont="1" applyFill="1" applyBorder="1" applyAlignment="1" applyProtection="1">
      <alignment horizontal="center" vertical="center"/>
    </xf>
    <xf numFmtId="0" fontId="6" fillId="13" borderId="55" xfId="2" applyFont="1" applyFill="1" applyBorder="1" applyAlignment="1" applyProtection="1">
      <alignment horizontal="center" vertical="center"/>
    </xf>
    <xf numFmtId="0" fontId="6" fillId="13" borderId="5" xfId="2" applyFont="1" applyFill="1" applyBorder="1" applyAlignment="1" applyProtection="1">
      <alignment horizontal="center" vertical="center"/>
    </xf>
    <xf numFmtId="0" fontId="6" fillId="13" borderId="54" xfId="2" applyFont="1" applyFill="1" applyBorder="1" applyAlignment="1" applyProtection="1">
      <alignment horizontal="center" vertical="center"/>
    </xf>
    <xf numFmtId="0" fontId="24" fillId="0" borderId="116" xfId="2" applyFont="1" applyBorder="1" applyAlignment="1" applyProtection="1">
      <alignment horizontal="center" vertical="center"/>
      <protection locked="0"/>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98" xfId="2" applyFont="1" applyBorder="1" applyAlignment="1" applyProtection="1">
      <alignment horizontal="center" vertical="center" wrapText="1"/>
      <protection hidden="1"/>
    </xf>
    <xf numFmtId="0" fontId="10" fillId="0" borderId="99" xfId="2" applyFont="1" applyBorder="1" applyAlignment="1" applyProtection="1">
      <alignment horizontal="center" vertical="center" wrapText="1"/>
      <protection hidden="1"/>
    </xf>
    <xf numFmtId="0" fontId="10" fillId="0" borderId="114" xfId="2" applyFont="1" applyBorder="1" applyAlignment="1" applyProtection="1">
      <alignment horizontal="center" vertical="center" wrapText="1"/>
      <protection hidden="1"/>
    </xf>
    <xf numFmtId="0" fontId="7" fillId="0" borderId="41" xfId="2" applyFont="1" applyBorder="1" applyAlignment="1" applyProtection="1">
      <alignment horizontal="center" vertical="center"/>
      <protection hidden="1"/>
    </xf>
    <xf numFmtId="0" fontId="7" fillId="0" borderId="66" xfId="2" applyFont="1" applyBorder="1" applyAlignment="1" applyProtection="1">
      <alignment horizontal="center" vertical="center"/>
      <protection hidden="1"/>
    </xf>
    <xf numFmtId="0" fontId="7" fillId="0" borderId="42" xfId="2" applyFont="1" applyBorder="1" applyAlignment="1" applyProtection="1">
      <alignment horizontal="center" vertical="center"/>
      <protection hidden="1"/>
    </xf>
    <xf numFmtId="0" fontId="7" fillId="0" borderId="85" xfId="2" applyFont="1" applyBorder="1" applyAlignment="1" applyProtection="1">
      <alignment horizontal="center" vertical="center"/>
      <protection hidden="1"/>
    </xf>
    <xf numFmtId="0" fontId="7" fillId="0" borderId="5" xfId="2" applyFont="1" applyBorder="1" applyAlignment="1" applyProtection="1">
      <alignment horizontal="center" vertical="center"/>
      <protection hidden="1"/>
    </xf>
    <xf numFmtId="0" fontId="7" fillId="0" borderId="144" xfId="2" applyFont="1" applyBorder="1" applyAlignment="1" applyProtection="1">
      <alignment horizontal="center" vertical="center"/>
      <protection hidden="1"/>
    </xf>
    <xf numFmtId="196" fontId="10" fillId="0" borderId="97" xfId="2" applyNumberFormat="1" applyBorder="1" applyAlignment="1" applyProtection="1">
      <alignment horizontal="center" vertical="center"/>
      <protection hidden="1"/>
    </xf>
    <xf numFmtId="196" fontId="10" fillId="0" borderId="64" xfId="2" applyNumberFormat="1" applyBorder="1" applyAlignment="1" applyProtection="1">
      <alignment horizontal="center" vertical="center"/>
      <protection hidden="1"/>
    </xf>
    <xf numFmtId="196" fontId="10" fillId="0" borderId="56" xfId="2" applyNumberFormat="1" applyBorder="1" applyAlignment="1" applyProtection="1">
      <alignment horizontal="center" vertical="center"/>
      <protection hidden="1"/>
    </xf>
    <xf numFmtId="196" fontId="10" fillId="0" borderId="48" xfId="2" applyNumberFormat="1" applyBorder="1" applyAlignment="1" applyProtection="1">
      <alignment horizontal="center" vertical="center"/>
      <protection hidden="1"/>
    </xf>
    <xf numFmtId="196" fontId="10" fillId="0" borderId="6" xfId="2" applyNumberFormat="1" applyBorder="1" applyAlignment="1" applyProtection="1">
      <alignment horizontal="center" vertical="center"/>
      <protection hidden="1"/>
    </xf>
    <xf numFmtId="196" fontId="10" fillId="0" borderId="110" xfId="2" applyNumberFormat="1" applyBorder="1" applyAlignment="1" applyProtection="1">
      <alignment horizontal="center" vertical="center"/>
      <protection hidden="1"/>
    </xf>
    <xf numFmtId="0" fontId="6" fillId="0" borderId="34"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86" xfId="2" applyFont="1" applyBorder="1" applyAlignment="1" applyProtection="1">
      <alignment horizontal="center" vertical="center"/>
      <protection hidden="1"/>
    </xf>
    <xf numFmtId="0" fontId="6" fillId="0" borderId="28"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49" xfId="2" applyFont="1" applyBorder="1" applyAlignment="1" applyProtection="1">
      <alignment horizontal="center" vertical="center"/>
      <protection hidden="1"/>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6" fillId="0" borderId="66" xfId="2" applyFont="1" applyBorder="1" applyAlignment="1" applyProtection="1">
      <alignment horizontal="left" vertical="center" wrapText="1"/>
      <protection locked="0"/>
    </xf>
    <xf numFmtId="0" fontId="6" fillId="0" borderId="42"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7" fillId="0" borderId="130" xfId="2" applyFont="1" applyFill="1" applyBorder="1" applyAlignment="1" applyProtection="1">
      <alignment horizontal="center" vertical="center" wrapText="1"/>
      <protection hidden="1"/>
    </xf>
    <xf numFmtId="0" fontId="7" fillId="0" borderId="131" xfId="2" applyFont="1" applyFill="1" applyBorder="1" applyAlignment="1" applyProtection="1">
      <alignment horizontal="center" vertical="center" wrapText="1"/>
      <protection hidden="1"/>
    </xf>
    <xf numFmtId="0" fontId="7" fillId="0" borderId="133" xfId="2" applyFont="1" applyFill="1" applyBorder="1" applyAlignment="1" applyProtection="1">
      <alignment horizontal="center" vertical="center" wrapText="1"/>
      <protection hidden="1"/>
    </xf>
    <xf numFmtId="0" fontId="7" fillId="0" borderId="132" xfId="2" applyFont="1" applyFill="1" applyBorder="1" applyAlignment="1" applyProtection="1">
      <alignment horizontal="center" vertical="center" wrapText="1"/>
      <protection hidden="1"/>
    </xf>
    <xf numFmtId="0" fontId="7" fillId="0" borderId="134" xfId="2" applyFont="1" applyFill="1" applyBorder="1" applyAlignment="1" applyProtection="1">
      <alignment horizontal="center" vertical="center" wrapText="1"/>
      <protection hidden="1"/>
    </xf>
    <xf numFmtId="0" fontId="10" fillId="0" borderId="1" xfId="2" applyBorder="1" applyAlignment="1" applyProtection="1">
      <alignment horizontal="center" vertical="center"/>
      <protection hidden="1"/>
    </xf>
    <xf numFmtId="0" fontId="6" fillId="0" borderId="4" xfId="2" applyFont="1" applyBorder="1" applyAlignment="1" applyProtection="1">
      <alignment horizontal="center" vertical="center"/>
      <protection hidden="1"/>
    </xf>
    <xf numFmtId="0" fontId="6" fillId="0" borderId="1" xfId="2" applyFont="1" applyBorder="1" applyAlignment="1" applyProtection="1">
      <alignment horizontal="center" vertical="center"/>
      <protection hidden="1"/>
    </xf>
    <xf numFmtId="0" fontId="6" fillId="0" borderId="41"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10" xfId="2" applyFont="1" applyBorder="1" applyAlignment="1" applyProtection="1">
      <alignment horizontal="left" vertical="center" wrapText="1"/>
      <protection locked="0"/>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188" fontId="10" fillId="0" borderId="1" xfId="2" quotePrefix="1" applyNumberFormat="1" applyBorder="1" applyAlignment="1" applyProtection="1">
      <alignment horizontal="right" vertical="center" wrapText="1"/>
      <protection hidden="1"/>
    </xf>
    <xf numFmtId="0" fontId="10" fillId="0" borderId="2" xfId="2" applyBorder="1" applyAlignment="1" applyProtection="1">
      <alignment horizontal="center" vertical="center" wrapText="1"/>
      <protection hidden="1"/>
    </xf>
    <xf numFmtId="0" fontId="10" fillId="0" borderId="3" xfId="2" applyBorder="1" applyAlignment="1" applyProtection="1">
      <alignment horizontal="center" vertical="center"/>
      <protection hidden="1"/>
    </xf>
    <xf numFmtId="0" fontId="10" fillId="0" borderId="4" xfId="2" applyBorder="1" applyAlignment="1" applyProtection="1">
      <alignment horizontal="center" vertical="center"/>
      <protection hidden="1"/>
    </xf>
    <xf numFmtId="0" fontId="10" fillId="0" borderId="0"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0" fontId="10" fillId="0" borderId="0" xfId="2" applyBorder="1" applyAlignment="1" applyProtection="1">
      <alignment horizontal="center" vertical="center" shrinkToFit="1"/>
      <protection hidden="1"/>
    </xf>
    <xf numFmtId="0" fontId="10" fillId="0" borderId="0" xfId="2" applyBorder="1" applyAlignment="1" applyProtection="1">
      <alignment horizontal="left" vertical="center" wrapText="1"/>
      <protection hidden="1"/>
    </xf>
    <xf numFmtId="195" fontId="10" fillId="0" borderId="1" xfId="2" applyNumberFormat="1" applyBorder="1" applyAlignment="1" applyProtection="1">
      <alignment horizontal="right" vertical="center" wrapText="1"/>
      <protection hidden="1"/>
    </xf>
    <xf numFmtId="195" fontId="10" fillId="0" borderId="2" xfId="2" applyNumberFormat="1" applyBorder="1" applyAlignment="1" applyProtection="1">
      <alignment horizontal="right" vertical="center" wrapText="1"/>
      <protection hidden="1"/>
    </xf>
    <xf numFmtId="0" fontId="25" fillId="13" borderId="34" xfId="2" applyFont="1" applyFill="1" applyBorder="1" applyAlignment="1" applyProtection="1">
      <alignment horizontal="center" vertical="center"/>
      <protection hidden="1"/>
    </xf>
    <xf numFmtId="0" fontId="25" fillId="13" borderId="64" xfId="2" applyFont="1" applyFill="1" applyBorder="1" applyAlignment="1" applyProtection="1">
      <alignment horizontal="center" vertical="center"/>
      <protection hidden="1"/>
    </xf>
    <xf numFmtId="0" fontId="25" fillId="13" borderId="56" xfId="2" applyFont="1" applyFill="1" applyBorder="1" applyAlignment="1" applyProtection="1">
      <alignment horizontal="center" vertical="center"/>
      <protection hidden="1"/>
    </xf>
    <xf numFmtId="0" fontId="25" fillId="13" borderId="70" xfId="2" applyFont="1" applyFill="1" applyBorder="1" applyAlignment="1" applyProtection="1">
      <alignment horizontal="center" vertical="center"/>
      <protection hidden="1"/>
    </xf>
    <xf numFmtId="0" fontId="25" fillId="13" borderId="0" xfId="2" applyFont="1" applyFill="1" applyBorder="1" applyAlignment="1" applyProtection="1">
      <alignment horizontal="center" vertical="center"/>
      <protection hidden="1"/>
    </xf>
    <xf numFmtId="0" fontId="25" fillId="13" borderId="62" xfId="2" applyFont="1" applyFill="1" applyBorder="1" applyAlignment="1" applyProtection="1">
      <alignment horizontal="center" vertical="center"/>
      <protection hidden="1"/>
    </xf>
    <xf numFmtId="0" fontId="25" fillId="13" borderId="55" xfId="2" applyFont="1" applyFill="1" applyBorder="1" applyAlignment="1" applyProtection="1">
      <alignment horizontal="center" vertical="center"/>
      <protection hidden="1"/>
    </xf>
    <xf numFmtId="0" fontId="25" fillId="13" borderId="5" xfId="2" applyFont="1" applyFill="1" applyBorder="1" applyAlignment="1" applyProtection="1">
      <alignment horizontal="center" vertical="center"/>
      <protection hidden="1"/>
    </xf>
    <xf numFmtId="0" fontId="25" fillId="13" borderId="54" xfId="2" applyFont="1" applyFill="1" applyBorder="1" applyAlignment="1" applyProtection="1">
      <alignment horizontal="center" vertical="center"/>
      <protection hidden="1"/>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25" xfId="2" applyFont="1" applyBorder="1" applyAlignment="1" applyProtection="1">
      <alignment horizontal="center" vertical="center"/>
      <protection locked="0"/>
    </xf>
    <xf numFmtId="0" fontId="6" fillId="0" borderId="111" xfId="2" applyFont="1" applyBorder="1" applyAlignment="1" applyProtection="1">
      <alignment horizontal="center" vertical="center"/>
      <protection locked="0"/>
    </xf>
    <xf numFmtId="0" fontId="6" fillId="0" borderId="126" xfId="2" applyFont="1" applyBorder="1" applyAlignment="1" applyProtection="1">
      <alignment horizontal="center" vertical="center"/>
      <protection locked="0"/>
    </xf>
    <xf numFmtId="0" fontId="10" fillId="0" borderId="125" xfId="2" applyFont="1" applyBorder="1" applyAlignment="1" applyProtection="1">
      <alignment horizontal="center" vertical="center"/>
      <protection locked="0"/>
    </xf>
    <xf numFmtId="0" fontId="10" fillId="0" borderId="111" xfId="2" applyFont="1" applyBorder="1" applyAlignment="1" applyProtection="1">
      <alignment horizontal="center" vertical="center"/>
      <protection locked="0"/>
    </xf>
    <xf numFmtId="0" fontId="10" fillId="0" borderId="126" xfId="2" applyFont="1" applyBorder="1" applyAlignment="1" applyProtection="1">
      <alignment horizontal="center" vertical="center"/>
      <protection locked="0"/>
    </xf>
    <xf numFmtId="0" fontId="6" fillId="0" borderId="127" xfId="2" applyFont="1" applyBorder="1" applyAlignment="1" applyProtection="1">
      <alignment horizontal="center" vertical="center"/>
      <protection locked="0"/>
    </xf>
    <xf numFmtId="0" fontId="6" fillId="0" borderId="128" xfId="2" applyFont="1" applyBorder="1" applyAlignment="1" applyProtection="1">
      <alignment horizontal="center" vertical="center"/>
      <protection locked="0"/>
    </xf>
    <xf numFmtId="0" fontId="6" fillId="0" borderId="129" xfId="2" applyFont="1" applyBorder="1" applyAlignment="1" applyProtection="1">
      <alignment horizontal="center" vertical="center"/>
      <protection locked="0"/>
    </xf>
    <xf numFmtId="0" fontId="79" fillId="0" borderId="127" xfId="2" applyFont="1" applyBorder="1" applyAlignment="1" applyProtection="1">
      <alignment horizontal="center" vertical="center"/>
      <protection locked="0"/>
    </xf>
    <xf numFmtId="0" fontId="79" fillId="0" borderId="128" xfId="2" applyFont="1" applyBorder="1" applyAlignment="1" applyProtection="1">
      <alignment horizontal="center" vertical="center"/>
      <protection locked="0"/>
    </xf>
    <xf numFmtId="0" fontId="79" fillId="0" borderId="129"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10" xfId="2" applyFont="1" applyFill="1" applyBorder="1" applyAlignment="1" applyProtection="1">
      <alignment horizontal="left" vertical="center" wrapText="1"/>
      <protection hidden="1"/>
    </xf>
    <xf numFmtId="0" fontId="61" fillId="0" borderId="2" xfId="2" applyFont="1" applyBorder="1" applyAlignment="1" applyProtection="1">
      <alignment horizontal="left" vertical="center"/>
      <protection hidden="1"/>
    </xf>
    <xf numFmtId="0" fontId="61" fillId="0" borderId="3" xfId="2" applyFont="1" applyBorder="1" applyAlignment="1" applyProtection="1">
      <alignment horizontal="left" vertical="center"/>
      <protection hidden="1"/>
    </xf>
    <xf numFmtId="0" fontId="61" fillId="0" borderId="4" xfId="2" applyFont="1" applyBorder="1" applyAlignment="1" applyProtection="1">
      <alignment horizontal="left" vertical="center"/>
      <protection hidden="1"/>
    </xf>
    <xf numFmtId="0" fontId="25" fillId="13" borderId="34" xfId="2" applyFont="1" applyFill="1" applyBorder="1" applyAlignment="1" applyProtection="1">
      <alignment horizontal="center" vertical="center" wrapText="1"/>
      <protection hidden="1"/>
    </xf>
    <xf numFmtId="0" fontId="25" fillId="13" borderId="64" xfId="2" applyFont="1" applyFill="1" applyBorder="1" applyAlignment="1" applyProtection="1">
      <alignment horizontal="center" vertical="center" wrapText="1"/>
      <protection hidden="1"/>
    </xf>
    <xf numFmtId="0" fontId="25" fillId="13" borderId="70" xfId="2" applyFont="1" applyFill="1" applyBorder="1" applyAlignment="1" applyProtection="1">
      <alignment horizontal="center" vertical="center" wrapText="1"/>
      <protection hidden="1"/>
    </xf>
    <xf numFmtId="0" fontId="25" fillId="13" borderId="0" xfId="2" applyFont="1" applyFill="1" applyBorder="1" applyAlignment="1" applyProtection="1">
      <alignment horizontal="center" vertical="center" wrapText="1"/>
      <protection hidden="1"/>
    </xf>
    <xf numFmtId="0" fontId="25" fillId="13" borderId="55" xfId="2" applyFont="1" applyFill="1" applyBorder="1" applyAlignment="1" applyProtection="1">
      <alignment horizontal="center" vertical="center" wrapText="1"/>
      <protection hidden="1"/>
    </xf>
    <xf numFmtId="0" fontId="25" fillId="13"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3" xfId="2" applyFont="1" applyBorder="1" applyAlignment="1" applyProtection="1">
      <alignment horizontal="center" vertical="center" wrapText="1"/>
      <protection hidden="1"/>
    </xf>
    <xf numFmtId="0" fontId="6" fillId="0" borderId="99" xfId="2" applyFont="1" applyBorder="1" applyAlignment="1" applyProtection="1">
      <alignment horizontal="center" vertical="center" wrapText="1"/>
      <protection hidden="1"/>
    </xf>
    <xf numFmtId="0" fontId="6" fillId="0" borderId="114" xfId="2" applyFont="1" applyBorder="1" applyAlignment="1" applyProtection="1">
      <alignment horizontal="center" vertical="center" wrapText="1"/>
      <protection hidden="1"/>
    </xf>
    <xf numFmtId="0" fontId="6" fillId="0" borderId="124" xfId="2" applyFont="1" applyBorder="1" applyAlignment="1" applyProtection="1">
      <alignment horizontal="left" vertical="center" wrapText="1"/>
      <protection locked="0"/>
    </xf>
    <xf numFmtId="0" fontId="6" fillId="0" borderId="122" xfId="2" applyFont="1" applyBorder="1" applyAlignment="1" applyProtection="1">
      <alignment horizontal="left" vertical="center" wrapText="1"/>
      <protection locked="0"/>
    </xf>
    <xf numFmtId="0" fontId="6" fillId="0" borderId="123"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78" fillId="13" borderId="34" xfId="2" applyFont="1" applyFill="1" applyBorder="1" applyAlignment="1" applyProtection="1">
      <alignment horizontal="center" vertical="center" textRotation="255" wrapText="1"/>
      <protection hidden="1"/>
    </xf>
    <xf numFmtId="0" fontId="78" fillId="13" borderId="64" xfId="2" applyFont="1" applyFill="1" applyBorder="1" applyAlignment="1" applyProtection="1">
      <alignment horizontal="center" vertical="center" textRotation="255" wrapText="1"/>
      <protection hidden="1"/>
    </xf>
    <xf numFmtId="0" fontId="78" fillId="13" borderId="70" xfId="2" applyFont="1" applyFill="1" applyBorder="1" applyAlignment="1" applyProtection="1">
      <alignment horizontal="center" vertical="center" textRotation="255" wrapText="1"/>
      <protection hidden="1"/>
    </xf>
    <xf numFmtId="0" fontId="78" fillId="13" borderId="0" xfId="2" applyFont="1" applyFill="1" applyBorder="1" applyAlignment="1" applyProtection="1">
      <alignment horizontal="center" vertical="center" textRotation="255" wrapText="1"/>
      <protection hidden="1"/>
    </xf>
    <xf numFmtId="0" fontId="78" fillId="13" borderId="55" xfId="2" applyFont="1" applyFill="1" applyBorder="1" applyAlignment="1" applyProtection="1">
      <alignment horizontal="center" vertical="center" textRotation="255" wrapText="1"/>
      <protection hidden="1"/>
    </xf>
    <xf numFmtId="0" fontId="78" fillId="13"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1" xfId="2" applyFont="1" applyFill="1" applyBorder="1" applyAlignment="1" applyProtection="1">
      <alignment horizontal="center" shrinkToFit="1"/>
      <protection hidden="1"/>
    </xf>
    <xf numFmtId="0" fontId="10" fillId="0" borderId="120" xfId="2" applyFont="1" applyFill="1" applyBorder="1" applyAlignment="1" applyProtection="1">
      <alignment horizontal="center" shrinkToFit="1"/>
      <protection hidden="1"/>
    </xf>
    <xf numFmtId="0" fontId="10" fillId="0" borderId="102" xfId="2" applyFont="1" applyFill="1" applyBorder="1" applyAlignment="1" applyProtection="1">
      <alignment horizontal="center" shrinkToFit="1"/>
      <protection hidden="1"/>
    </xf>
    <xf numFmtId="0" fontId="6" fillId="0" borderId="121" xfId="2" applyFont="1" applyBorder="1" applyAlignment="1" applyProtection="1">
      <alignment horizontal="left" vertical="center" shrinkToFit="1"/>
      <protection locked="0"/>
    </xf>
    <xf numFmtId="0" fontId="6" fillId="0" borderId="122" xfId="2" applyFont="1" applyBorder="1" applyAlignment="1" applyProtection="1">
      <alignment horizontal="left" vertical="center" shrinkToFit="1"/>
      <protection locked="0"/>
    </xf>
    <xf numFmtId="0" fontId="6" fillId="0" borderId="123"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10" fillId="0" borderId="64" xfId="2" applyBorder="1" applyAlignment="1" applyProtection="1">
      <alignment horizontal="center" vertical="center"/>
      <protection hidden="1"/>
    </xf>
    <xf numFmtId="0" fontId="10" fillId="0" borderId="5"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8"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3" borderId="1" xfId="2" applyFont="1" applyFill="1" applyBorder="1" applyAlignment="1" applyProtection="1">
      <alignment horizontal="center" vertical="center"/>
      <protection hidden="1"/>
    </xf>
    <xf numFmtId="0" fontId="6" fillId="13"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7" fillId="0" borderId="0" xfId="2" applyFont="1" applyAlignment="1" applyProtection="1">
      <alignment horizontal="left" vertical="center"/>
      <protection hidden="1"/>
    </xf>
    <xf numFmtId="0" fontId="10" fillId="13" borderId="34" xfId="2" applyFill="1" applyBorder="1" applyAlignment="1" applyProtection="1">
      <alignment horizontal="center" vertical="center"/>
      <protection hidden="1"/>
    </xf>
    <xf numFmtId="0" fontId="10" fillId="13" borderId="64" xfId="2" applyFill="1" applyBorder="1" applyAlignment="1" applyProtection="1">
      <alignment horizontal="center" vertical="center"/>
      <protection hidden="1"/>
    </xf>
    <xf numFmtId="0" fontId="10" fillId="13" borderId="56" xfId="2" applyFill="1" applyBorder="1" applyAlignment="1" applyProtection="1">
      <alignment horizontal="center" vertical="center"/>
      <protection hidden="1"/>
    </xf>
    <xf numFmtId="0" fontId="10" fillId="13" borderId="55" xfId="2" applyFill="1" applyBorder="1" applyAlignment="1" applyProtection="1">
      <alignment horizontal="center" vertical="center"/>
      <protection hidden="1"/>
    </xf>
    <xf numFmtId="0" fontId="10" fillId="13" borderId="5" xfId="2" applyFill="1" applyBorder="1" applyAlignment="1" applyProtection="1">
      <alignment horizontal="center" vertical="center"/>
      <protection hidden="1"/>
    </xf>
    <xf numFmtId="0" fontId="10" fillId="13"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134" fillId="13" borderId="34" xfId="2" applyFont="1" applyFill="1" applyBorder="1" applyAlignment="1" applyProtection="1">
      <alignment horizontal="center" vertical="center" wrapText="1"/>
      <protection hidden="1"/>
    </xf>
    <xf numFmtId="0" fontId="134" fillId="13" borderId="64" xfId="2" applyFont="1" applyFill="1" applyBorder="1" applyAlignment="1" applyProtection="1">
      <alignment horizontal="center" vertical="center" wrapText="1"/>
      <protection hidden="1"/>
    </xf>
    <xf numFmtId="0" fontId="134" fillId="13" borderId="70" xfId="2" applyFont="1" applyFill="1" applyBorder="1" applyAlignment="1" applyProtection="1">
      <alignment horizontal="center" vertical="center" wrapText="1"/>
      <protection hidden="1"/>
    </xf>
    <xf numFmtId="0" fontId="134" fillId="13" borderId="0" xfId="2" applyFont="1" applyFill="1" applyBorder="1" applyAlignment="1" applyProtection="1">
      <alignment horizontal="center" vertical="center" wrapText="1"/>
      <protection hidden="1"/>
    </xf>
    <xf numFmtId="0" fontId="134" fillId="13" borderId="55" xfId="2" applyFont="1" applyFill="1" applyBorder="1" applyAlignment="1" applyProtection="1">
      <alignment horizontal="center" vertical="center" wrapText="1"/>
      <protection hidden="1"/>
    </xf>
    <xf numFmtId="0" fontId="134" fillId="13" borderId="5" xfId="2" applyFont="1" applyFill="1" applyBorder="1" applyAlignment="1" applyProtection="1">
      <alignment horizontal="center" vertical="center" wrapText="1"/>
      <protection hidden="1"/>
    </xf>
    <xf numFmtId="0" fontId="10" fillId="0" borderId="41" xfId="2" applyBorder="1" applyAlignment="1" applyProtection="1">
      <alignment horizontal="left" vertical="top"/>
      <protection locked="0"/>
    </xf>
    <xf numFmtId="0" fontId="10" fillId="0" borderId="66" xfId="2" applyBorder="1" applyAlignment="1" applyProtection="1">
      <alignment horizontal="left" vertical="top"/>
      <protection locked="0"/>
    </xf>
    <xf numFmtId="0" fontId="10" fillId="0" borderId="42" xfId="2" applyBorder="1" applyAlignment="1" applyProtection="1">
      <alignment horizontal="left" vertical="top"/>
      <protection locked="0"/>
    </xf>
    <xf numFmtId="0" fontId="10" fillId="0" borderId="43" xfId="2" applyBorder="1" applyAlignment="1" applyProtection="1">
      <alignment horizontal="left" vertical="top"/>
      <protection locked="0"/>
    </xf>
    <xf numFmtId="0" fontId="10" fillId="0" borderId="0" xfId="2" applyBorder="1" applyAlignment="1" applyProtection="1">
      <alignment horizontal="left" vertical="top"/>
      <protection locked="0"/>
    </xf>
    <xf numFmtId="0" fontId="10" fillId="0" borderId="44" xfId="2" applyBorder="1" applyAlignment="1" applyProtection="1">
      <alignment horizontal="left" vertical="top"/>
      <protection locked="0"/>
    </xf>
    <xf numFmtId="0" fontId="10" fillId="0" borderId="48" xfId="2" applyBorder="1" applyAlignment="1" applyProtection="1">
      <alignment horizontal="left" vertical="top"/>
      <protection locked="0"/>
    </xf>
    <xf numFmtId="0" fontId="10" fillId="0" borderId="6" xfId="2" applyBorder="1" applyAlignment="1" applyProtection="1">
      <alignment horizontal="left" vertical="top"/>
      <protection locked="0"/>
    </xf>
    <xf numFmtId="0" fontId="10" fillId="0" borderId="49" xfId="2" applyBorder="1" applyAlignment="1" applyProtection="1">
      <alignment horizontal="left" vertical="top"/>
      <protection locked="0"/>
    </xf>
    <xf numFmtId="187" fontId="52" fillId="0" borderId="64" xfId="2" applyNumberFormat="1" applyFont="1" applyBorder="1" applyAlignment="1" applyProtection="1">
      <alignment horizontal="center" vertical="center"/>
      <protection hidden="1"/>
    </xf>
    <xf numFmtId="187" fontId="60" fillId="0" borderId="66" xfId="2" applyNumberFormat="1" applyFont="1" applyBorder="1" applyAlignment="1" applyProtection="1">
      <alignment horizontal="center" vertical="center"/>
      <protection hidden="1"/>
    </xf>
    <xf numFmtId="0" fontId="60"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187" fontId="59" fillId="0" borderId="1" xfId="2" applyNumberFormat="1" applyFont="1" applyFill="1" applyBorder="1" applyAlignment="1" applyProtection="1">
      <alignment horizontal="right" vertical="center" shrinkToFit="1"/>
      <protection hidden="1"/>
    </xf>
    <xf numFmtId="187" fontId="59" fillId="0" borderId="2" xfId="2" applyNumberFormat="1" applyFont="1" applyBorder="1" applyAlignment="1" applyProtection="1">
      <alignment horizontal="center" vertical="center"/>
      <protection hidden="1"/>
    </xf>
    <xf numFmtId="187" fontId="59" fillId="0" borderId="3" xfId="2" applyNumberFormat="1" applyFont="1" applyBorder="1" applyAlignment="1" applyProtection="1">
      <alignment horizontal="center" vertical="center"/>
      <protection hidden="1"/>
    </xf>
    <xf numFmtId="187" fontId="59" fillId="0" borderId="4" xfId="2" applyNumberFormat="1" applyFont="1" applyBorder="1" applyAlignment="1" applyProtection="1">
      <alignment horizontal="center" vertical="center"/>
      <protection hidden="1"/>
    </xf>
    <xf numFmtId="0" fontId="61" fillId="0" borderId="6" xfId="2" applyFont="1" applyBorder="1" applyAlignment="1" applyProtection="1">
      <alignment horizontal="center" vertical="center"/>
      <protection hidden="1"/>
    </xf>
    <xf numFmtId="12" fontId="59" fillId="0" borderId="2" xfId="2" applyNumberFormat="1" applyFont="1" applyBorder="1" applyAlignment="1" applyProtection="1">
      <alignment horizontal="center" vertical="center"/>
      <protection hidden="1"/>
    </xf>
    <xf numFmtId="12" fontId="59" fillId="0" borderId="3" xfId="2" applyNumberFormat="1" applyFont="1" applyBorder="1" applyAlignment="1" applyProtection="1">
      <alignment horizontal="center" vertical="center"/>
      <protection hidden="1"/>
    </xf>
    <xf numFmtId="12" fontId="59" fillId="0" borderId="4" xfId="2" applyNumberFormat="1" applyFont="1" applyBorder="1" applyAlignment="1" applyProtection="1">
      <alignment horizontal="center" vertical="center"/>
      <protection hidden="1"/>
    </xf>
    <xf numFmtId="187" fontId="77" fillId="0" borderId="50" xfId="2" applyNumberFormat="1" applyFont="1" applyBorder="1" applyAlignment="1" applyProtection="1">
      <alignment horizontal="center" vertical="center"/>
      <protection hidden="1"/>
    </xf>
    <xf numFmtId="187" fontId="77" fillId="0" borderId="51" xfId="2" applyNumberFormat="1" applyFont="1" applyBorder="1" applyAlignment="1" applyProtection="1">
      <alignment horizontal="center" vertical="center"/>
      <protection hidden="1"/>
    </xf>
    <xf numFmtId="187" fontId="77"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82" fillId="0" borderId="0" xfId="0" applyFont="1" applyAlignment="1">
      <alignment horizontal="left" vertical="center" shrinkToFit="1"/>
    </xf>
    <xf numFmtId="0" fontId="60" fillId="0" borderId="3" xfId="2" applyFont="1" applyBorder="1" applyAlignment="1" applyProtection="1">
      <alignment horizontal="center" vertical="center"/>
      <protection hidden="1"/>
    </xf>
    <xf numFmtId="187" fontId="59" fillId="0" borderId="1" xfId="2" applyNumberFormat="1" applyFont="1" applyFill="1" applyBorder="1" applyAlignment="1" applyProtection="1">
      <alignment horizontal="center" vertical="center"/>
      <protection hidden="1"/>
    </xf>
    <xf numFmtId="0" fontId="60" fillId="0" borderId="34" xfId="2" applyFont="1" applyBorder="1" applyAlignment="1" applyProtection="1">
      <alignment horizontal="center" vertical="center" textRotation="255" wrapText="1"/>
      <protection hidden="1"/>
    </xf>
    <xf numFmtId="0" fontId="60" fillId="0" borderId="70" xfId="2" applyFont="1" applyBorder="1" applyAlignment="1" applyProtection="1">
      <alignment horizontal="center" vertical="center" textRotation="255" wrapText="1"/>
      <protection hidden="1"/>
    </xf>
    <xf numFmtId="0" fontId="60" fillId="0" borderId="55" xfId="2" applyFont="1" applyBorder="1" applyAlignment="1" applyProtection="1">
      <alignment horizontal="center" vertical="center" textRotation="255" wrapText="1"/>
      <protection hidden="1"/>
    </xf>
    <xf numFmtId="0" fontId="60" fillId="0" borderId="95" xfId="2" applyFont="1" applyFill="1" applyBorder="1" applyAlignment="1" applyProtection="1">
      <alignment horizontal="center" vertical="center" shrinkToFit="1"/>
      <protection hidden="1"/>
    </xf>
    <xf numFmtId="0" fontId="60" fillId="0" borderId="96" xfId="2" applyFont="1" applyFill="1" applyBorder="1" applyAlignment="1" applyProtection="1">
      <alignment horizontal="center" vertical="center" shrinkToFit="1"/>
      <protection hidden="1"/>
    </xf>
    <xf numFmtId="187" fontId="59" fillId="0" borderId="90" xfId="2" applyNumberFormat="1" applyFont="1" applyFill="1" applyBorder="1" applyAlignment="1" applyProtection="1">
      <alignment horizontal="center" vertical="center"/>
      <protection locked="0"/>
    </xf>
    <xf numFmtId="187" fontId="59" fillId="0" borderId="90" xfId="2" applyNumberFormat="1" applyFont="1" applyFill="1" applyBorder="1" applyAlignment="1" applyProtection="1">
      <alignment horizontal="right" vertical="center"/>
      <protection locked="0"/>
    </xf>
    <xf numFmtId="187" fontId="59" fillId="0" borderId="90" xfId="2" applyNumberFormat="1" applyFont="1" applyFill="1" applyBorder="1" applyAlignment="1" applyProtection="1">
      <alignment horizontal="right" vertical="center" shrinkToFit="1"/>
      <protection locked="0"/>
    </xf>
    <xf numFmtId="187" fontId="59" fillId="14" borderId="90" xfId="2" applyNumberFormat="1" applyFont="1" applyFill="1" applyBorder="1" applyAlignment="1" applyProtection="1">
      <alignment horizontal="right" vertical="center" shrinkToFit="1"/>
      <protection hidden="1"/>
    </xf>
    <xf numFmtId="0" fontId="60" fillId="0" borderId="91" xfId="2" applyFont="1" applyFill="1" applyBorder="1" applyAlignment="1" applyProtection="1">
      <alignment horizontal="left" vertical="center" shrinkToFit="1"/>
      <protection locked="0"/>
    </xf>
    <xf numFmtId="0" fontId="60" fillId="0" borderId="92" xfId="2" applyFont="1" applyFill="1" applyBorder="1" applyAlignment="1" applyProtection="1">
      <alignment horizontal="left" vertical="center" shrinkToFit="1"/>
      <protection locked="0"/>
    </xf>
    <xf numFmtId="0" fontId="60" fillId="0" borderId="94" xfId="2" applyFont="1" applyFill="1" applyBorder="1" applyAlignment="1" applyProtection="1">
      <alignment horizontal="left" vertical="center" shrinkToFit="1"/>
      <protection locked="0"/>
    </xf>
    <xf numFmtId="187" fontId="59" fillId="0" borderId="93" xfId="2" applyNumberFormat="1" applyFont="1" applyFill="1" applyBorder="1" applyAlignment="1" applyProtection="1">
      <alignment horizontal="center" vertical="center"/>
      <protection locked="0"/>
    </xf>
    <xf numFmtId="187" fontId="59" fillId="0" borderId="93" xfId="2" applyNumberFormat="1" applyFont="1" applyFill="1" applyBorder="1" applyAlignment="1" applyProtection="1">
      <alignment horizontal="right" vertical="center"/>
      <protection locked="0"/>
    </xf>
    <xf numFmtId="187" fontId="59" fillId="0" borderId="93" xfId="2" applyNumberFormat="1" applyFont="1" applyFill="1" applyBorder="1" applyAlignment="1" applyProtection="1">
      <alignment horizontal="right" vertical="center" shrinkToFit="1"/>
      <protection locked="0"/>
    </xf>
    <xf numFmtId="187" fontId="59" fillId="14" borderId="93" xfId="2" applyNumberFormat="1" applyFont="1" applyFill="1" applyBorder="1" applyAlignment="1" applyProtection="1">
      <alignment horizontal="right" vertical="center" shrinkToFit="1"/>
      <protection hidden="1"/>
    </xf>
    <xf numFmtId="187" fontId="59" fillId="14" borderId="100" xfId="2" applyNumberFormat="1" applyFont="1" applyFill="1" applyBorder="1" applyAlignment="1" applyProtection="1">
      <alignment horizontal="right" vertical="center" shrinkToFit="1"/>
      <protection hidden="1"/>
    </xf>
    <xf numFmtId="0" fontId="60" fillId="0" borderId="98" xfId="2" applyFont="1" applyFill="1" applyBorder="1" applyAlignment="1" applyProtection="1">
      <alignment horizontal="left" vertical="center" shrinkToFit="1"/>
      <protection locked="0"/>
    </xf>
    <xf numFmtId="0" fontId="60" fillId="0" borderId="99" xfId="2" applyFont="1" applyFill="1" applyBorder="1" applyAlignment="1" applyProtection="1">
      <alignment horizontal="left" vertical="center" shrinkToFit="1"/>
      <protection locked="0"/>
    </xf>
    <xf numFmtId="187" fontId="59" fillId="0" borderId="100" xfId="2" applyNumberFormat="1" applyFont="1" applyFill="1" applyBorder="1" applyAlignment="1" applyProtection="1">
      <alignment horizontal="center" vertical="center"/>
      <protection locked="0"/>
    </xf>
    <xf numFmtId="187" fontId="59" fillId="0" borderId="100" xfId="2" applyNumberFormat="1" applyFont="1" applyFill="1" applyBorder="1" applyAlignment="1" applyProtection="1">
      <alignment horizontal="right" vertical="center"/>
      <protection locked="0"/>
    </xf>
    <xf numFmtId="187" fontId="59" fillId="0" borderId="100" xfId="2" applyNumberFormat="1" applyFont="1" applyFill="1" applyBorder="1" applyAlignment="1" applyProtection="1">
      <alignment horizontal="right" vertical="center" shrinkToFit="1"/>
      <protection locked="0"/>
    </xf>
    <xf numFmtId="0" fontId="60" fillId="0" borderId="91" xfId="2" applyFont="1" applyFill="1" applyBorder="1" applyAlignment="1" applyProtection="1">
      <alignment horizontal="center" vertical="center" shrinkToFit="1"/>
      <protection hidden="1"/>
    </xf>
    <xf numFmtId="0" fontId="60" fillId="0" borderId="92" xfId="2" applyFont="1" applyFill="1" applyBorder="1" applyAlignment="1" applyProtection="1">
      <alignment horizontal="center" vertical="center" shrinkToFit="1"/>
      <protection hidden="1"/>
    </xf>
    <xf numFmtId="0" fontId="60" fillId="0" borderId="94" xfId="2" applyFont="1" applyFill="1" applyBorder="1" applyAlignment="1" applyProtection="1">
      <alignment horizontal="center" vertical="center" shrinkToFit="1"/>
      <protection hidden="1"/>
    </xf>
    <xf numFmtId="187" fontId="59" fillId="0" borderId="91" xfId="2" applyNumberFormat="1" applyFont="1" applyFill="1" applyBorder="1" applyAlignment="1" applyProtection="1">
      <alignment horizontal="right" vertical="center" shrinkToFit="1"/>
      <protection locked="0"/>
    </xf>
    <xf numFmtId="187" fontId="59" fillId="0" borderId="92" xfId="2" applyNumberFormat="1" applyFont="1" applyFill="1" applyBorder="1" applyAlignment="1" applyProtection="1">
      <alignment horizontal="right" vertical="center" shrinkToFit="1"/>
      <protection locked="0"/>
    </xf>
    <xf numFmtId="187" fontId="59" fillId="0" borderId="94" xfId="2" applyNumberFormat="1" applyFont="1" applyFill="1" applyBorder="1" applyAlignment="1" applyProtection="1">
      <alignment horizontal="right" vertical="center" shrinkToFit="1"/>
      <protection locked="0"/>
    </xf>
    <xf numFmtId="187" fontId="59" fillId="0" borderId="91" xfId="2" applyNumberFormat="1" applyFont="1" applyFill="1" applyBorder="1" applyAlignment="1" applyProtection="1">
      <alignment horizontal="right" vertical="center" shrinkToFit="1"/>
      <protection hidden="1"/>
    </xf>
    <xf numFmtId="187" fontId="59" fillId="0" borderId="92" xfId="2" applyNumberFormat="1" applyFont="1" applyFill="1" applyBorder="1" applyAlignment="1" applyProtection="1">
      <alignment horizontal="right" vertical="center" shrinkToFit="1"/>
      <protection hidden="1"/>
    </xf>
    <xf numFmtId="187" fontId="59" fillId="0" borderId="94" xfId="2" applyNumberFormat="1" applyFont="1" applyFill="1" applyBorder="1" applyAlignment="1" applyProtection="1">
      <alignment horizontal="right" vertical="center" shrinkToFit="1"/>
      <protection hidden="1"/>
    </xf>
    <xf numFmtId="187" fontId="59" fillId="0" borderId="100" xfId="2" applyNumberFormat="1" applyFont="1" applyFill="1" applyBorder="1" applyAlignment="1" applyProtection="1">
      <alignment horizontal="right" vertical="center" shrinkToFit="1"/>
      <protection hidden="1"/>
    </xf>
    <xf numFmtId="0" fontId="60" fillId="0" borderId="34" xfId="2" applyFont="1" applyBorder="1" applyAlignment="1" applyProtection="1">
      <alignment horizontal="center" vertical="center" shrinkToFit="1"/>
      <protection hidden="1"/>
    </xf>
    <xf numFmtId="0" fontId="60" fillId="0" borderId="64" xfId="2" applyFont="1" applyBorder="1" applyAlignment="1" applyProtection="1">
      <alignment horizontal="center" vertical="center" shrinkToFit="1"/>
      <protection hidden="1"/>
    </xf>
    <xf numFmtId="0" fontId="60" fillId="0" borderId="56" xfId="2" applyFont="1" applyBorder="1" applyAlignment="1" applyProtection="1">
      <alignment horizontal="center" vertical="center" shrinkToFit="1"/>
      <protection hidden="1"/>
    </xf>
    <xf numFmtId="0" fontId="60" fillId="0" borderId="55" xfId="2" applyFont="1" applyBorder="1" applyAlignment="1" applyProtection="1">
      <alignment horizontal="center" vertical="center" shrinkToFit="1"/>
      <protection hidden="1"/>
    </xf>
    <xf numFmtId="0" fontId="60" fillId="0" borderId="5" xfId="2" applyFont="1" applyBorder="1" applyAlignment="1" applyProtection="1">
      <alignment horizontal="center" vertical="center" shrinkToFit="1"/>
      <protection hidden="1"/>
    </xf>
    <xf numFmtId="0" fontId="60"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0" fontId="38" fillId="10" borderId="0" xfId="0" applyFont="1" applyFill="1" applyAlignment="1">
      <alignment horizontal="left" vertical="center"/>
    </xf>
    <xf numFmtId="0" fontId="80" fillId="10" borderId="0" xfId="0" applyFont="1" applyFill="1" applyAlignment="1">
      <alignment horizontal="left" vertical="center"/>
    </xf>
    <xf numFmtId="0" fontId="38" fillId="10" borderId="0" xfId="0" applyFont="1" applyFill="1" applyAlignment="1">
      <alignment horizontal="center" vertical="center"/>
    </xf>
    <xf numFmtId="0" fontId="52" fillId="10" borderId="0" xfId="0" applyFont="1" applyFill="1" applyAlignment="1">
      <alignment horizontal="left" vertical="center" indent="2"/>
    </xf>
    <xf numFmtId="0" fontId="131" fillId="10" borderId="0" xfId="0" applyFont="1" applyFill="1" applyAlignment="1">
      <alignment horizontal="left" wrapText="1"/>
    </xf>
    <xf numFmtId="0" fontId="130" fillId="10" borderId="80" xfId="0" applyFont="1" applyFill="1" applyBorder="1" applyAlignment="1">
      <alignment horizontal="center" vertical="center"/>
    </xf>
    <xf numFmtId="0" fontId="130" fillId="10" borderId="81" xfId="0" applyFont="1" applyFill="1" applyBorder="1" applyAlignment="1">
      <alignment horizontal="center" vertical="center"/>
    </xf>
    <xf numFmtId="0" fontId="130" fillId="10" borderId="147" xfId="0" applyFont="1" applyFill="1" applyBorder="1" applyAlignment="1">
      <alignment horizontal="center" vertical="center"/>
    </xf>
    <xf numFmtId="0" fontId="129" fillId="10" borderId="82" xfId="0" applyFont="1" applyFill="1" applyBorder="1" applyAlignment="1">
      <alignment horizontal="center" vertical="center"/>
    </xf>
    <xf numFmtId="0" fontId="129" fillId="10" borderId="148" xfId="0" applyFont="1" applyFill="1" applyBorder="1" applyAlignment="1">
      <alignment horizontal="center" vertical="center"/>
    </xf>
    <xf numFmtId="0" fontId="35" fillId="10" borderId="80" xfId="0" applyFont="1" applyFill="1" applyBorder="1" applyAlignment="1">
      <alignment horizontal="right" vertical="center"/>
    </xf>
    <xf numFmtId="0" fontId="35" fillId="10" borderId="81" xfId="0" applyFont="1" applyFill="1" applyBorder="1" applyAlignment="1">
      <alignment horizontal="right" vertical="center"/>
    </xf>
    <xf numFmtId="0" fontId="35" fillId="10" borderId="79" xfId="0" applyFont="1" applyFill="1" applyBorder="1" applyAlignment="1">
      <alignment horizontal="right" vertical="center"/>
    </xf>
    <xf numFmtId="0" fontId="35" fillId="10" borderId="80" xfId="0" applyFont="1" applyFill="1" applyBorder="1" applyAlignment="1">
      <alignment horizontal="left" vertical="center"/>
    </xf>
    <xf numFmtId="0" fontId="35" fillId="10" borderId="81" xfId="0" applyFont="1" applyFill="1" applyBorder="1" applyAlignment="1">
      <alignment horizontal="left" vertical="center"/>
    </xf>
    <xf numFmtId="0" fontId="35" fillId="10" borderId="79" xfId="0" applyFont="1" applyFill="1" applyBorder="1" applyAlignment="1">
      <alignment horizontal="left" vertical="center"/>
    </xf>
    <xf numFmtId="0" fontId="132" fillId="10" borderId="0" xfId="0" applyFont="1" applyFill="1" applyAlignment="1">
      <alignment horizontal="left" vertical="top" wrapText="1"/>
    </xf>
    <xf numFmtId="0" fontId="91" fillId="10" borderId="0" xfId="0" applyFont="1" applyFill="1" applyAlignment="1">
      <alignment horizontal="left" vertical="top" wrapText="1"/>
    </xf>
    <xf numFmtId="58" fontId="32" fillId="0" borderId="50" xfId="0" applyNumberFormat="1"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40" fillId="0" borderId="59" xfId="0" applyFont="1" applyFill="1" applyBorder="1" applyAlignment="1" applyProtection="1">
      <alignment horizontal="center" vertical="center"/>
      <protection locked="0"/>
    </xf>
    <xf numFmtId="0" fontId="40" fillId="0" borderId="88" xfId="0" applyFont="1" applyFill="1" applyBorder="1" applyAlignment="1" applyProtection="1">
      <alignment horizontal="center" vertical="center"/>
      <protection locked="0"/>
    </xf>
    <xf numFmtId="0" fontId="40" fillId="0" borderId="89" xfId="0" applyFont="1" applyFill="1" applyBorder="1" applyAlignment="1" applyProtection="1">
      <alignment horizontal="center" vertical="center"/>
      <protection locked="0"/>
    </xf>
    <xf numFmtId="0" fontId="38" fillId="10" borderId="6" xfId="0" applyFont="1" applyFill="1" applyBorder="1" applyAlignment="1">
      <alignment horizontal="center" vertical="center"/>
    </xf>
    <xf numFmtId="38" fontId="38" fillId="0" borderId="50" xfId="1" applyFont="1" applyFill="1" applyBorder="1" applyAlignment="1" applyProtection="1">
      <alignment horizontal="right" vertical="center"/>
      <protection locked="0"/>
    </xf>
    <xf numFmtId="38" fontId="38" fillId="0" borderId="59" xfId="1" applyFont="1" applyFill="1" applyBorder="1" applyAlignment="1" applyProtection="1">
      <alignment horizontal="right" vertical="center"/>
      <protection locked="0"/>
    </xf>
    <xf numFmtId="0" fontId="38" fillId="10" borderId="0" xfId="0" applyFont="1" applyFill="1" applyAlignment="1">
      <alignment horizontal="distributed" vertical="center"/>
    </xf>
    <xf numFmtId="0" fontId="38" fillId="10" borderId="0" xfId="0" applyFont="1" applyFill="1" applyBorder="1" applyAlignment="1">
      <alignment horizontal="distributed" vertical="center"/>
    </xf>
    <xf numFmtId="0" fontId="40" fillId="0" borderId="50" xfId="0" applyFont="1" applyFill="1" applyBorder="1" applyAlignment="1" applyProtection="1">
      <alignment horizontal="center" vertical="center"/>
      <protection locked="0"/>
    </xf>
    <xf numFmtId="0" fontId="38" fillId="10" borderId="78" xfId="0" applyFont="1" applyFill="1" applyBorder="1" applyAlignment="1">
      <alignment horizontal="center" vertical="center"/>
    </xf>
    <xf numFmtId="0" fontId="39" fillId="10" borderId="0" xfId="0" applyFont="1" applyFill="1" applyBorder="1" applyAlignment="1">
      <alignment horizontal="left" vertical="center"/>
    </xf>
    <xf numFmtId="0" fontId="40" fillId="0" borderId="72" xfId="0" applyFont="1" applyFill="1" applyBorder="1" applyAlignment="1" applyProtection="1">
      <alignment horizontal="left" vertical="center" indent="1"/>
      <protection locked="0"/>
    </xf>
    <xf numFmtId="0" fontId="80" fillId="10" borderId="141" xfId="0" applyFont="1" applyFill="1" applyBorder="1" applyAlignment="1">
      <alignment horizontal="left" vertical="center"/>
    </xf>
    <xf numFmtId="0" fontId="125" fillId="10" borderId="0" xfId="0" applyFont="1" applyFill="1" applyAlignment="1">
      <alignment horizontal="left" vertical="center"/>
    </xf>
    <xf numFmtId="0" fontId="37" fillId="10" borderId="0" xfId="0" applyFont="1" applyFill="1" applyAlignment="1">
      <alignment horizontal="center" vertical="center"/>
    </xf>
    <xf numFmtId="0" fontId="36" fillId="10" borderId="0" xfId="0" applyFont="1" applyFill="1" applyAlignment="1">
      <alignment horizontal="center" vertical="center"/>
    </xf>
    <xf numFmtId="0" fontId="38" fillId="10" borderId="5" xfId="0" applyFont="1" applyFill="1" applyBorder="1" applyAlignment="1">
      <alignment horizontal="center" vertical="center"/>
    </xf>
    <xf numFmtId="0" fontId="44" fillId="10" borderId="0" xfId="0" applyFont="1" applyFill="1" applyBorder="1" applyAlignment="1">
      <alignment horizontal="left" vertical="center"/>
    </xf>
    <xf numFmtId="0" fontId="43" fillId="10" borderId="0" xfId="0" applyFont="1" applyFill="1" applyBorder="1" applyAlignment="1">
      <alignment horizontal="left" vertical="center"/>
    </xf>
    <xf numFmtId="0" fontId="49" fillId="0" borderId="73" xfId="0" applyFont="1" applyFill="1" applyBorder="1" applyAlignment="1" applyProtection="1">
      <alignment horizontal="left" vertical="center" shrinkToFit="1"/>
      <protection locked="0"/>
    </xf>
    <xf numFmtId="0" fontId="38" fillId="0" borderId="74" xfId="0" applyFont="1" applyFill="1" applyBorder="1" applyAlignment="1" applyProtection="1">
      <alignment horizontal="left" vertical="center" shrinkToFit="1"/>
      <protection locked="0"/>
    </xf>
    <xf numFmtId="0" fontId="38" fillId="0" borderId="75" xfId="0" applyFont="1" applyFill="1" applyBorder="1" applyAlignment="1" applyProtection="1">
      <alignment horizontal="left" vertical="center" shrinkToFit="1"/>
      <protection locked="0"/>
    </xf>
    <xf numFmtId="0" fontId="38" fillId="0" borderId="73" xfId="0" applyFont="1" applyFill="1" applyBorder="1" applyAlignment="1" applyProtection="1">
      <alignment horizontal="left" vertical="center" shrinkToFit="1"/>
      <protection locked="0"/>
    </xf>
    <xf numFmtId="0" fontId="40" fillId="11" borderId="72" xfId="0" applyFont="1" applyFill="1" applyBorder="1" applyAlignment="1" applyProtection="1">
      <alignment horizontal="left" vertical="center" indent="1"/>
      <protection hidden="1"/>
    </xf>
    <xf numFmtId="0" fontId="40" fillId="11" borderId="137" xfId="0" applyFont="1" applyFill="1" applyBorder="1" applyAlignment="1" applyProtection="1">
      <alignment horizontal="left" vertical="center" indent="1"/>
      <protection hidden="1"/>
    </xf>
    <xf numFmtId="0" fontId="40" fillId="11" borderId="136" xfId="0" applyFont="1" applyFill="1" applyBorder="1" applyAlignment="1" applyProtection="1">
      <alignment horizontal="left" vertical="center" indent="1"/>
      <protection hidden="1"/>
    </xf>
    <xf numFmtId="0" fontId="39" fillId="10" borderId="0" xfId="0" applyFont="1" applyFill="1" applyAlignment="1">
      <alignment horizontal="left" vertical="center"/>
    </xf>
    <xf numFmtId="0" fontId="35" fillId="10" borderId="10"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26" xfId="0" applyFont="1" applyFill="1" applyBorder="1" applyAlignment="1">
      <alignment horizontal="center" vertical="center"/>
    </xf>
    <xf numFmtId="0" fontId="65" fillId="10" borderId="142" xfId="0" applyFont="1" applyFill="1" applyBorder="1" applyAlignment="1">
      <alignment horizontal="center" vertical="center"/>
    </xf>
    <xf numFmtId="0" fontId="52" fillId="10" borderId="80" xfId="0" applyFont="1" applyFill="1" applyBorder="1" applyAlignment="1">
      <alignment horizontal="left" vertical="center" shrinkToFit="1"/>
    </xf>
    <xf numFmtId="0" fontId="52" fillId="10" borderId="81" xfId="0" applyFont="1" applyFill="1" applyBorder="1" applyAlignment="1">
      <alignment horizontal="left" vertical="center" shrinkToFit="1"/>
    </xf>
    <xf numFmtId="0" fontId="52" fillId="10" borderId="79" xfId="0" applyFont="1" applyFill="1" applyBorder="1" applyAlignment="1">
      <alignment horizontal="left" vertical="center" shrinkToFit="1"/>
    </xf>
    <xf numFmtId="0" fontId="35" fillId="10" borderId="80" xfId="0" applyFont="1" applyFill="1" applyBorder="1" applyAlignment="1">
      <alignment horizontal="left" vertical="center" shrinkToFit="1"/>
    </xf>
    <xf numFmtId="0" fontId="35" fillId="10" borderId="81" xfId="0" applyFont="1" applyFill="1" applyBorder="1" applyAlignment="1">
      <alignment horizontal="left" vertical="center" shrinkToFit="1"/>
    </xf>
    <xf numFmtId="0" fontId="35" fillId="10" borderId="79" xfId="0" applyFont="1" applyFill="1" applyBorder="1" applyAlignment="1">
      <alignment horizontal="left" vertical="center" shrinkToFit="1"/>
    </xf>
    <xf numFmtId="0" fontId="35" fillId="10"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21" xfId="0" applyFont="1" applyFill="1" applyBorder="1" applyAlignment="1">
      <alignment horizontal="center" vertical="center"/>
    </xf>
    <xf numFmtId="0" fontId="52" fillId="10" borderId="0" xfId="0" applyFont="1" applyFill="1" applyBorder="1" applyAlignment="1">
      <alignment horizontal="center" vertical="center"/>
    </xf>
    <xf numFmtId="0" fontId="124" fillId="10" borderId="0" xfId="0" applyFont="1" applyFill="1" applyAlignment="1">
      <alignment horizontal="left" vertical="center"/>
    </xf>
    <xf numFmtId="0" fontId="131" fillId="10" borderId="0" xfId="0" applyFont="1" applyFill="1" applyAlignment="1">
      <alignment horizontal="left" vertical="center" wrapText="1"/>
    </xf>
    <xf numFmtId="0" fontId="131" fillId="10" borderId="0" xfId="0" applyFont="1" applyFill="1" applyAlignment="1">
      <alignment horizontal="left" vertical="center"/>
    </xf>
    <xf numFmtId="0" fontId="128" fillId="13" borderId="80" xfId="0" applyFont="1" applyFill="1" applyBorder="1" applyAlignment="1">
      <alignment horizontal="center" vertical="center"/>
    </xf>
    <xf numFmtId="0" fontId="115" fillId="13" borderId="79" xfId="0" applyFont="1" applyFill="1" applyBorder="1" applyAlignment="1">
      <alignment horizontal="center" vertical="center"/>
    </xf>
    <xf numFmtId="0" fontId="38" fillId="7" borderId="36" xfId="0" applyFont="1" applyFill="1" applyBorder="1" applyAlignment="1">
      <alignment horizontal="left" vertical="center"/>
    </xf>
    <xf numFmtId="0" fontId="38" fillId="7" borderId="37" xfId="0" applyFont="1" applyFill="1" applyBorder="1" applyAlignment="1">
      <alignment horizontal="left" vertical="center"/>
    </xf>
    <xf numFmtId="0" fontId="38" fillId="7" borderId="39" xfId="0" applyFont="1" applyFill="1" applyBorder="1" applyAlignment="1">
      <alignment horizontal="left" vertical="center"/>
    </xf>
    <xf numFmtId="38" fontId="38" fillId="7" borderId="51" xfId="0" applyNumberFormat="1" applyFont="1" applyFill="1" applyBorder="1" applyAlignment="1">
      <alignment horizontal="center" vertical="center"/>
    </xf>
    <xf numFmtId="0" fontId="38" fillId="7" borderId="51" xfId="0" applyFont="1" applyFill="1" applyBorder="1" applyAlignment="1">
      <alignment horizontal="center" vertical="center"/>
    </xf>
    <xf numFmtId="38" fontId="38" fillId="7" borderId="50" xfId="0" applyNumberFormat="1" applyFont="1" applyFill="1" applyBorder="1" applyAlignment="1">
      <alignment horizontal="center" vertical="center"/>
    </xf>
    <xf numFmtId="0" fontId="38" fillId="7" borderId="59" xfId="0" applyFont="1" applyFill="1" applyBorder="1" applyAlignment="1">
      <alignment horizontal="center" vertical="center"/>
    </xf>
    <xf numFmtId="38" fontId="38" fillId="7" borderId="54" xfId="0" applyNumberFormat="1" applyFont="1" applyFill="1" applyBorder="1" applyAlignment="1">
      <alignment horizontal="right" vertical="center"/>
    </xf>
    <xf numFmtId="0" fontId="38" fillId="7" borderId="19" xfId="0" applyFont="1" applyFill="1" applyBorder="1" applyAlignment="1">
      <alignment horizontal="right" vertical="center"/>
    </xf>
    <xf numFmtId="38" fontId="38" fillId="7" borderId="9" xfId="0" applyNumberFormat="1" applyFont="1" applyFill="1" applyBorder="1" applyAlignment="1">
      <alignment horizontal="right" vertical="center"/>
    </xf>
    <xf numFmtId="38" fontId="38" fillId="7" borderId="76" xfId="0" applyNumberFormat="1" applyFont="1" applyFill="1" applyBorder="1" applyAlignment="1">
      <alignment horizontal="right" vertical="center"/>
    </xf>
    <xf numFmtId="38" fontId="38" fillId="7" borderId="18" xfId="0" applyNumberFormat="1" applyFont="1" applyFill="1" applyBorder="1" applyAlignment="1">
      <alignment horizontal="right" vertical="center"/>
    </xf>
    <xf numFmtId="38" fontId="38" fillId="7" borderId="5" xfId="0" applyNumberFormat="1" applyFont="1" applyFill="1" applyBorder="1" applyAlignment="1">
      <alignment horizontal="right" vertical="center"/>
    </xf>
    <xf numFmtId="0" fontId="38" fillId="7" borderId="20" xfId="0" applyFont="1" applyFill="1" applyBorder="1" applyAlignment="1">
      <alignment horizontal="right" vertical="center"/>
    </xf>
    <xf numFmtId="0" fontId="30" fillId="7" borderId="32" xfId="0" applyFont="1" applyFill="1" applyBorder="1" applyAlignment="1">
      <alignment horizontal="left" vertical="center"/>
    </xf>
    <xf numFmtId="0" fontId="38" fillId="7" borderId="33" xfId="0" applyFont="1" applyFill="1" applyBorder="1" applyAlignment="1">
      <alignment horizontal="left" vertical="center"/>
    </xf>
    <xf numFmtId="0" fontId="38" fillId="7" borderId="35" xfId="0" applyFont="1" applyFill="1" applyBorder="1" applyAlignment="1">
      <alignment horizontal="left" vertical="center"/>
    </xf>
    <xf numFmtId="38" fontId="38" fillId="7" borderId="21" xfId="0" applyNumberFormat="1" applyFont="1" applyFill="1" applyBorder="1" applyAlignment="1">
      <alignment horizontal="right" vertical="center"/>
    </xf>
    <xf numFmtId="0" fontId="38" fillId="7" borderId="22" xfId="0" applyFont="1" applyFill="1" applyBorder="1" applyAlignment="1">
      <alignment horizontal="right" vertical="center"/>
    </xf>
    <xf numFmtId="38" fontId="38" fillId="7" borderId="56" xfId="0" applyNumberFormat="1" applyFont="1" applyFill="1" applyBorder="1" applyAlignment="1">
      <alignment horizontal="right" vertical="center"/>
    </xf>
    <xf numFmtId="0" fontId="38" fillId="7" borderId="33" xfId="0" applyFont="1" applyFill="1" applyBorder="1" applyAlignment="1">
      <alignment horizontal="right" vertical="center"/>
    </xf>
    <xf numFmtId="38" fontId="38" fillId="7" borderId="23" xfId="0" applyNumberFormat="1" applyFont="1" applyFill="1" applyBorder="1" applyAlignment="1">
      <alignment horizontal="right" vertical="center"/>
    </xf>
    <xf numFmtId="38" fontId="38" fillId="7" borderId="61" xfId="0" applyNumberFormat="1" applyFont="1" applyFill="1" applyBorder="1" applyAlignment="1">
      <alignment horizontal="right" vertical="center"/>
    </xf>
    <xf numFmtId="38" fontId="38" fillId="7" borderId="32" xfId="0" applyNumberFormat="1" applyFont="1" applyFill="1" applyBorder="1" applyAlignment="1">
      <alignment horizontal="right" vertical="center"/>
    </xf>
    <xf numFmtId="38" fontId="38" fillId="7" borderId="64" xfId="0" applyNumberFormat="1" applyFont="1" applyFill="1" applyBorder="1" applyAlignment="1">
      <alignment horizontal="right" vertical="center"/>
    </xf>
    <xf numFmtId="0" fontId="38" fillId="7" borderId="35" xfId="0" applyFont="1" applyFill="1" applyBorder="1" applyAlignment="1">
      <alignment horizontal="right" vertical="center"/>
    </xf>
    <xf numFmtId="0" fontId="38" fillId="7" borderId="10" xfId="0" applyFont="1" applyFill="1" applyBorder="1" applyAlignment="1">
      <alignment horizontal="left" vertical="center"/>
    </xf>
    <xf numFmtId="0" fontId="38" fillId="7" borderId="11" xfId="0" applyFont="1" applyFill="1" applyBorder="1" applyAlignment="1">
      <alignment horizontal="left" vertical="center"/>
    </xf>
    <xf numFmtId="0" fontId="38" fillId="7" borderId="12" xfId="0" applyFont="1" applyFill="1" applyBorder="1" applyAlignment="1">
      <alignment horizontal="left" vertical="center"/>
    </xf>
    <xf numFmtId="38" fontId="38" fillId="7" borderId="10" xfId="0" applyNumberFormat="1" applyFont="1" applyFill="1" applyBorder="1" applyAlignment="1">
      <alignment horizontal="center" vertical="center"/>
    </xf>
    <xf numFmtId="0" fontId="38" fillId="7" borderId="11" xfId="0" applyFont="1" applyFill="1" applyBorder="1" applyAlignment="1">
      <alignment horizontal="center" vertical="center"/>
    </xf>
    <xf numFmtId="38" fontId="38" fillId="7" borderId="11" xfId="0" applyNumberFormat="1" applyFont="1" applyFill="1" applyBorder="1" applyAlignment="1">
      <alignment horizontal="center" vertical="center"/>
    </xf>
    <xf numFmtId="0" fontId="38" fillId="7" borderId="12" xfId="0" applyFont="1" applyFill="1" applyBorder="1" applyAlignment="1">
      <alignment horizontal="center" vertical="center"/>
    </xf>
    <xf numFmtId="38" fontId="38" fillId="7" borderId="66" xfId="0" applyNumberFormat="1" applyFont="1" applyFill="1" applyBorder="1" applyAlignment="1">
      <alignment horizontal="center" vertical="center"/>
    </xf>
    <xf numFmtId="0" fontId="38" fillId="9" borderId="2" xfId="0" applyFont="1" applyFill="1" applyBorder="1" applyAlignment="1">
      <alignment horizontal="center" vertical="center"/>
    </xf>
    <xf numFmtId="0" fontId="38" fillId="9" borderId="4" xfId="0" applyFont="1" applyFill="1" applyBorder="1" applyAlignment="1">
      <alignment horizontal="center" vertical="center"/>
    </xf>
    <xf numFmtId="0" fontId="38" fillId="9" borderId="16" xfId="0" applyFont="1" applyFill="1" applyBorder="1" applyAlignment="1">
      <alignment horizontal="center" vertical="center"/>
    </xf>
    <xf numFmtId="186" fontId="38" fillId="0" borderId="37" xfId="1" applyNumberFormat="1" applyFont="1" applyBorder="1" applyAlignment="1">
      <alignment horizontal="right" vertical="center"/>
    </xf>
    <xf numFmtId="186" fontId="38" fillId="0" borderId="38" xfId="1" applyNumberFormat="1" applyFont="1" applyBorder="1" applyAlignment="1">
      <alignment horizontal="right" vertical="center"/>
    </xf>
    <xf numFmtId="186" fontId="38" fillId="0" borderId="39" xfId="1" applyNumberFormat="1" applyFont="1" applyBorder="1" applyAlignment="1">
      <alignment horizontal="right" vertical="center"/>
    </xf>
    <xf numFmtId="183" fontId="38" fillId="0" borderId="8" xfId="0" applyNumberFormat="1" applyFont="1" applyFill="1" applyBorder="1" applyAlignment="1" applyProtection="1">
      <alignment horizontal="center" vertical="center"/>
    </xf>
    <xf numFmtId="183" fontId="38" fillId="0" borderId="9" xfId="0" applyNumberFormat="1" applyFont="1" applyFill="1" applyBorder="1" applyAlignment="1" applyProtection="1">
      <alignment horizontal="center" vertical="center"/>
    </xf>
    <xf numFmtId="183" fontId="38" fillId="0" borderId="13" xfId="0" applyNumberFormat="1" applyFont="1" applyFill="1" applyBorder="1" applyAlignment="1" applyProtection="1">
      <alignment horizontal="center" vertical="center"/>
    </xf>
    <xf numFmtId="184" fontId="38" fillId="0" borderId="33" xfId="1" applyNumberFormat="1" applyFont="1" applyBorder="1" applyAlignment="1">
      <alignment horizontal="right" vertical="center"/>
    </xf>
    <xf numFmtId="184" fontId="38" fillId="0" borderId="34" xfId="1" applyNumberFormat="1" applyFont="1" applyBorder="1" applyAlignment="1">
      <alignment horizontal="right" vertical="center"/>
    </xf>
    <xf numFmtId="184" fontId="38" fillId="0" borderId="35" xfId="1" applyNumberFormat="1" applyFont="1" applyBorder="1" applyAlignment="1">
      <alignment horizontal="right" vertical="center"/>
    </xf>
    <xf numFmtId="185" fontId="38" fillId="0" borderId="1" xfId="1" applyNumberFormat="1" applyFont="1" applyBorder="1" applyAlignment="1">
      <alignment horizontal="right" vertical="center"/>
    </xf>
    <xf numFmtId="185" fontId="38" fillId="0" borderId="2" xfId="1" applyNumberFormat="1" applyFont="1" applyBorder="1" applyAlignment="1">
      <alignment horizontal="right" vertical="center"/>
    </xf>
    <xf numFmtId="185" fontId="38" fillId="0" borderId="17" xfId="1" applyNumberFormat="1" applyFont="1" applyBorder="1" applyAlignment="1">
      <alignment horizontal="right" vertical="center"/>
    </xf>
    <xf numFmtId="0" fontId="38" fillId="0" borderId="2" xfId="0" applyFont="1" applyBorder="1" applyAlignment="1">
      <alignment horizontal="left" vertical="center" shrinkToFit="1"/>
    </xf>
    <xf numFmtId="0" fontId="38" fillId="0" borderId="3" xfId="0" applyFont="1" applyBorder="1" applyAlignment="1">
      <alignment horizontal="left" vertical="center" shrinkToFit="1"/>
    </xf>
    <xf numFmtId="0" fontId="38" fillId="0" borderId="4" xfId="0" applyFont="1" applyBorder="1" applyAlignment="1">
      <alignment horizontal="left" vertical="center" shrinkToFit="1"/>
    </xf>
    <xf numFmtId="0" fontId="38" fillId="0" borderId="87" xfId="0" applyFont="1" applyBorder="1" applyAlignment="1">
      <alignment vertical="center"/>
    </xf>
    <xf numFmtId="0" fontId="38" fillId="0" borderId="63" xfId="0" applyFont="1" applyBorder="1" applyAlignment="1">
      <alignment vertical="center"/>
    </xf>
    <xf numFmtId="0" fontId="38" fillId="0" borderId="40" xfId="0" applyFont="1" applyBorder="1" applyAlignment="1">
      <alignment vertical="center"/>
    </xf>
    <xf numFmtId="0" fontId="38" fillId="9" borderId="14" xfId="0" applyFont="1" applyFill="1" applyBorder="1" applyAlignment="1">
      <alignment horizontal="center" vertical="center"/>
    </xf>
    <xf numFmtId="0" fontId="38" fillId="9" borderId="1" xfId="0" applyFont="1" applyFill="1" applyBorder="1" applyAlignment="1">
      <alignment horizontal="center" vertical="center"/>
    </xf>
    <xf numFmtId="0" fontId="35" fillId="9" borderId="2" xfId="0" applyFont="1" applyFill="1" applyBorder="1" applyAlignment="1">
      <alignment horizontal="center" vertical="center" shrinkToFit="1"/>
    </xf>
    <xf numFmtId="0" fontId="35" fillId="9" borderId="3" xfId="0" applyFont="1" applyFill="1" applyBorder="1" applyAlignment="1">
      <alignment horizontal="center" vertical="center" shrinkToFit="1"/>
    </xf>
    <xf numFmtId="0" fontId="35" fillId="9" borderId="4" xfId="0" applyFont="1" applyFill="1" applyBorder="1" applyAlignment="1">
      <alignment horizontal="center" vertical="center" shrinkToFit="1"/>
    </xf>
    <xf numFmtId="0" fontId="38" fillId="9" borderId="21" xfId="0" applyFont="1" applyFill="1" applyBorder="1" applyAlignment="1">
      <alignment horizontal="center" vertical="center"/>
    </xf>
    <xf numFmtId="0" fontId="38" fillId="9" borderId="22" xfId="0" applyFont="1" applyFill="1" applyBorder="1" applyAlignment="1">
      <alignment horizontal="center" vertical="center"/>
    </xf>
    <xf numFmtId="40" fontId="38" fillId="0" borderId="2" xfId="1" applyNumberFormat="1" applyFont="1" applyBorder="1" applyAlignment="1">
      <alignment horizontal="right" vertical="center"/>
    </xf>
    <xf numFmtId="40" fontId="38" fillId="0" borderId="3" xfId="1" applyNumberFormat="1" applyFont="1" applyBorder="1" applyAlignment="1">
      <alignment horizontal="right" vertical="center"/>
    </xf>
    <xf numFmtId="40" fontId="38" fillId="0" borderId="23" xfId="1" applyNumberFormat="1" applyFont="1" applyBorder="1" applyAlignment="1">
      <alignment horizontal="right" vertical="center"/>
    </xf>
    <xf numFmtId="40" fontId="38" fillId="0" borderId="65" xfId="1" applyNumberFormat="1" applyFont="1" applyBorder="1" applyAlignment="1">
      <alignment horizontal="right" vertical="center"/>
    </xf>
    <xf numFmtId="0" fontId="38" fillId="9" borderId="15" xfId="0" applyFont="1" applyFill="1" applyBorder="1" applyAlignment="1">
      <alignment horizontal="right" vertical="center"/>
    </xf>
    <xf numFmtId="0" fontId="38" fillId="9" borderId="3" xfId="0" applyFont="1" applyFill="1" applyBorder="1" applyAlignment="1">
      <alignment horizontal="right" vertical="center"/>
    </xf>
    <xf numFmtId="0" fontId="38" fillId="9" borderId="4" xfId="0" applyFont="1" applyFill="1" applyBorder="1" applyAlignment="1">
      <alignment horizontal="right" vertical="center"/>
    </xf>
    <xf numFmtId="0" fontId="38" fillId="9" borderId="87" xfId="0" applyFont="1" applyFill="1" applyBorder="1" applyAlignment="1">
      <alignment horizontal="right" vertical="center"/>
    </xf>
    <xf numFmtId="0" fontId="38" fillId="9" borderId="63" xfId="0" applyFont="1" applyFill="1" applyBorder="1" applyAlignment="1">
      <alignment horizontal="right" vertical="center"/>
    </xf>
    <xf numFmtId="0" fontId="38" fillId="9" borderId="40" xfId="0" applyFont="1" applyFill="1" applyBorder="1" applyAlignment="1">
      <alignment horizontal="right" vertical="center"/>
    </xf>
    <xf numFmtId="0" fontId="38" fillId="0" borderId="19" xfId="0" applyFont="1" applyBorder="1" applyAlignment="1">
      <alignment horizontal="center" vertical="center" shrinkToFit="1"/>
    </xf>
    <xf numFmtId="0" fontId="38" fillId="0" borderId="55"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60" xfId="0" applyFont="1" applyBorder="1" applyAlignment="1">
      <alignment vertical="center"/>
    </xf>
    <xf numFmtId="0" fontId="38" fillId="0" borderId="65" xfId="0" applyFont="1" applyBorder="1" applyAlignment="1">
      <alignment vertical="center"/>
    </xf>
    <xf numFmtId="0" fontId="38" fillId="0" borderId="46" xfId="0" applyFont="1" applyBorder="1" applyAlignment="1">
      <alignment vertical="center"/>
    </xf>
    <xf numFmtId="0" fontId="38" fillId="0" borderId="23" xfId="0" applyFont="1" applyBorder="1" applyAlignment="1">
      <alignment horizontal="left" vertical="center" shrinkToFit="1"/>
    </xf>
    <xf numFmtId="0" fontId="38" fillId="0" borderId="65" xfId="0" applyFont="1" applyBorder="1" applyAlignment="1">
      <alignment horizontal="left" vertical="center" shrinkToFit="1"/>
    </xf>
    <xf numFmtId="0" fontId="38" fillId="0" borderId="46" xfId="0" applyFont="1" applyBorder="1" applyAlignment="1">
      <alignment horizontal="left" vertical="center" shrinkToFit="1"/>
    </xf>
    <xf numFmtId="0" fontId="38" fillId="9" borderId="43" xfId="0" applyFont="1" applyFill="1" applyBorder="1" applyAlignment="1">
      <alignment horizontal="right" vertical="center"/>
    </xf>
    <xf numFmtId="0" fontId="38" fillId="9" borderId="0" xfId="0" applyFont="1" applyFill="1" applyBorder="1" applyAlignment="1">
      <alignment horizontal="right" vertical="center"/>
    </xf>
    <xf numFmtId="0" fontId="38" fillId="9" borderId="62" xfId="0" applyFont="1" applyFill="1" applyBorder="1" applyAlignment="1">
      <alignment horizontal="right" vertical="center"/>
    </xf>
    <xf numFmtId="0" fontId="38" fillId="9" borderId="85" xfId="0" applyFont="1" applyFill="1" applyBorder="1" applyAlignment="1">
      <alignment horizontal="center" vertical="center"/>
    </xf>
    <xf numFmtId="0" fontId="38" fillId="9" borderId="5" xfId="0" applyFont="1" applyFill="1" applyBorder="1" applyAlignment="1">
      <alignment horizontal="center" vertical="center"/>
    </xf>
    <xf numFmtId="0" fontId="38" fillId="9" borderId="54" xfId="0" applyFont="1" applyFill="1" applyBorder="1" applyAlignment="1">
      <alignment horizontal="center" vertical="center"/>
    </xf>
    <xf numFmtId="38" fontId="38" fillId="9" borderId="2" xfId="0" applyNumberFormat="1" applyFont="1" applyFill="1" applyBorder="1" applyAlignment="1">
      <alignment horizontal="center" vertical="center"/>
    </xf>
    <xf numFmtId="38" fontId="38" fillId="9" borderId="3" xfId="0" applyNumberFormat="1" applyFont="1" applyFill="1" applyBorder="1" applyAlignment="1">
      <alignment horizontal="center" vertical="center"/>
    </xf>
    <xf numFmtId="38" fontId="38" fillId="9" borderId="5" xfId="0" applyNumberFormat="1" applyFont="1" applyFill="1" applyBorder="1" applyAlignment="1">
      <alignment horizontal="center" vertical="center"/>
    </xf>
    <xf numFmtId="38" fontId="38" fillId="9" borderId="0" xfId="0" applyNumberFormat="1" applyFont="1" applyFill="1" applyBorder="1" applyAlignment="1">
      <alignment horizontal="center" vertical="center"/>
    </xf>
    <xf numFmtId="38" fontId="38" fillId="9" borderId="44" xfId="0" applyNumberFormat="1" applyFont="1" applyFill="1" applyBorder="1" applyAlignment="1">
      <alignment horizontal="center" vertical="center"/>
    </xf>
    <xf numFmtId="0" fontId="38" fillId="9" borderId="7" xfId="0" applyFont="1" applyFill="1" applyBorder="1" applyAlignment="1">
      <alignment horizontal="center" vertical="center" wrapText="1"/>
    </xf>
    <xf numFmtId="0" fontId="38" fillId="9" borderId="15" xfId="0" applyFont="1" applyFill="1" applyBorder="1" applyAlignment="1">
      <alignment horizontal="center" vertical="center"/>
    </xf>
    <xf numFmtId="0" fontId="41" fillId="0" borderId="6" xfId="0" applyFont="1" applyFill="1" applyBorder="1" applyAlignment="1">
      <alignment horizontal="center" vertical="center"/>
    </xf>
    <xf numFmtId="0" fontId="38" fillId="9" borderId="33" xfId="0" applyFont="1" applyFill="1" applyBorder="1" applyAlignment="1">
      <alignment horizontal="center" vertical="center"/>
    </xf>
    <xf numFmtId="0" fontId="38" fillId="9" borderId="19" xfId="0" applyFont="1" applyFill="1" applyBorder="1" applyAlignment="1">
      <alignment horizontal="center" vertical="center"/>
    </xf>
    <xf numFmtId="0" fontId="35" fillId="9" borderId="14" xfId="0" applyFont="1" applyFill="1" applyBorder="1" applyAlignment="1">
      <alignment horizontal="center" vertical="center" shrinkToFit="1"/>
    </xf>
    <xf numFmtId="0" fontId="35" fillId="9" borderId="1" xfId="0" applyFont="1" applyFill="1" applyBorder="1" applyAlignment="1">
      <alignment horizontal="center" vertical="center" shrinkToFit="1"/>
    </xf>
    <xf numFmtId="0" fontId="38" fillId="9" borderId="97" xfId="0" applyFont="1" applyFill="1" applyBorder="1" applyAlignment="1">
      <alignment horizontal="right" vertical="center"/>
    </xf>
    <xf numFmtId="0" fontId="38" fillId="9" borderId="64" xfId="0" applyFont="1" applyFill="1" applyBorder="1" applyAlignment="1">
      <alignment horizontal="right" vertical="center"/>
    </xf>
    <xf numFmtId="0" fontId="38" fillId="9" borderId="0" xfId="0" applyFont="1" applyFill="1" applyBorder="1" applyAlignment="1">
      <alignment horizontal="center" vertical="center"/>
    </xf>
    <xf numFmtId="185" fontId="38" fillId="0" borderId="8" xfId="1" applyNumberFormat="1" applyFont="1" applyBorder="1" applyAlignment="1">
      <alignment horizontal="right" vertical="center"/>
    </xf>
    <xf numFmtId="185" fontId="38" fillId="0" borderId="9" xfId="1" applyNumberFormat="1" applyFont="1" applyBorder="1" applyAlignment="1">
      <alignment horizontal="right" vertical="center"/>
    </xf>
    <xf numFmtId="185" fontId="38" fillId="0" borderId="13" xfId="1" applyNumberFormat="1" applyFont="1" applyBorder="1" applyAlignment="1">
      <alignment horizontal="right" vertical="center"/>
    </xf>
    <xf numFmtId="0" fontId="38" fillId="0" borderId="2" xfId="0" applyFont="1" applyBorder="1" applyAlignment="1">
      <alignment horizontal="left" vertical="center" indent="1"/>
    </xf>
    <xf numFmtId="0" fontId="38" fillId="0" borderId="3" xfId="0" applyFont="1" applyBorder="1" applyAlignment="1">
      <alignment horizontal="left" vertical="center" indent="1"/>
    </xf>
    <xf numFmtId="0" fontId="38" fillId="0" borderId="4" xfId="0" applyFont="1" applyBorder="1" applyAlignment="1">
      <alignment horizontal="left" vertical="center" indent="1"/>
    </xf>
    <xf numFmtId="0" fontId="38" fillId="9" borderId="3" xfId="0" applyFont="1" applyFill="1" applyBorder="1" applyAlignment="1">
      <alignment horizontal="center" vertical="center"/>
    </xf>
    <xf numFmtId="0" fontId="38" fillId="0" borderId="16" xfId="0" applyFont="1" applyBorder="1" applyAlignment="1">
      <alignment horizontal="left" vertical="center" indent="1"/>
    </xf>
    <xf numFmtId="0" fontId="38" fillId="0" borderId="55" xfId="0" applyFont="1" applyBorder="1" applyAlignment="1">
      <alignment horizontal="left" vertical="center" indent="1"/>
    </xf>
    <xf numFmtId="0" fontId="38" fillId="0" borderId="5" xfId="0" applyFont="1" applyBorder="1" applyAlignment="1">
      <alignment horizontal="left" vertical="center" indent="1"/>
    </xf>
    <xf numFmtId="0" fontId="38" fillId="0" borderId="36" xfId="0" applyFont="1" applyBorder="1" applyAlignment="1">
      <alignment horizontal="left" vertical="center"/>
    </xf>
    <xf numFmtId="0" fontId="38" fillId="0" borderId="37" xfId="0" applyFont="1" applyBorder="1" applyAlignment="1">
      <alignment horizontal="left" vertical="center"/>
    </xf>
    <xf numFmtId="0" fontId="38" fillId="0" borderId="39" xfId="0" applyFont="1" applyBorder="1" applyAlignment="1">
      <alignment horizontal="left" vertical="center"/>
    </xf>
    <xf numFmtId="38" fontId="38" fillId="0" borderId="50" xfId="0" applyNumberFormat="1" applyFont="1" applyBorder="1" applyAlignment="1">
      <alignment horizontal="center" vertical="center"/>
    </xf>
    <xf numFmtId="38" fontId="38" fillId="0" borderId="51" xfId="0" applyNumberFormat="1" applyFont="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38" fontId="38" fillId="0" borderId="33" xfId="0" applyNumberFormat="1" applyFont="1" applyBorder="1" applyAlignment="1">
      <alignment horizontal="right" vertical="center"/>
    </xf>
    <xf numFmtId="0" fontId="38" fillId="0" borderId="35" xfId="0" applyFont="1" applyBorder="1" applyAlignment="1">
      <alignment horizontal="right" vertical="center"/>
    </xf>
    <xf numFmtId="38" fontId="38" fillId="0" borderId="32" xfId="0" applyNumberFormat="1" applyFont="1" applyBorder="1" applyAlignment="1">
      <alignment horizontal="right" vertical="center"/>
    </xf>
    <xf numFmtId="38" fontId="38" fillId="0" borderId="64" xfId="0" applyNumberFormat="1" applyFont="1" applyBorder="1" applyAlignment="1">
      <alignment horizontal="right" vertical="center"/>
    </xf>
    <xf numFmtId="38" fontId="38" fillId="0" borderId="10" xfId="0" applyNumberFormat="1" applyFont="1" applyBorder="1" applyAlignment="1">
      <alignment horizontal="center" vertical="center"/>
    </xf>
    <xf numFmtId="0" fontId="38" fillId="0" borderId="11" xfId="0" applyFont="1" applyBorder="1" applyAlignment="1">
      <alignment horizontal="center" vertical="center"/>
    </xf>
    <xf numFmtId="38" fontId="38" fillId="0" borderId="11" xfId="0" applyNumberFormat="1" applyFont="1" applyBorder="1" applyAlignment="1">
      <alignment horizontal="center" vertical="center"/>
    </xf>
    <xf numFmtId="0" fontId="38" fillId="0" borderId="12" xfId="0" applyFont="1" applyBorder="1" applyAlignment="1">
      <alignment horizontal="center" vertical="center"/>
    </xf>
    <xf numFmtId="38" fontId="38" fillId="0" borderId="66" xfId="0" applyNumberFormat="1" applyFont="1" applyBorder="1" applyAlignment="1">
      <alignment horizontal="center" vertical="center"/>
    </xf>
    <xf numFmtId="0" fontId="38" fillId="0" borderId="10" xfId="0" applyFont="1" applyBorder="1" applyAlignment="1">
      <alignment horizontal="left"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32" xfId="0" applyFont="1" applyBorder="1" applyAlignment="1">
      <alignment horizontal="left" vertical="center"/>
    </xf>
    <xf numFmtId="0" fontId="38" fillId="0" borderId="33" xfId="0" applyFont="1" applyBorder="1" applyAlignment="1">
      <alignment horizontal="left" vertical="center"/>
    </xf>
    <xf numFmtId="0" fontId="38" fillId="0" borderId="35" xfId="0" applyFont="1" applyBorder="1" applyAlignment="1">
      <alignment horizontal="left" vertical="center"/>
    </xf>
    <xf numFmtId="0" fontId="38" fillId="0" borderId="33" xfId="0" applyFont="1" applyBorder="1" applyAlignment="1">
      <alignment horizontal="right" vertical="center"/>
    </xf>
    <xf numFmtId="0" fontId="38" fillId="0" borderId="18" xfId="0" applyFont="1" applyBorder="1" applyAlignment="1">
      <alignment horizontal="left" vertical="center"/>
    </xf>
    <xf numFmtId="0" fontId="38" fillId="0" borderId="19" xfId="0" applyFont="1" applyBorder="1" applyAlignment="1">
      <alignment horizontal="left" vertical="center"/>
    </xf>
    <xf numFmtId="0" fontId="38" fillId="0" borderId="20" xfId="0" applyFont="1" applyBorder="1" applyAlignment="1">
      <alignment horizontal="left" vertical="center"/>
    </xf>
    <xf numFmtId="0" fontId="38" fillId="0" borderId="10" xfId="0" applyFont="1" applyBorder="1" applyAlignment="1">
      <alignment horizontal="center" vertical="center"/>
    </xf>
    <xf numFmtId="38" fontId="38" fillId="0" borderId="18" xfId="0" applyNumberFormat="1" applyFont="1" applyBorder="1" applyAlignment="1">
      <alignment horizontal="right" vertical="center"/>
    </xf>
    <xf numFmtId="0" fontId="38" fillId="0" borderId="19" xfId="0" applyFont="1" applyBorder="1" applyAlignment="1">
      <alignment horizontal="right" vertical="center"/>
    </xf>
    <xf numFmtId="38" fontId="38" fillId="0" borderId="19" xfId="0" applyNumberFormat="1" applyFont="1" applyBorder="1" applyAlignment="1">
      <alignment horizontal="right" vertical="center"/>
    </xf>
    <xf numFmtId="0" fontId="38" fillId="0" borderId="20" xfId="0" applyFont="1" applyBorder="1" applyAlignment="1">
      <alignment horizontal="right" vertical="center"/>
    </xf>
    <xf numFmtId="38" fontId="38" fillId="0" borderId="5" xfId="0" applyNumberFormat="1" applyFont="1" applyBorder="1" applyAlignment="1">
      <alignment horizontal="right" vertical="center"/>
    </xf>
    <xf numFmtId="0" fontId="38" fillId="9" borderId="54" xfId="0" applyFont="1" applyFill="1" applyBorder="1" applyAlignment="1">
      <alignment horizontal="center" vertical="center" wrapText="1"/>
    </xf>
    <xf numFmtId="0" fontId="38" fillId="9" borderId="46" xfId="0" applyFont="1" applyFill="1" applyBorder="1" applyAlignment="1">
      <alignment horizontal="center" vertical="center"/>
    </xf>
    <xf numFmtId="0" fontId="38" fillId="9" borderId="50" xfId="0" applyFont="1" applyFill="1" applyBorder="1" applyAlignment="1">
      <alignment horizontal="center" vertical="center"/>
    </xf>
    <xf numFmtId="0" fontId="38" fillId="9" borderId="51" xfId="0" applyFont="1" applyFill="1" applyBorder="1" applyAlignment="1">
      <alignment horizontal="center" vertical="center"/>
    </xf>
    <xf numFmtId="0" fontId="38" fillId="9" borderId="52" xfId="0" applyFont="1" applyFill="1" applyBorder="1" applyAlignment="1">
      <alignment horizontal="center" vertical="center"/>
    </xf>
    <xf numFmtId="0" fontId="41" fillId="0" borderId="0" xfId="0" applyFont="1" applyAlignment="1">
      <alignment horizontal="center" vertical="center"/>
    </xf>
    <xf numFmtId="0" fontId="38" fillId="0" borderId="60" xfId="0" applyFont="1" applyBorder="1" applyAlignment="1">
      <alignment horizontal="center" vertical="center"/>
    </xf>
    <xf numFmtId="0" fontId="38" fillId="0" borderId="46" xfId="0" applyFont="1" applyBorder="1" applyAlignment="1">
      <alignment horizontal="center" vertical="center"/>
    </xf>
    <xf numFmtId="0" fontId="38" fillId="0" borderId="23" xfId="0" applyFont="1" applyBorder="1" applyAlignment="1">
      <alignment horizontal="center" vertical="center"/>
    </xf>
    <xf numFmtId="0" fontId="38" fillId="0" borderId="61" xfId="0" applyFont="1" applyBorder="1" applyAlignment="1">
      <alignment horizontal="center" vertical="center"/>
    </xf>
    <xf numFmtId="0" fontId="38" fillId="0" borderId="7" xfId="0" applyFont="1" applyBorder="1" applyAlignment="1">
      <alignment horizontal="center" vertical="center"/>
    </xf>
    <xf numFmtId="0" fontId="38" fillId="0" borderId="63" xfId="0" applyFont="1" applyBorder="1" applyAlignment="1">
      <alignment horizontal="center" vertical="center"/>
    </xf>
    <xf numFmtId="0" fontId="38" fillId="0" borderId="13" xfId="0" applyFont="1" applyBorder="1" applyAlignment="1">
      <alignment horizontal="center" vertical="center"/>
    </xf>
    <xf numFmtId="0" fontId="38" fillId="0" borderId="21" xfId="0" applyFont="1" applyBorder="1" applyAlignment="1">
      <alignment horizontal="center" vertical="center"/>
    </xf>
    <xf numFmtId="0" fontId="38" fillId="0" borderId="65" xfId="0" applyFont="1" applyBorder="1" applyAlignment="1">
      <alignment horizontal="center" vertical="center"/>
    </xf>
    <xf numFmtId="0" fontId="38" fillId="0" borderId="24"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22" xfId="0" applyFont="1" applyBorder="1" applyAlignment="1">
      <alignment horizontal="center" vertical="center"/>
    </xf>
    <xf numFmtId="0" fontId="38" fillId="9" borderId="7" xfId="0" applyFont="1" applyFill="1" applyBorder="1" applyAlignment="1">
      <alignment horizontal="center" vertical="center"/>
    </xf>
    <xf numFmtId="0" fontId="38" fillId="9" borderId="8" xfId="0" applyFont="1" applyFill="1" applyBorder="1" applyAlignment="1">
      <alignment horizontal="center" vertical="center"/>
    </xf>
    <xf numFmtId="0" fontId="38" fillId="9" borderId="13" xfId="0" applyFont="1" applyFill="1" applyBorder="1" applyAlignment="1">
      <alignment horizontal="center" vertical="center"/>
    </xf>
    <xf numFmtId="0" fontId="38" fillId="9" borderId="9" xfId="0" applyFont="1" applyFill="1" applyBorder="1" applyAlignment="1">
      <alignment horizontal="center" vertical="center"/>
    </xf>
    <xf numFmtId="0" fontId="38" fillId="9" borderId="10" xfId="0" applyFont="1" applyFill="1" applyBorder="1" applyAlignment="1">
      <alignment horizontal="center" vertical="center"/>
    </xf>
    <xf numFmtId="0" fontId="38" fillId="9" borderId="11" xfId="0" applyFont="1" applyFill="1" applyBorder="1" applyAlignment="1">
      <alignment horizontal="center" vertical="center"/>
    </xf>
    <xf numFmtId="0" fontId="38" fillId="9" borderId="12" xfId="0" applyFont="1" applyFill="1" applyBorder="1" applyAlignment="1">
      <alignment horizontal="center" vertical="center"/>
    </xf>
    <xf numFmtId="0" fontId="38" fillId="9" borderId="63" xfId="0" applyFont="1" applyFill="1" applyBorder="1" applyAlignment="1">
      <alignment horizontal="center" vertical="center"/>
    </xf>
    <xf numFmtId="0" fontId="93" fillId="9" borderId="1" xfId="0" applyFont="1" applyFill="1" applyBorder="1" applyAlignment="1">
      <alignment horizontal="center" vertical="center" wrapText="1"/>
    </xf>
    <xf numFmtId="0" fontId="50" fillId="9" borderId="1" xfId="0" applyFont="1" applyFill="1" applyBorder="1" applyAlignment="1">
      <alignment horizontal="center" vertical="center"/>
    </xf>
    <xf numFmtId="0" fontId="38" fillId="9" borderId="17" xfId="0" applyFont="1" applyFill="1" applyBorder="1" applyAlignment="1">
      <alignment horizontal="center" vertical="center"/>
    </xf>
    <xf numFmtId="0" fontId="38" fillId="9" borderId="40" xfId="0" applyFont="1" applyFill="1" applyBorder="1" applyAlignment="1">
      <alignment horizontal="center" vertical="center"/>
    </xf>
    <xf numFmtId="0" fontId="94" fillId="9" borderId="35" xfId="0" applyFont="1" applyFill="1" applyBorder="1" applyAlignment="1">
      <alignment horizontal="center" vertical="center" wrapText="1" shrinkToFit="1"/>
    </xf>
    <xf numFmtId="0" fontId="95" fillId="9" borderId="20" xfId="0" applyFont="1" applyFill="1" applyBorder="1" applyAlignment="1">
      <alignment horizontal="center" vertical="center" shrinkToFit="1"/>
    </xf>
    <xf numFmtId="0" fontId="38" fillId="9" borderId="33" xfId="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55" xfId="0" applyFont="1" applyFill="1" applyBorder="1" applyAlignment="1">
      <alignment horizontal="center" vertical="center"/>
    </xf>
    <xf numFmtId="0" fontId="41" fillId="0" borderId="0" xfId="0" applyFont="1" applyAlignment="1">
      <alignment horizontal="left" vertical="center"/>
    </xf>
    <xf numFmtId="0" fontId="38" fillId="9" borderId="1" xfId="0" applyFont="1" applyFill="1" applyBorder="1" applyAlignment="1">
      <alignment horizontal="center" vertical="center" wrapText="1"/>
    </xf>
    <xf numFmtId="0" fontId="41" fillId="0" borderId="6" xfId="0" applyFont="1" applyBorder="1" applyAlignment="1">
      <alignment horizontal="center" vertical="center"/>
    </xf>
    <xf numFmtId="0" fontId="38" fillId="9" borderId="32" xfId="0" applyFont="1" applyFill="1" applyBorder="1" applyAlignment="1">
      <alignment horizontal="center" vertical="center"/>
    </xf>
    <xf numFmtId="0" fontId="114" fillId="9" borderId="1" xfId="0" applyFont="1" applyFill="1" applyBorder="1" applyAlignment="1">
      <alignment horizontal="center" vertical="center" wrapText="1"/>
    </xf>
    <xf numFmtId="0" fontId="115" fillId="9" borderId="1" xfId="0" applyFont="1" applyFill="1" applyBorder="1" applyAlignment="1">
      <alignment horizontal="center" vertical="center"/>
    </xf>
    <xf numFmtId="0" fontId="38" fillId="7" borderId="7" xfId="0" applyFont="1" applyFill="1" applyBorder="1" applyAlignment="1">
      <alignment horizontal="center" vertical="center"/>
    </xf>
    <xf numFmtId="0" fontId="38" fillId="7" borderId="8" xfId="0" applyFont="1" applyFill="1" applyBorder="1" applyAlignment="1">
      <alignment horizontal="center" vertical="center"/>
    </xf>
    <xf numFmtId="0" fontId="38" fillId="7" borderId="9" xfId="0" applyFont="1" applyFill="1" applyBorder="1" applyAlignment="1">
      <alignment horizontal="center" vertical="center"/>
    </xf>
    <xf numFmtId="0" fontId="38" fillId="7" borderId="21" xfId="0" applyFont="1" applyFill="1" applyBorder="1" applyAlignment="1">
      <alignment horizontal="center" vertical="center"/>
    </xf>
    <xf numFmtId="0" fontId="38" fillId="7" borderId="22" xfId="0" applyFont="1" applyFill="1" applyBorder="1" applyAlignment="1">
      <alignment horizontal="center" vertical="center"/>
    </xf>
    <xf numFmtId="0" fontId="38" fillId="7" borderId="23" xfId="0" applyFont="1" applyFill="1" applyBorder="1" applyAlignment="1">
      <alignment horizontal="center" vertical="center"/>
    </xf>
    <xf numFmtId="0" fontId="38" fillId="7" borderId="10" xfId="0" applyFont="1" applyFill="1" applyBorder="1" applyAlignment="1">
      <alignment horizontal="center" vertical="center"/>
    </xf>
    <xf numFmtId="0" fontId="38" fillId="7" borderId="63" xfId="0" applyFont="1" applyFill="1" applyBorder="1" applyAlignment="1">
      <alignment horizontal="center" vertical="center"/>
    </xf>
    <xf numFmtId="0" fontId="38" fillId="7" borderId="13" xfId="0" applyFont="1" applyFill="1" applyBorder="1" applyAlignment="1">
      <alignment horizontal="center" vertical="center"/>
    </xf>
    <xf numFmtId="0" fontId="38" fillId="7" borderId="65"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60" xfId="0" applyFont="1" applyFill="1" applyBorder="1" applyAlignment="1">
      <alignment horizontal="center" vertical="center"/>
    </xf>
    <xf numFmtId="0" fontId="38" fillId="7" borderId="46" xfId="0" applyFont="1" applyFill="1" applyBorder="1" applyAlignment="1">
      <alignment horizontal="center" vertical="center"/>
    </xf>
    <xf numFmtId="0" fontId="38" fillId="7" borderId="61" xfId="0" applyFont="1" applyFill="1" applyBorder="1" applyAlignment="1">
      <alignment horizontal="center" vertical="center"/>
    </xf>
    <xf numFmtId="0" fontId="65" fillId="7" borderId="18" xfId="0" applyFont="1" applyFill="1" applyBorder="1" applyAlignment="1">
      <alignment horizontal="left" vertical="center"/>
    </xf>
    <xf numFmtId="0" fontId="38" fillId="7" borderId="19" xfId="0" applyFont="1" applyFill="1" applyBorder="1" applyAlignment="1">
      <alignment horizontal="left" vertical="center"/>
    </xf>
    <xf numFmtId="0" fontId="38" fillId="7" borderId="20" xfId="0" applyFont="1" applyFill="1" applyBorder="1" applyAlignment="1">
      <alignment horizontal="left" vertical="center"/>
    </xf>
    <xf numFmtId="38" fontId="38" fillId="7" borderId="7" xfId="0" applyNumberFormat="1" applyFont="1" applyFill="1" applyBorder="1" applyAlignment="1">
      <alignment horizontal="right" vertical="center"/>
    </xf>
    <xf numFmtId="0" fontId="38" fillId="7" borderId="8" xfId="0" applyFont="1" applyFill="1" applyBorder="1" applyAlignment="1">
      <alignment horizontal="right" vertical="center"/>
    </xf>
    <xf numFmtId="38" fontId="38" fillId="15" borderId="9" xfId="0" applyNumberFormat="1" applyFont="1" applyFill="1" applyBorder="1" applyAlignment="1">
      <alignment horizontal="right" vertical="center"/>
    </xf>
    <xf numFmtId="38" fontId="38" fillId="15" borderId="76" xfId="0" applyNumberFormat="1" applyFont="1" applyFill="1" applyBorder="1" applyAlignment="1">
      <alignment horizontal="right" vertical="center"/>
    </xf>
    <xf numFmtId="38" fontId="38" fillId="15" borderId="18" xfId="0" applyNumberFormat="1" applyFont="1" applyFill="1" applyBorder="1" applyAlignment="1">
      <alignment horizontal="right" vertical="center"/>
    </xf>
    <xf numFmtId="38" fontId="38" fillId="15" borderId="5" xfId="0" applyNumberFormat="1" applyFont="1" applyFill="1" applyBorder="1" applyAlignment="1">
      <alignment horizontal="right" vertical="center"/>
    </xf>
    <xf numFmtId="0" fontId="38" fillId="15" borderId="20" xfId="0" applyFont="1" applyFill="1" applyBorder="1" applyAlignment="1">
      <alignment horizontal="right" vertical="center"/>
    </xf>
    <xf numFmtId="0" fontId="30" fillId="15" borderId="32" xfId="0" applyFont="1" applyFill="1" applyBorder="1" applyAlignment="1">
      <alignment horizontal="left" vertical="center"/>
    </xf>
    <xf numFmtId="0" fontId="38" fillId="15" borderId="33" xfId="0" applyFont="1" applyFill="1" applyBorder="1" applyAlignment="1">
      <alignment horizontal="left" vertical="center"/>
    </xf>
    <xf numFmtId="0" fontId="38" fillId="15" borderId="35" xfId="0" applyFont="1" applyFill="1" applyBorder="1" applyAlignment="1">
      <alignment horizontal="left" vertical="center"/>
    </xf>
    <xf numFmtId="38" fontId="38" fillId="15" borderId="32" xfId="0" applyNumberFormat="1" applyFont="1" applyFill="1" applyBorder="1" applyAlignment="1">
      <alignment horizontal="right" vertical="center"/>
    </xf>
    <xf numFmtId="0" fontId="38" fillId="15" borderId="34" xfId="0" applyFont="1" applyFill="1" applyBorder="1" applyAlignment="1">
      <alignment horizontal="right" vertical="center"/>
    </xf>
    <xf numFmtId="38" fontId="38" fillId="15" borderId="22" xfId="0" applyNumberFormat="1" applyFont="1" applyFill="1" applyBorder="1" applyAlignment="1">
      <alignment horizontal="right" vertical="center"/>
    </xf>
    <xf numFmtId="0" fontId="38" fillId="15" borderId="22" xfId="0" applyFont="1" applyFill="1" applyBorder="1" applyAlignment="1">
      <alignment horizontal="right" vertical="center"/>
    </xf>
    <xf numFmtId="38" fontId="38" fillId="15" borderId="23" xfId="0" applyNumberFormat="1" applyFont="1" applyFill="1" applyBorder="1" applyAlignment="1">
      <alignment horizontal="right" vertical="center"/>
    </xf>
    <xf numFmtId="38" fontId="38" fillId="15" borderId="61" xfId="0" applyNumberFormat="1" applyFont="1" applyFill="1" applyBorder="1" applyAlignment="1">
      <alignment horizontal="right" vertical="center"/>
    </xf>
    <xf numFmtId="38" fontId="38" fillId="15" borderId="64" xfId="0" applyNumberFormat="1" applyFont="1" applyFill="1" applyBorder="1" applyAlignment="1">
      <alignment horizontal="right" vertical="center"/>
    </xf>
    <xf numFmtId="0" fontId="38" fillId="15" borderId="35" xfId="0" applyFont="1" applyFill="1" applyBorder="1" applyAlignment="1">
      <alignment horizontal="right" vertical="center"/>
    </xf>
    <xf numFmtId="0" fontId="38" fillId="15" borderId="7" xfId="0" applyFont="1" applyFill="1" applyBorder="1" applyAlignment="1">
      <alignment horizontal="center" vertical="center"/>
    </xf>
    <xf numFmtId="0" fontId="38" fillId="15" borderId="8" xfId="0" applyFont="1" applyFill="1" applyBorder="1" applyAlignment="1">
      <alignment horizontal="center" vertical="center"/>
    </xf>
    <xf numFmtId="0" fontId="38" fillId="15" borderId="9" xfId="0" applyFont="1" applyFill="1" applyBorder="1" applyAlignment="1">
      <alignment horizontal="center" vertical="center"/>
    </xf>
    <xf numFmtId="0" fontId="38" fillId="15" borderId="21" xfId="0" applyFont="1" applyFill="1" applyBorder="1" applyAlignment="1">
      <alignment horizontal="center" vertical="center"/>
    </xf>
    <xf numFmtId="0" fontId="38" fillId="15" borderId="22" xfId="0" applyFont="1" applyFill="1" applyBorder="1" applyAlignment="1">
      <alignment horizontal="center" vertical="center"/>
    </xf>
    <xf numFmtId="0" fontId="38" fillId="15" borderId="23" xfId="0" applyFont="1" applyFill="1" applyBorder="1" applyAlignment="1">
      <alignment horizontal="center" vertical="center"/>
    </xf>
    <xf numFmtId="0" fontId="38" fillId="15" borderId="10" xfId="0" applyFont="1" applyFill="1" applyBorder="1" applyAlignment="1">
      <alignment horizontal="center" vertical="center"/>
    </xf>
    <xf numFmtId="0" fontId="38" fillId="15" borderId="11" xfId="0" applyFont="1" applyFill="1" applyBorder="1" applyAlignment="1">
      <alignment horizontal="center" vertical="center"/>
    </xf>
    <xf numFmtId="0" fontId="38" fillId="15" borderId="12" xfId="0" applyFont="1" applyFill="1" applyBorder="1" applyAlignment="1">
      <alignment horizontal="center" vertical="center"/>
    </xf>
    <xf numFmtId="0" fontId="38" fillId="15" borderId="63" xfId="0" applyFont="1" applyFill="1" applyBorder="1" applyAlignment="1">
      <alignment horizontal="center" vertical="center"/>
    </xf>
    <xf numFmtId="0" fontId="38" fillId="15" borderId="13" xfId="0" applyFont="1" applyFill="1" applyBorder="1" applyAlignment="1">
      <alignment horizontal="center" vertical="center"/>
    </xf>
    <xf numFmtId="0" fontId="38" fillId="15" borderId="65" xfId="0" applyFont="1" applyFill="1" applyBorder="1" applyAlignment="1">
      <alignment horizontal="center" vertical="center"/>
    </xf>
    <xf numFmtId="0" fontId="38" fillId="15" borderId="24" xfId="0" applyFont="1" applyFill="1" applyBorder="1" applyAlignment="1">
      <alignment horizontal="center" vertical="center"/>
    </xf>
    <xf numFmtId="0" fontId="38" fillId="15" borderId="60" xfId="0" applyFont="1" applyFill="1" applyBorder="1" applyAlignment="1">
      <alignment horizontal="center" vertical="center"/>
    </xf>
    <xf numFmtId="0" fontId="38" fillId="15" borderId="46" xfId="0" applyFont="1" applyFill="1" applyBorder="1" applyAlignment="1">
      <alignment horizontal="center" vertical="center"/>
    </xf>
    <xf numFmtId="0" fontId="38" fillId="15" borderId="61" xfId="0" applyFont="1" applyFill="1" applyBorder="1" applyAlignment="1">
      <alignment horizontal="center" vertical="center"/>
    </xf>
    <xf numFmtId="0" fontId="62" fillId="0" borderId="2" xfId="0" applyFont="1" applyBorder="1" applyAlignment="1">
      <alignment horizontal="left" vertical="center"/>
    </xf>
    <xf numFmtId="0" fontId="62" fillId="0" borderId="3" xfId="0" applyFont="1" applyBorder="1" applyAlignment="1">
      <alignment horizontal="left" vertical="center"/>
    </xf>
    <xf numFmtId="0" fontId="62" fillId="0" borderId="4" xfId="0" applyFont="1" applyBorder="1" applyAlignment="1">
      <alignment horizontal="left" vertical="center"/>
    </xf>
    <xf numFmtId="0" fontId="38" fillId="5" borderId="10" xfId="0" applyFont="1" applyFill="1" applyBorder="1" applyAlignment="1">
      <alignment horizontal="left" vertical="center"/>
    </xf>
    <xf numFmtId="0" fontId="38" fillId="5" borderId="11" xfId="0" applyFont="1" applyFill="1" applyBorder="1" applyAlignment="1">
      <alignment horizontal="left" vertical="center"/>
    </xf>
    <xf numFmtId="0" fontId="38" fillId="5" borderId="12" xfId="0" applyFont="1" applyFill="1" applyBorder="1" applyAlignment="1">
      <alignment horizontal="left" vertical="center"/>
    </xf>
    <xf numFmtId="38" fontId="38" fillId="5" borderId="10" xfId="0" applyNumberFormat="1" applyFont="1" applyFill="1" applyBorder="1" applyAlignment="1">
      <alignment horizontal="center" vertical="center"/>
    </xf>
    <xf numFmtId="0" fontId="38" fillId="5" borderId="11" xfId="0" applyFont="1" applyFill="1" applyBorder="1" applyAlignment="1">
      <alignment horizontal="center" vertical="center"/>
    </xf>
    <xf numFmtId="38" fontId="38" fillId="5" borderId="11" xfId="0" applyNumberFormat="1" applyFont="1" applyFill="1" applyBorder="1" applyAlignment="1">
      <alignment horizontal="center" vertical="center"/>
    </xf>
    <xf numFmtId="0" fontId="38" fillId="5" borderId="12" xfId="0" applyFont="1" applyFill="1" applyBorder="1" applyAlignment="1">
      <alignment horizontal="center" vertical="center"/>
    </xf>
    <xf numFmtId="38" fontId="38" fillId="5" borderId="66" xfId="0" applyNumberFormat="1" applyFont="1" applyFill="1" applyBorder="1" applyAlignment="1">
      <alignment horizontal="center" vertical="center"/>
    </xf>
    <xf numFmtId="0" fontId="38" fillId="5" borderId="36" xfId="0" applyFont="1" applyFill="1" applyBorder="1" applyAlignment="1">
      <alignment horizontal="left" vertical="center"/>
    </xf>
    <xf numFmtId="0" fontId="38" fillId="5" borderId="37" xfId="0" applyFont="1" applyFill="1" applyBorder="1" applyAlignment="1">
      <alignment horizontal="left" vertical="center"/>
    </xf>
    <xf numFmtId="0" fontId="38" fillId="5" borderId="39" xfId="0" applyFont="1" applyFill="1" applyBorder="1" applyAlignment="1">
      <alignment horizontal="left" vertical="center"/>
    </xf>
    <xf numFmtId="38" fontId="38" fillId="5" borderId="51" xfId="0" applyNumberFormat="1" applyFont="1" applyFill="1" applyBorder="1" applyAlignment="1">
      <alignment horizontal="center" vertical="center"/>
    </xf>
    <xf numFmtId="0" fontId="38" fillId="5" borderId="51" xfId="0" applyFont="1" applyFill="1" applyBorder="1" applyAlignment="1">
      <alignment horizontal="center" vertical="center"/>
    </xf>
    <xf numFmtId="38" fontId="38" fillId="5" borderId="50" xfId="0" applyNumberFormat="1" applyFont="1" applyFill="1" applyBorder="1" applyAlignment="1">
      <alignment horizontal="center" vertical="center"/>
    </xf>
    <xf numFmtId="0" fontId="38" fillId="5" borderId="59" xfId="0" applyFont="1" applyFill="1" applyBorder="1" applyAlignment="1">
      <alignment horizontal="center" vertical="center"/>
    </xf>
    <xf numFmtId="0" fontId="65" fillId="5" borderId="18" xfId="0" applyFont="1" applyFill="1" applyBorder="1" applyAlignment="1">
      <alignment horizontal="left" vertical="center"/>
    </xf>
    <xf numFmtId="0" fontId="38" fillId="5" borderId="19" xfId="0" applyFont="1" applyFill="1" applyBorder="1" applyAlignment="1">
      <alignment horizontal="left" vertical="center"/>
    </xf>
    <xf numFmtId="0" fontId="38" fillId="5" borderId="20" xfId="0" applyFont="1" applyFill="1" applyBorder="1" applyAlignment="1">
      <alignment horizontal="left" vertical="center"/>
    </xf>
    <xf numFmtId="38" fontId="38" fillId="5" borderId="18" xfId="0" applyNumberFormat="1" applyFont="1" applyFill="1" applyBorder="1" applyAlignment="1">
      <alignment horizontal="right" vertical="center"/>
    </xf>
    <xf numFmtId="0" fontId="38" fillId="5" borderId="55" xfId="0" applyFont="1" applyFill="1" applyBorder="1" applyAlignment="1">
      <alignment horizontal="right" vertical="center"/>
    </xf>
    <xf numFmtId="38" fontId="38" fillId="5" borderId="8" xfId="0" applyNumberFormat="1" applyFont="1" applyFill="1" applyBorder="1" applyAlignment="1">
      <alignment horizontal="right" vertical="center"/>
    </xf>
    <xf numFmtId="0" fontId="38" fillId="5" borderId="8" xfId="0" applyFont="1" applyFill="1" applyBorder="1" applyAlignment="1">
      <alignment horizontal="right" vertical="center"/>
    </xf>
    <xf numFmtId="38" fontId="38" fillId="5" borderId="9" xfId="0" applyNumberFormat="1" applyFont="1" applyFill="1" applyBorder="1" applyAlignment="1">
      <alignment horizontal="right" vertical="center"/>
    </xf>
    <xf numFmtId="38" fontId="38" fillId="5" borderId="76" xfId="0" applyNumberFormat="1" applyFont="1" applyFill="1" applyBorder="1" applyAlignment="1">
      <alignment horizontal="right" vertical="center"/>
    </xf>
    <xf numFmtId="38" fontId="38" fillId="5" borderId="5" xfId="0" applyNumberFormat="1" applyFont="1" applyFill="1" applyBorder="1" applyAlignment="1">
      <alignment horizontal="right" vertical="center"/>
    </xf>
    <xf numFmtId="0" fontId="38"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38" fillId="5" borderId="33" xfId="0" applyFont="1" applyFill="1" applyBorder="1" applyAlignment="1">
      <alignment horizontal="left" vertical="center"/>
    </xf>
    <xf numFmtId="0" fontId="38" fillId="5" borderId="35" xfId="0" applyFont="1" applyFill="1" applyBorder="1" applyAlignment="1">
      <alignment horizontal="left" vertical="center"/>
    </xf>
    <xf numFmtId="38" fontId="38" fillId="5" borderId="32" xfId="0" applyNumberFormat="1" applyFont="1" applyFill="1" applyBorder="1" applyAlignment="1">
      <alignment horizontal="right" vertical="center"/>
    </xf>
    <xf numFmtId="0" fontId="38" fillId="5" borderId="34" xfId="0" applyFont="1" applyFill="1" applyBorder="1" applyAlignment="1">
      <alignment horizontal="right" vertical="center"/>
    </xf>
    <xf numFmtId="38" fontId="38" fillId="5" borderId="22" xfId="0" applyNumberFormat="1" applyFont="1" applyFill="1" applyBorder="1" applyAlignment="1">
      <alignment horizontal="right" vertical="center"/>
    </xf>
    <xf numFmtId="0" fontId="38" fillId="5" borderId="22" xfId="0" applyFont="1" applyFill="1" applyBorder="1" applyAlignment="1">
      <alignment horizontal="right" vertical="center"/>
    </xf>
    <xf numFmtId="38" fontId="38" fillId="5" borderId="23" xfId="0" applyNumberFormat="1" applyFont="1" applyFill="1" applyBorder="1" applyAlignment="1">
      <alignment horizontal="right" vertical="center"/>
    </xf>
    <xf numFmtId="38" fontId="38" fillId="5" borderId="61" xfId="0" applyNumberFormat="1" applyFont="1" applyFill="1" applyBorder="1" applyAlignment="1">
      <alignment horizontal="right" vertical="center"/>
    </xf>
    <xf numFmtId="38" fontId="38" fillId="5" borderId="64" xfId="0" applyNumberFormat="1" applyFont="1" applyFill="1" applyBorder="1" applyAlignment="1">
      <alignment horizontal="right" vertical="center"/>
    </xf>
    <xf numFmtId="0" fontId="38" fillId="5" borderId="35" xfId="0" applyFont="1" applyFill="1" applyBorder="1" applyAlignment="1">
      <alignment horizontal="right" vertical="center"/>
    </xf>
    <xf numFmtId="0" fontId="38" fillId="15" borderId="10" xfId="0" applyFont="1" applyFill="1" applyBorder="1" applyAlignment="1">
      <alignment horizontal="left" vertical="center"/>
    </xf>
    <xf numFmtId="0" fontId="38" fillId="15" borderId="11" xfId="0" applyFont="1" applyFill="1" applyBorder="1" applyAlignment="1">
      <alignment horizontal="left" vertical="center"/>
    </xf>
    <xf numFmtId="0" fontId="38" fillId="15" borderId="12" xfId="0" applyFont="1" applyFill="1" applyBorder="1" applyAlignment="1">
      <alignment horizontal="left" vertical="center"/>
    </xf>
    <xf numFmtId="38" fontId="38" fillId="15" borderId="10" xfId="0" applyNumberFormat="1" applyFont="1" applyFill="1" applyBorder="1" applyAlignment="1">
      <alignment horizontal="center" vertical="center"/>
    </xf>
    <xf numFmtId="38" fontId="38" fillId="15" borderId="11" xfId="0" applyNumberFormat="1" applyFont="1" applyFill="1" applyBorder="1" applyAlignment="1">
      <alignment horizontal="center" vertical="center"/>
    </xf>
    <xf numFmtId="38" fontId="38" fillId="15" borderId="66" xfId="0" applyNumberFormat="1" applyFont="1" applyFill="1" applyBorder="1" applyAlignment="1">
      <alignment horizontal="center" vertical="center"/>
    </xf>
    <xf numFmtId="0" fontId="38" fillId="7" borderId="55" xfId="0" applyFont="1" applyFill="1" applyBorder="1" applyAlignment="1">
      <alignment horizontal="right" vertical="center"/>
    </xf>
    <xf numFmtId="38" fontId="38" fillId="7" borderId="8" xfId="0" applyNumberFormat="1" applyFont="1" applyFill="1" applyBorder="1" applyAlignment="1">
      <alignment horizontal="right" vertical="center"/>
    </xf>
    <xf numFmtId="0" fontId="62" fillId="9" borderId="50" xfId="0" applyFont="1" applyFill="1" applyBorder="1" applyAlignment="1">
      <alignment horizontal="center" vertical="center"/>
    </xf>
    <xf numFmtId="0" fontId="62" fillId="9" borderId="51" xfId="0" applyFont="1" applyFill="1" applyBorder="1" applyAlignment="1">
      <alignment horizontal="center" vertical="center"/>
    </xf>
    <xf numFmtId="0" fontId="62" fillId="9" borderId="59" xfId="0" applyFont="1" applyFill="1" applyBorder="1" applyAlignment="1">
      <alignment horizontal="center" vertical="center"/>
    </xf>
    <xf numFmtId="0" fontId="38" fillId="9" borderId="41" xfId="0" applyFont="1" applyFill="1" applyBorder="1" applyAlignment="1">
      <alignment horizontal="center" vertical="center" textRotation="255"/>
    </xf>
    <xf numFmtId="0" fontId="38" fillId="9" borderId="43" xfId="0" applyFont="1" applyFill="1" applyBorder="1" applyAlignment="1">
      <alignment horizontal="center" vertical="center" textRotation="255"/>
    </xf>
    <xf numFmtId="0" fontId="38" fillId="9" borderId="48" xfId="0" applyFont="1" applyFill="1" applyBorder="1" applyAlignment="1">
      <alignment horizontal="center" vertical="center" textRotation="255"/>
    </xf>
    <xf numFmtId="0" fontId="46" fillId="4" borderId="50" xfId="0" applyFont="1" applyFill="1" applyBorder="1" applyAlignment="1">
      <alignment horizontal="center" vertical="center"/>
    </xf>
    <xf numFmtId="0" fontId="46" fillId="4" borderId="51" xfId="0" applyFont="1" applyFill="1" applyBorder="1" applyAlignment="1">
      <alignment horizontal="center" vertical="center"/>
    </xf>
    <xf numFmtId="0" fontId="46" fillId="4" borderId="59" xfId="0" applyFont="1" applyFill="1" applyBorder="1" applyAlignment="1">
      <alignment horizontal="center" vertical="center"/>
    </xf>
    <xf numFmtId="0" fontId="38" fillId="15" borderId="36" xfId="0" applyFont="1" applyFill="1" applyBorder="1" applyAlignment="1">
      <alignment horizontal="left" vertical="center"/>
    </xf>
    <xf numFmtId="0" fontId="38" fillId="15" borderId="37" xfId="0" applyFont="1" applyFill="1" applyBorder="1" applyAlignment="1">
      <alignment horizontal="left" vertical="center"/>
    </xf>
    <xf numFmtId="0" fontId="38" fillId="15" borderId="39" xfId="0" applyFont="1" applyFill="1" applyBorder="1" applyAlignment="1">
      <alignment horizontal="left" vertical="center"/>
    </xf>
    <xf numFmtId="38" fontId="38" fillId="15" borderId="51" xfId="0" applyNumberFormat="1" applyFont="1" applyFill="1" applyBorder="1" applyAlignment="1">
      <alignment horizontal="center" vertical="center"/>
    </xf>
    <xf numFmtId="0" fontId="38" fillId="15" borderId="51" xfId="0" applyFont="1" applyFill="1" applyBorder="1" applyAlignment="1">
      <alignment horizontal="center" vertical="center"/>
    </xf>
    <xf numFmtId="38" fontId="38" fillId="15" borderId="50" xfId="0" applyNumberFormat="1" applyFont="1" applyFill="1" applyBorder="1" applyAlignment="1">
      <alignment horizontal="center" vertical="center"/>
    </xf>
    <xf numFmtId="0" fontId="38" fillId="15" borderId="59"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8" xfId="0" applyFont="1" applyFill="1" applyBorder="1" applyAlignment="1">
      <alignment horizontal="center" vertical="center"/>
    </xf>
    <xf numFmtId="0" fontId="38" fillId="5" borderId="9"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23" xfId="0" applyFont="1" applyFill="1" applyBorder="1" applyAlignment="1">
      <alignment horizontal="center" vertical="center"/>
    </xf>
    <xf numFmtId="0" fontId="38" fillId="5" borderId="10" xfId="0" applyFont="1" applyFill="1" applyBorder="1" applyAlignment="1">
      <alignment horizontal="center" vertical="center"/>
    </xf>
    <xf numFmtId="0" fontId="38" fillId="5" borderId="63" xfId="0" applyFont="1" applyFill="1" applyBorder="1" applyAlignment="1">
      <alignment horizontal="center" vertical="center"/>
    </xf>
    <xf numFmtId="0" fontId="38" fillId="5" borderId="13" xfId="0" applyFont="1" applyFill="1" applyBorder="1" applyAlignment="1">
      <alignment horizontal="center" vertical="center"/>
    </xf>
    <xf numFmtId="0" fontId="38" fillId="5" borderId="65"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60" xfId="0" applyFont="1" applyFill="1" applyBorder="1" applyAlignment="1">
      <alignment horizontal="center" vertical="center"/>
    </xf>
    <xf numFmtId="0" fontId="38" fillId="5" borderId="46" xfId="0" applyFont="1" applyFill="1" applyBorder="1" applyAlignment="1">
      <alignment horizontal="center" vertical="center"/>
    </xf>
    <xf numFmtId="0" fontId="38" fillId="5" borderId="61" xfId="0" applyFont="1" applyFill="1" applyBorder="1" applyAlignment="1">
      <alignment horizontal="center" vertical="center"/>
    </xf>
    <xf numFmtId="0" fontId="65" fillId="15" borderId="18" xfId="0" applyFont="1" applyFill="1" applyBorder="1" applyAlignment="1">
      <alignment horizontal="left" vertical="center"/>
    </xf>
    <xf numFmtId="0" fontId="38" fillId="15" borderId="19" xfId="0" applyFont="1" applyFill="1" applyBorder="1" applyAlignment="1">
      <alignment horizontal="left" vertical="center"/>
    </xf>
    <xf numFmtId="0" fontId="38" fillId="15" borderId="20" xfId="0" applyFont="1" applyFill="1" applyBorder="1" applyAlignment="1">
      <alignment horizontal="left" vertical="center"/>
    </xf>
    <xf numFmtId="0" fontId="38" fillId="15" borderId="55" xfId="0" applyFont="1" applyFill="1" applyBorder="1" applyAlignment="1">
      <alignment horizontal="right" vertical="center"/>
    </xf>
    <xf numFmtId="38" fontId="38" fillId="15" borderId="8" xfId="0" applyNumberFormat="1" applyFont="1" applyFill="1" applyBorder="1" applyAlignment="1">
      <alignment horizontal="right" vertical="center"/>
    </xf>
    <xf numFmtId="0" fontId="38" fillId="15" borderId="8" xfId="0" applyFont="1" applyFill="1" applyBorder="1" applyAlignment="1">
      <alignment horizontal="right" vertical="center"/>
    </xf>
    <xf numFmtId="0" fontId="38" fillId="9" borderId="109" xfId="0" applyFont="1" applyFill="1" applyBorder="1" applyAlignment="1">
      <alignment horizontal="center" vertical="center" textRotation="255"/>
    </xf>
    <xf numFmtId="0" fontId="38" fillId="9" borderId="108" xfId="0" applyFont="1" applyFill="1" applyBorder="1" applyAlignment="1">
      <alignment horizontal="center" vertical="center" textRotation="255"/>
    </xf>
    <xf numFmtId="0" fontId="38" fillId="9" borderId="107"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38" fillId="7" borderId="34" xfId="0" applyFont="1" applyFill="1" applyBorder="1" applyAlignment="1">
      <alignment horizontal="right" vertical="center"/>
    </xf>
    <xf numFmtId="38" fontId="38" fillId="7" borderId="22" xfId="0" applyNumberFormat="1" applyFont="1" applyFill="1" applyBorder="1" applyAlignment="1">
      <alignment horizontal="right" vertical="center"/>
    </xf>
    <xf numFmtId="0" fontId="146" fillId="12" borderId="157" xfId="6" applyNumberFormat="1" applyFont="1" applyFill="1" applyBorder="1" applyAlignment="1" applyProtection="1">
      <alignment horizontal="center" vertical="center"/>
    </xf>
    <xf numFmtId="0" fontId="146" fillId="12" borderId="156" xfId="6" applyNumberFormat="1" applyFont="1" applyFill="1" applyBorder="1" applyAlignment="1" applyProtection="1">
      <alignment horizontal="center" vertical="center"/>
    </xf>
    <xf numFmtId="0" fontId="27" fillId="12" borderId="176" xfId="13" applyNumberFormat="1" applyFont="1" applyFill="1" applyBorder="1" applyAlignment="1" applyProtection="1">
      <alignment horizontal="distributed" vertical="center" justifyLastLine="1"/>
    </xf>
    <xf numFmtId="0" fontId="27" fillId="12" borderId="177" xfId="13" applyNumberFormat="1" applyFont="1" applyFill="1" applyBorder="1" applyAlignment="1" applyProtection="1">
      <alignment horizontal="distributed" vertical="center" justifyLastLine="1"/>
    </xf>
    <xf numFmtId="0" fontId="27" fillId="12" borderId="178" xfId="13" applyNumberFormat="1" applyFont="1" applyFill="1" applyBorder="1" applyAlignment="1" applyProtection="1">
      <alignment horizontal="distributed" vertical="center" justifyLastLine="1"/>
    </xf>
    <xf numFmtId="0" fontId="145" fillId="12" borderId="179" xfId="6" applyNumberFormat="1" applyFont="1" applyFill="1" applyBorder="1" applyAlignment="1" applyProtection="1">
      <alignment vertical="center"/>
    </xf>
    <xf numFmtId="0" fontId="145" fillId="12" borderId="180" xfId="6" applyNumberFormat="1" applyFont="1" applyFill="1" applyBorder="1" applyAlignment="1" applyProtection="1">
      <alignment vertical="center"/>
    </xf>
    <xf numFmtId="0" fontId="149" fillId="12" borderId="181" xfId="13" applyNumberFormat="1" applyFont="1" applyFill="1" applyBorder="1" applyAlignment="1" applyProtection="1">
      <alignment horizontal="center" vertical="center"/>
    </xf>
    <xf numFmtId="0" fontId="149" fillId="12" borderId="180" xfId="13" applyNumberFormat="1" applyFont="1" applyFill="1" applyBorder="1" applyAlignment="1" applyProtection="1">
      <alignment horizontal="center" vertical="center"/>
    </xf>
    <xf numFmtId="0" fontId="166" fillId="0" borderId="0" xfId="13" applyNumberFormat="1" applyFont="1" applyAlignment="1" applyProtection="1">
      <alignment horizontal="left" vertical="center" wrapText="1"/>
    </xf>
    <xf numFmtId="0" fontId="158" fillId="0" borderId="34" xfId="15" applyNumberFormat="1" applyFont="1" applyBorder="1" applyAlignment="1" applyProtection="1">
      <alignment horizontal="center" vertical="center" wrapText="1"/>
    </xf>
    <xf numFmtId="0" fontId="158" fillId="0" borderId="64" xfId="15" applyNumberFormat="1" applyFont="1" applyBorder="1" applyAlignment="1" applyProtection="1">
      <alignment horizontal="center" vertical="center" wrapText="1"/>
    </xf>
    <xf numFmtId="0" fontId="158" fillId="0" borderId="56" xfId="15" applyNumberFormat="1" applyFont="1" applyBorder="1" applyAlignment="1" applyProtection="1">
      <alignment horizontal="center" vertical="center" wrapText="1"/>
    </xf>
    <xf numFmtId="0" fontId="158" fillId="0" borderId="55" xfId="15" applyNumberFormat="1" applyFont="1" applyBorder="1" applyAlignment="1" applyProtection="1">
      <alignment horizontal="center" vertical="center" wrapText="1"/>
    </xf>
    <xf numFmtId="0" fontId="158" fillId="0" borderId="5" xfId="15" applyNumberFormat="1" applyFont="1" applyBorder="1" applyAlignment="1" applyProtection="1">
      <alignment horizontal="center" vertical="center" wrapText="1"/>
    </xf>
    <xf numFmtId="0" fontId="158" fillId="0" borderId="54" xfId="15" applyNumberFormat="1" applyFont="1" applyBorder="1" applyAlignment="1" applyProtection="1">
      <alignment horizontal="center" vertical="center" wrapText="1"/>
    </xf>
    <xf numFmtId="0" fontId="158" fillId="0" borderId="98" xfId="15" applyNumberFormat="1" applyFont="1" applyBorder="1" applyAlignment="1" applyProtection="1">
      <alignment horizontal="center" vertical="center"/>
    </xf>
    <xf numFmtId="0" fontId="158" fillId="0" borderId="99" xfId="15" applyNumberFormat="1" applyFont="1" applyBorder="1" applyAlignment="1" applyProtection="1">
      <alignment horizontal="center" vertical="center"/>
    </xf>
    <xf numFmtId="0" fontId="158" fillId="0" borderId="114" xfId="15" applyNumberFormat="1" applyFont="1" applyBorder="1" applyAlignment="1" applyProtection="1">
      <alignment horizontal="center" vertical="center"/>
    </xf>
    <xf numFmtId="0" fontId="158" fillId="0" borderId="121" xfId="15" applyNumberFormat="1" applyFont="1" applyBorder="1" applyAlignment="1" applyProtection="1">
      <alignment vertical="center"/>
    </xf>
    <xf numFmtId="0" fontId="158" fillId="0" borderId="122" xfId="15" applyNumberFormat="1" applyFont="1" applyBorder="1" applyAlignment="1" applyProtection="1">
      <alignment vertical="center"/>
    </xf>
    <xf numFmtId="0" fontId="158" fillId="0" borderId="95" xfId="15" applyNumberFormat="1" applyFont="1" applyBorder="1" applyAlignment="1" applyProtection="1">
      <alignment vertical="center"/>
    </xf>
    <xf numFmtId="0" fontId="158" fillId="0" borderId="96" xfId="15" applyNumberFormat="1" applyFont="1" applyBorder="1" applyAlignment="1" applyProtection="1">
      <alignment vertical="center"/>
    </xf>
    <xf numFmtId="0" fontId="158" fillId="0" borderId="104" xfId="15" applyNumberFormat="1" applyFont="1" applyBorder="1" applyAlignment="1" applyProtection="1">
      <alignment vertical="center"/>
    </xf>
    <xf numFmtId="0" fontId="160" fillId="0" borderId="0" xfId="13" applyNumberFormat="1" applyFont="1" applyAlignment="1" applyProtection="1">
      <alignment horizontal="left" vertical="center" wrapText="1"/>
    </xf>
    <xf numFmtId="0" fontId="147" fillId="0" borderId="0" xfId="13" applyNumberFormat="1" applyFont="1" applyBorder="1" applyAlignment="1" applyProtection="1">
      <alignment horizontal="left" vertical="center" wrapText="1"/>
    </xf>
    <xf numFmtId="0" fontId="166" fillId="0" borderId="0" xfId="13" applyNumberFormat="1" applyFont="1" applyBorder="1" applyAlignment="1" applyProtection="1">
      <alignment horizontal="left" vertical="center" wrapText="1"/>
    </xf>
    <xf numFmtId="0" fontId="141" fillId="12" borderId="105" xfId="6" applyNumberFormat="1" applyFont="1" applyFill="1" applyBorder="1" applyAlignment="1" applyProtection="1">
      <alignment horizontal="distributed" vertical="center" indent="1"/>
    </xf>
    <xf numFmtId="0" fontId="141" fillId="12" borderId="106" xfId="6" applyNumberFormat="1" applyFont="1" applyFill="1" applyBorder="1" applyAlignment="1" applyProtection="1">
      <alignment horizontal="distributed" vertical="center" indent="1"/>
    </xf>
    <xf numFmtId="0" fontId="141" fillId="12" borderId="154" xfId="6" applyNumberFormat="1" applyFont="1" applyFill="1" applyBorder="1" applyAlignment="1" applyProtection="1">
      <alignment horizontal="distributed" vertical="center" indent="1"/>
    </xf>
    <xf numFmtId="0" fontId="145" fillId="12" borderId="155" xfId="14" applyNumberFormat="1" applyFont="1" applyFill="1" applyBorder="1" applyAlignment="1" applyProtection="1">
      <alignment horizontal="center" vertical="center"/>
    </xf>
    <xf numFmtId="0" fontId="145" fillId="12" borderId="156" xfId="14" applyNumberFormat="1" applyFont="1" applyFill="1" applyBorder="1" applyAlignment="1" applyProtection="1">
      <alignment horizontal="center" vertical="center"/>
    </xf>
    <xf numFmtId="0" fontId="141" fillId="12" borderId="161" xfId="6" applyNumberFormat="1" applyFont="1" applyFill="1" applyBorder="1" applyAlignment="1" applyProtection="1">
      <alignment horizontal="distributed" vertical="center" justifyLastLine="1"/>
    </xf>
    <xf numFmtId="0" fontId="141" fillId="12" borderId="162" xfId="6" applyNumberFormat="1" applyFont="1" applyFill="1" applyBorder="1" applyAlignment="1" applyProtection="1">
      <alignment horizontal="distributed" vertical="center" justifyLastLine="1"/>
    </xf>
    <xf numFmtId="0" fontId="141" fillId="12" borderId="163" xfId="6" applyNumberFormat="1" applyFont="1" applyFill="1" applyBorder="1" applyAlignment="1" applyProtection="1">
      <alignment horizontal="distributed" vertical="center" justifyLastLine="1"/>
    </xf>
    <xf numFmtId="0" fontId="141" fillId="12" borderId="43" xfId="6" applyNumberFormat="1" applyFont="1" applyFill="1" applyBorder="1" applyAlignment="1" applyProtection="1">
      <alignment horizontal="distributed" vertical="center" justifyLastLine="1"/>
    </xf>
    <xf numFmtId="0" fontId="141" fillId="12" borderId="0" xfId="6" applyNumberFormat="1" applyFont="1" applyFill="1" applyBorder="1" applyAlignment="1" applyProtection="1">
      <alignment horizontal="distributed" vertical="center" justifyLastLine="1"/>
    </xf>
    <xf numFmtId="0" fontId="141" fillId="12" borderId="44" xfId="6" applyNumberFormat="1" applyFont="1" applyFill="1" applyBorder="1" applyAlignment="1" applyProtection="1">
      <alignment horizontal="distributed" vertical="center" justifyLastLine="1"/>
    </xf>
    <xf numFmtId="0" fontId="141" fillId="12" borderId="171" xfId="6" applyNumberFormat="1" applyFont="1" applyFill="1" applyBorder="1" applyAlignment="1" applyProtection="1">
      <alignment horizontal="distributed" vertical="center" justifyLastLine="1"/>
    </xf>
    <xf numFmtId="0" fontId="141" fillId="12" borderId="172" xfId="6" applyNumberFormat="1" applyFont="1" applyFill="1" applyBorder="1" applyAlignment="1" applyProtection="1">
      <alignment horizontal="distributed" vertical="center" justifyLastLine="1"/>
    </xf>
    <xf numFmtId="0" fontId="141" fillId="12" borderId="173" xfId="6" applyNumberFormat="1" applyFont="1" applyFill="1" applyBorder="1" applyAlignment="1" applyProtection="1">
      <alignment horizontal="distributed" vertical="center" justifyLastLine="1"/>
    </xf>
    <xf numFmtId="0" fontId="141" fillId="12" borderId="10" xfId="6" applyNumberFormat="1" applyFont="1" applyFill="1" applyBorder="1" applyAlignment="1" applyProtection="1">
      <alignment horizontal="center" vertical="center" textRotation="255" wrapText="1"/>
    </xf>
    <xf numFmtId="0" fontId="141" fillId="12" borderId="45" xfId="6" applyNumberFormat="1" applyFont="1" applyFill="1" applyBorder="1" applyAlignment="1" applyProtection="1">
      <alignment horizontal="center" vertical="center" textRotation="255" wrapText="1"/>
    </xf>
    <xf numFmtId="0" fontId="141" fillId="12" borderId="9" xfId="6" applyNumberFormat="1" applyFont="1" applyFill="1" applyBorder="1" applyAlignment="1" applyProtection="1">
      <alignment horizontal="distributed" vertical="center" wrapText="1" indent="1"/>
    </xf>
    <xf numFmtId="0" fontId="141" fillId="12" borderId="63" xfId="6" applyNumberFormat="1" applyFont="1" applyFill="1" applyBorder="1" applyAlignment="1" applyProtection="1">
      <alignment horizontal="distributed" vertical="center" wrapText="1" indent="1"/>
    </xf>
    <xf numFmtId="0" fontId="141" fillId="12" borderId="76" xfId="6" applyNumberFormat="1" applyFont="1" applyFill="1" applyBorder="1" applyAlignment="1" applyProtection="1">
      <alignment horizontal="distributed" vertical="center" wrapText="1" indent="1"/>
    </xf>
    <xf numFmtId="0" fontId="141" fillId="12" borderId="2" xfId="6" applyNumberFormat="1" applyFont="1" applyFill="1" applyBorder="1" applyAlignment="1" applyProtection="1">
      <alignment horizontal="distributed" vertical="center" indent="1"/>
    </xf>
    <xf numFmtId="0" fontId="141" fillId="12" borderId="16" xfId="6" applyNumberFormat="1" applyFont="1" applyFill="1" applyBorder="1" applyAlignment="1" applyProtection="1">
      <alignment horizontal="distributed" vertical="center" indent="1"/>
    </xf>
    <xf numFmtId="0" fontId="141" fillId="12" borderId="3" xfId="6" applyNumberFormat="1" applyFont="1" applyFill="1" applyBorder="1" applyAlignment="1" applyProtection="1">
      <alignment horizontal="distributed" vertical="center" indent="1"/>
    </xf>
    <xf numFmtId="0" fontId="141" fillId="12" borderId="34" xfId="6" applyNumberFormat="1" applyFont="1" applyFill="1" applyBorder="1" applyAlignment="1" applyProtection="1">
      <alignment horizontal="distributed" vertical="center" wrapText="1" justifyLastLine="1"/>
    </xf>
    <xf numFmtId="0" fontId="141" fillId="12" borderId="64" xfId="6" applyNumberFormat="1" applyFont="1" applyFill="1" applyBorder="1" applyAlignment="1" applyProtection="1">
      <alignment horizontal="distributed" vertical="center" wrapText="1" justifyLastLine="1"/>
    </xf>
    <xf numFmtId="0" fontId="141" fillId="12" borderId="86" xfId="6" applyNumberFormat="1" applyFont="1" applyFill="1" applyBorder="1" applyAlignment="1" applyProtection="1">
      <alignment horizontal="distributed" vertical="center" wrapText="1" justifyLastLine="1"/>
    </xf>
    <xf numFmtId="0" fontId="141" fillId="12" borderId="70" xfId="6" applyNumberFormat="1" applyFont="1" applyFill="1" applyBorder="1" applyAlignment="1" applyProtection="1">
      <alignment horizontal="distributed" vertical="center" wrapText="1" justifyLastLine="1"/>
    </xf>
    <xf numFmtId="0" fontId="141" fillId="12" borderId="0" xfId="6" applyNumberFormat="1" applyFont="1" applyFill="1" applyBorder="1" applyAlignment="1" applyProtection="1">
      <alignment horizontal="distributed" vertical="center" wrapText="1" justifyLastLine="1"/>
    </xf>
    <xf numFmtId="0" fontId="141" fillId="12" borderId="44" xfId="6" applyNumberFormat="1" applyFont="1" applyFill="1" applyBorder="1" applyAlignment="1" applyProtection="1">
      <alignment horizontal="distributed" vertical="center" wrapText="1" justifyLastLine="1"/>
    </xf>
    <xf numFmtId="0" fontId="141" fillId="12" borderId="55" xfId="6" applyNumberFormat="1" applyFont="1" applyFill="1" applyBorder="1" applyAlignment="1" applyProtection="1">
      <alignment horizontal="distributed" vertical="center" wrapText="1" justifyLastLine="1"/>
    </xf>
    <xf numFmtId="0" fontId="141" fillId="12" borderId="5" xfId="6" applyNumberFormat="1" applyFont="1" applyFill="1" applyBorder="1" applyAlignment="1" applyProtection="1">
      <alignment horizontal="distributed" vertical="center" wrapText="1" justifyLastLine="1"/>
    </xf>
    <xf numFmtId="0" fontId="141" fillId="12" borderId="144" xfId="6" applyNumberFormat="1" applyFont="1" applyFill="1" applyBorder="1" applyAlignment="1" applyProtection="1">
      <alignment horizontal="distributed" vertical="center" wrapText="1" justifyLastLine="1"/>
    </xf>
    <xf numFmtId="0" fontId="146" fillId="12" borderId="11" xfId="6" applyNumberFormat="1" applyFont="1" applyFill="1" applyBorder="1" applyAlignment="1" applyProtection="1">
      <alignment horizontal="center" vertical="center" textRotation="255" wrapText="1"/>
    </xf>
    <xf numFmtId="0" fontId="146" fillId="12" borderId="57" xfId="6" applyNumberFormat="1" applyFont="1" applyFill="1" applyBorder="1" applyAlignment="1" applyProtection="1">
      <alignment horizontal="center" vertical="center" textRotation="255" wrapText="1"/>
    </xf>
    <xf numFmtId="0" fontId="146" fillId="12" borderId="19" xfId="6" applyNumberFormat="1" applyFont="1" applyFill="1" applyBorder="1" applyAlignment="1" applyProtection="1">
      <alignment horizontal="center" vertical="center" textRotation="255" wrapText="1"/>
    </xf>
    <xf numFmtId="0" fontId="141" fillId="12" borderId="2" xfId="6" applyNumberFormat="1" applyFont="1" applyFill="1" applyBorder="1" applyAlignment="1" applyProtection="1">
      <alignment horizontal="distributed" vertical="center" wrapText="1" indent="1"/>
    </xf>
    <xf numFmtId="0" fontId="141" fillId="12" borderId="33" xfId="6" applyNumberFormat="1" applyFont="1" applyFill="1" applyBorder="1" applyAlignment="1" applyProtection="1">
      <alignment horizontal="center" vertical="center"/>
    </xf>
    <xf numFmtId="0" fontId="141" fillId="12" borderId="57" xfId="6" applyNumberFormat="1" applyFont="1" applyFill="1" applyBorder="1" applyAlignment="1" applyProtection="1">
      <alignment horizontal="center" vertical="center"/>
    </xf>
    <xf numFmtId="0" fontId="141" fillId="12" borderId="19" xfId="6" applyNumberFormat="1" applyFont="1" applyFill="1" applyBorder="1" applyAlignment="1" applyProtection="1">
      <alignment horizontal="center" vertical="center"/>
    </xf>
    <xf numFmtId="0" fontId="129" fillId="12" borderId="2" xfId="6" applyNumberFormat="1" applyFont="1" applyFill="1" applyBorder="1" applyAlignment="1" applyProtection="1">
      <alignment horizontal="center" vertical="center" wrapText="1"/>
    </xf>
    <xf numFmtId="0" fontId="129" fillId="12" borderId="16" xfId="6" applyNumberFormat="1" applyFont="1" applyFill="1" applyBorder="1" applyAlignment="1" applyProtection="1">
      <alignment horizontal="center" vertical="center" wrapText="1"/>
    </xf>
    <xf numFmtId="0" fontId="141" fillId="12" borderId="33" xfId="6" applyNumberFormat="1" applyFont="1" applyFill="1" applyBorder="1" applyAlignment="1" applyProtection="1">
      <alignment horizontal="distributed" vertical="center" indent="1"/>
    </xf>
    <xf numFmtId="0" fontId="141" fillId="12" borderId="57" xfId="6" applyNumberFormat="1" applyFont="1" applyFill="1" applyBorder="1" applyAlignment="1" applyProtection="1">
      <alignment horizontal="distributed" vertical="center" indent="1"/>
    </xf>
    <xf numFmtId="0" fontId="141" fillId="12" borderId="19" xfId="6" applyNumberFormat="1" applyFont="1" applyFill="1" applyBorder="1" applyAlignment="1" applyProtection="1">
      <alignment horizontal="distributed" vertical="center" indent="1"/>
    </xf>
    <xf numFmtId="0" fontId="137" fillId="12" borderId="0" xfId="13" applyNumberFormat="1" applyFont="1" applyFill="1" applyAlignment="1" applyProtection="1">
      <alignment horizontal="center" vertical="center"/>
    </xf>
    <xf numFmtId="0" fontId="140" fillId="0" borderId="0" xfId="13" applyNumberFormat="1" applyFont="1" applyFill="1" applyBorder="1" applyAlignment="1" applyProtection="1">
      <alignment horizontal="left" vertical="center"/>
    </xf>
    <xf numFmtId="0" fontId="27" fillId="0" borderId="6" xfId="13" applyNumberFormat="1" applyFont="1" applyBorder="1" applyAlignment="1" applyProtection="1">
      <alignment horizontal="right" vertical="center"/>
    </xf>
    <xf numFmtId="0" fontId="141" fillId="12" borderId="41" xfId="6" applyNumberFormat="1" applyFont="1" applyFill="1" applyBorder="1" applyAlignment="1" applyProtection="1">
      <alignment horizontal="center" vertical="center" wrapText="1"/>
    </xf>
    <xf numFmtId="0" fontId="141" fillId="12" borderId="66" xfId="6" applyNumberFormat="1" applyFont="1" applyFill="1" applyBorder="1" applyAlignment="1" applyProtection="1">
      <alignment horizontal="center" vertical="center" wrapText="1"/>
    </xf>
    <xf numFmtId="0" fontId="141" fillId="12" borderId="42" xfId="6" applyNumberFormat="1" applyFont="1" applyFill="1" applyBorder="1" applyAlignment="1" applyProtection="1">
      <alignment horizontal="center" vertical="center" wrapText="1"/>
    </xf>
    <xf numFmtId="0" fontId="141" fillId="12" borderId="43" xfId="6" applyNumberFormat="1" applyFont="1" applyFill="1" applyBorder="1" applyAlignment="1" applyProtection="1">
      <alignment horizontal="center" vertical="center" wrapText="1"/>
    </xf>
    <xf numFmtId="0" fontId="141" fillId="12" borderId="0" xfId="6" applyNumberFormat="1" applyFont="1" applyFill="1" applyBorder="1" applyAlignment="1" applyProtection="1">
      <alignment horizontal="center" vertical="center" wrapText="1"/>
    </xf>
    <xf numFmtId="0" fontId="141" fillId="12" borderId="44" xfId="6" applyNumberFormat="1" applyFont="1" applyFill="1" applyBorder="1" applyAlignment="1" applyProtection="1">
      <alignment horizontal="center" vertical="center" wrapText="1"/>
    </xf>
    <xf numFmtId="0" fontId="141" fillId="12" borderId="48" xfId="6" applyNumberFormat="1" applyFont="1" applyFill="1" applyBorder="1" applyAlignment="1" applyProtection="1">
      <alignment horizontal="center" vertical="center" wrapText="1"/>
    </xf>
    <xf numFmtId="0" fontId="141" fillId="12" borderId="6" xfId="6" applyNumberFormat="1" applyFont="1" applyFill="1" applyBorder="1" applyAlignment="1" applyProtection="1">
      <alignment horizontal="center" vertical="center" wrapText="1"/>
    </xf>
    <xf numFmtId="0" fontId="141" fillId="12" borderId="49" xfId="6" applyNumberFormat="1" applyFont="1" applyFill="1" applyBorder="1" applyAlignment="1" applyProtection="1">
      <alignment horizontal="center" vertical="center" wrapText="1"/>
    </xf>
    <xf numFmtId="0" fontId="141" fillId="12" borderId="111" xfId="6" applyNumberFormat="1" applyFont="1" applyFill="1" applyBorder="1" applyAlignment="1" applyProtection="1">
      <alignment horizontal="center" vertical="center" wrapText="1"/>
    </xf>
    <xf numFmtId="0" fontId="141" fillId="12" borderId="149" xfId="6" applyNumberFormat="1" applyFont="1" applyFill="1" applyBorder="1" applyAlignment="1" applyProtection="1">
      <alignment horizontal="center" vertical="center" wrapText="1"/>
    </xf>
    <xf numFmtId="0" fontId="141" fillId="0" borderId="150" xfId="6" applyNumberFormat="1" applyFont="1" applyFill="1" applyBorder="1" applyAlignment="1" applyProtection="1">
      <alignment horizontal="center" vertical="center" wrapText="1"/>
    </xf>
    <xf numFmtId="0" fontId="141" fillId="0" borderId="149" xfId="6" applyNumberFormat="1" applyFont="1" applyFill="1" applyBorder="1" applyAlignment="1" applyProtection="1">
      <alignment horizontal="center" vertical="center" wrapText="1"/>
    </xf>
    <xf numFmtId="0" fontId="142" fillId="12" borderId="151" xfId="6" applyNumberFormat="1" applyFont="1" applyFill="1" applyBorder="1" applyAlignment="1" applyProtection="1">
      <alignment horizontal="center" vertical="center" wrapText="1"/>
    </xf>
    <xf numFmtId="0" fontId="142" fillId="12" borderId="104" xfId="6" applyNumberFormat="1" applyFont="1" applyFill="1" applyBorder="1" applyAlignment="1" applyProtection="1">
      <alignment horizontal="center" vertical="center" wrapText="1"/>
    </xf>
    <xf numFmtId="0" fontId="142" fillId="12" borderId="95" xfId="6" applyNumberFormat="1" applyFont="1" applyFill="1" applyBorder="1" applyAlignment="1" applyProtection="1">
      <alignment horizontal="center" vertical="center" wrapText="1"/>
    </xf>
    <xf numFmtId="0" fontId="29" fillId="0" borderId="33" xfId="0" applyFont="1" applyBorder="1" applyAlignment="1" applyProtection="1">
      <alignment horizontal="left" vertical="center"/>
    </xf>
    <xf numFmtId="0" fontId="29" fillId="0" borderId="19" xfId="0" applyFont="1" applyBorder="1" applyAlignment="1" applyProtection="1">
      <alignment horizontal="left" vertical="center"/>
    </xf>
    <xf numFmtId="0" fontId="103" fillId="0" borderId="0" xfId="0" applyFont="1" applyFill="1" applyBorder="1" applyAlignment="1" applyProtection="1">
      <alignment horizontal="left" vertical="center" wrapText="1"/>
    </xf>
    <xf numFmtId="0" fontId="29" fillId="0" borderId="57" xfId="0" applyFont="1" applyBorder="1" applyAlignment="1" applyProtection="1">
      <alignment horizontal="left" vertical="center"/>
    </xf>
    <xf numFmtId="0" fontId="102" fillId="0" borderId="0" xfId="0" applyFont="1" applyFill="1" applyBorder="1" applyAlignment="1" applyProtection="1">
      <alignment horizontal="left" vertical="center"/>
    </xf>
    <xf numFmtId="0" fontId="102" fillId="0" borderId="122" xfId="0" applyFont="1" applyBorder="1" applyAlignment="1" applyProtection="1">
      <alignment horizontal="left" vertical="center"/>
    </xf>
    <xf numFmtId="0" fontId="102" fillId="0" borderId="0" xfId="0" applyFont="1" applyAlignment="1" applyProtection="1">
      <alignment horizontal="left" vertical="center"/>
    </xf>
    <xf numFmtId="0" fontId="102" fillId="0" borderId="1" xfId="0" applyFont="1" applyFill="1" applyBorder="1" applyAlignment="1" applyProtection="1">
      <alignment horizontal="left" vertical="center"/>
    </xf>
    <xf numFmtId="0" fontId="102" fillId="0" borderId="2"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42" fillId="19" borderId="0" xfId="0" applyFont="1" applyFill="1" applyAlignment="1" applyProtection="1">
      <alignment horizontal="center" vertical="center"/>
    </xf>
    <xf numFmtId="0" fontId="116"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29" fillId="17" borderId="0" xfId="0" applyFont="1" applyFill="1" applyAlignment="1" applyProtection="1">
      <alignment horizontal="left" vertical="top" wrapText="1"/>
    </xf>
    <xf numFmtId="0" fontId="29" fillId="17" borderId="0" xfId="0" applyFont="1" applyFill="1" applyAlignment="1" applyProtection="1">
      <alignment horizontal="left" vertical="top"/>
    </xf>
    <xf numFmtId="0" fontId="118" fillId="0" borderId="0" xfId="0" applyFont="1" applyFill="1" applyAlignment="1" applyProtection="1">
      <alignment horizontal="left" vertical="center" wrapText="1"/>
    </xf>
    <xf numFmtId="0" fontId="118" fillId="0" borderId="0" xfId="0" applyFont="1" applyFill="1" applyAlignment="1">
      <alignment vertical="center"/>
    </xf>
    <xf numFmtId="0" fontId="118" fillId="0" borderId="0" xfId="0" applyFont="1" applyFill="1" applyAlignment="1" applyProtection="1">
      <alignment vertical="center"/>
    </xf>
    <xf numFmtId="0" fontId="118"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wrapText="1"/>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15" fillId="0" borderId="11" xfId="0" applyFont="1" applyBorder="1" applyAlignment="1">
      <alignment horizontal="center"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19"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7"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17" fillId="0" borderId="6" xfId="0" applyFont="1" applyBorder="1" applyAlignment="1">
      <alignment horizontal="center" vertical="center"/>
    </xf>
    <xf numFmtId="0" fontId="0" fillId="0" borderId="32" xfId="0" applyBorder="1" applyAlignment="1">
      <alignment horizontal="center" vertical="center"/>
    </xf>
    <xf numFmtId="0" fontId="0" fillId="0" borderId="14" xfId="0"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5" borderId="1"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33" xfId="0" applyFont="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8" borderId="62" xfId="0" applyFill="1" applyBorder="1" applyAlignment="1">
      <alignment horizontal="left" vertical="center" wrapText="1"/>
    </xf>
    <xf numFmtId="0" fontId="6" fillId="0" borderId="4" xfId="0" applyFont="1" applyBorder="1" applyAlignment="1">
      <alignment horizontal="center" vertical="center"/>
    </xf>
    <xf numFmtId="0" fontId="12" fillId="18" borderId="2" xfId="0" applyFont="1" applyFill="1" applyBorder="1" applyAlignment="1">
      <alignment horizontal="center" vertical="center" wrapText="1"/>
    </xf>
    <xf numFmtId="0" fontId="12" fillId="18" borderId="3" xfId="0" applyFont="1" applyFill="1" applyBorder="1" applyAlignment="1">
      <alignment horizontal="center" vertical="center" wrapText="1"/>
    </xf>
    <xf numFmtId="0" fontId="12" fillId="18" borderId="4"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 fillId="18" borderId="5" xfId="0" applyFont="1" applyFill="1" applyBorder="1" applyAlignment="1">
      <alignment horizontal="left" vertical="center"/>
    </xf>
    <xf numFmtId="0" fontId="0" fillId="18" borderId="70" xfId="0" applyFill="1" applyBorder="1" applyAlignment="1">
      <alignment horizontal="left" vertical="center" wrapText="1"/>
    </xf>
    <xf numFmtId="0" fontId="0" fillId="18" borderId="0" xfId="0" applyFill="1" applyAlignment="1">
      <alignment horizontal="left" vertical="center" wrapText="1"/>
    </xf>
    <xf numFmtId="0" fontId="6" fillId="18" borderId="1" xfId="0" applyFont="1" applyFill="1" applyBorder="1" applyAlignment="1">
      <alignment horizontal="center"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38" fontId="6" fillId="18" borderId="1" xfId="0" applyNumberFormat="1" applyFont="1" applyFill="1" applyBorder="1" applyAlignment="1">
      <alignment horizontal="center" vertical="center"/>
    </xf>
    <xf numFmtId="38" fontId="6" fillId="18" borderId="2" xfId="0" applyNumberFormat="1" applyFont="1" applyFill="1" applyBorder="1" applyAlignment="1">
      <alignment horizontal="center" vertical="center"/>
    </xf>
    <xf numFmtId="38" fontId="6" fillId="18" borderId="3" xfId="0" applyNumberFormat="1" applyFont="1" applyFill="1" applyBorder="1" applyAlignment="1">
      <alignment horizontal="center" vertical="center"/>
    </xf>
    <xf numFmtId="38" fontId="6" fillId="18" borderId="4" xfId="0" applyNumberFormat="1" applyFont="1" applyFill="1" applyBorder="1" applyAlignment="1">
      <alignment horizontal="center" vertical="center"/>
    </xf>
    <xf numFmtId="0" fontId="12" fillId="18" borderId="2" xfId="0" applyFont="1" applyFill="1" applyBorder="1" applyAlignment="1">
      <alignment horizontal="left" vertical="center"/>
    </xf>
    <xf numFmtId="0" fontId="12" fillId="18" borderId="3" xfId="0" applyFont="1" applyFill="1" applyBorder="1" applyAlignment="1">
      <alignment horizontal="left" vertical="center"/>
    </xf>
    <xf numFmtId="0" fontId="12" fillId="18" borderId="4" xfId="0" applyFont="1" applyFill="1" applyBorder="1" applyAlignment="1">
      <alignment horizontal="left" vertical="center"/>
    </xf>
    <xf numFmtId="0" fontId="4" fillId="18" borderId="1" xfId="0" applyFont="1" applyFill="1" applyBorder="1" applyAlignment="1">
      <alignment horizontal="left" vertical="center" wrapText="1"/>
    </xf>
    <xf numFmtId="0" fontId="4" fillId="18" borderId="109" xfId="0" applyFont="1" applyFill="1" applyBorder="1" applyAlignment="1">
      <alignment horizontal="center" vertical="center" wrapText="1"/>
    </xf>
    <xf numFmtId="0" fontId="4" fillId="18" borderId="108" xfId="0" applyFont="1" applyFill="1" applyBorder="1" applyAlignment="1">
      <alignment horizontal="center" vertical="center" wrapText="1"/>
    </xf>
    <xf numFmtId="0" fontId="4" fillId="18" borderId="107" xfId="0" applyFont="1" applyFill="1" applyBorder="1" applyAlignment="1">
      <alignment horizontal="center" vertical="center" wrapText="1"/>
    </xf>
    <xf numFmtId="0" fontId="104" fillId="18" borderId="41" xfId="0" applyFont="1" applyFill="1" applyBorder="1" applyAlignment="1">
      <alignment horizontal="center" vertical="center" wrapText="1"/>
    </xf>
    <xf numFmtId="0" fontId="104" fillId="18" borderId="43" xfId="0" applyFont="1" applyFill="1" applyBorder="1" applyAlignment="1">
      <alignment horizontal="center" vertical="center" wrapText="1"/>
    </xf>
    <xf numFmtId="0" fontId="104" fillId="18" borderId="48" xfId="0" applyFont="1" applyFill="1" applyBorder="1" applyAlignment="1">
      <alignment horizontal="center" vertical="center" wrapText="1"/>
    </xf>
    <xf numFmtId="0" fontId="104" fillId="18" borderId="109" xfId="0" applyFont="1" applyFill="1" applyBorder="1" applyAlignment="1">
      <alignment horizontal="center" vertical="center" wrapText="1"/>
    </xf>
    <xf numFmtId="0" fontId="104" fillId="18" borderId="108" xfId="0" applyFont="1" applyFill="1" applyBorder="1" applyAlignment="1">
      <alignment horizontal="center" vertical="center" wrapText="1"/>
    </xf>
    <xf numFmtId="0" fontId="104" fillId="18" borderId="107" xfId="0" applyFont="1" applyFill="1" applyBorder="1" applyAlignment="1">
      <alignment horizontal="center" vertical="center" wrapText="1"/>
    </xf>
    <xf numFmtId="0" fontId="104" fillId="18" borderId="42" xfId="0" applyFont="1" applyFill="1" applyBorder="1" applyAlignment="1">
      <alignment horizontal="center" vertical="center" wrapText="1"/>
    </xf>
    <xf numFmtId="0" fontId="104" fillId="18" borderId="44" xfId="0" applyFont="1" applyFill="1" applyBorder="1" applyAlignment="1">
      <alignment horizontal="center" vertical="center" wrapText="1"/>
    </xf>
    <xf numFmtId="0" fontId="104" fillId="18" borderId="49" xfId="0" applyFont="1" applyFill="1" applyBorder="1" applyAlignment="1">
      <alignment horizontal="center" vertical="center" wrapText="1"/>
    </xf>
    <xf numFmtId="0" fontId="4" fillId="18" borderId="7" xfId="0" applyFont="1" applyFill="1" applyBorder="1" applyAlignment="1">
      <alignment horizontal="center" vertical="center"/>
    </xf>
    <xf numFmtId="0" fontId="4" fillId="18" borderId="8" xfId="0" applyFont="1" applyFill="1" applyBorder="1" applyAlignment="1">
      <alignment horizontal="center" vertical="center"/>
    </xf>
    <xf numFmtId="0" fontId="4" fillId="18" borderId="21" xfId="0" applyFont="1" applyFill="1" applyBorder="1" applyAlignment="1">
      <alignment horizontal="center" vertical="center"/>
    </xf>
    <xf numFmtId="0" fontId="4" fillId="18" borderId="22" xfId="0" applyFont="1" applyFill="1" applyBorder="1" applyAlignment="1">
      <alignment horizontal="center" vertical="center"/>
    </xf>
    <xf numFmtId="0" fontId="4" fillId="18" borderId="13"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4" fillId="18" borderId="18" xfId="0" applyFont="1" applyFill="1" applyBorder="1" applyAlignment="1">
      <alignment horizontal="center" vertical="center"/>
    </xf>
    <xf numFmtId="0" fontId="4" fillId="18" borderId="14" xfId="0" applyFont="1" applyFill="1" applyBorder="1" applyAlignment="1">
      <alignment horizontal="center" vertical="center"/>
    </xf>
    <xf numFmtId="0" fontId="4" fillId="18" borderId="97" xfId="0" applyFont="1" applyFill="1" applyBorder="1" applyAlignment="1">
      <alignment horizontal="center" vertical="center"/>
    </xf>
    <xf numFmtId="0" fontId="4" fillId="18" borderId="60" xfId="0" applyFont="1" applyFill="1" applyBorder="1" applyAlignment="1">
      <alignment horizontal="center" vertical="center"/>
    </xf>
    <xf numFmtId="0" fontId="4" fillId="18" borderId="7" xfId="0" applyFont="1" applyFill="1" applyBorder="1" applyAlignment="1">
      <alignment horizontal="center" vertical="center" wrapText="1"/>
    </xf>
    <xf numFmtId="0" fontId="4" fillId="18" borderId="15" xfId="0" applyFont="1" applyFill="1" applyBorder="1" applyAlignment="1">
      <alignment horizontal="center" vertical="center"/>
    </xf>
    <xf numFmtId="0" fontId="7" fillId="0" borderId="0" xfId="0" applyFont="1" applyBorder="1" applyAlignment="1">
      <alignment horizontal="center" vertical="center"/>
    </xf>
    <xf numFmtId="38" fontId="96" fillId="18" borderId="38" xfId="0" applyNumberFormat="1" applyFont="1" applyFill="1" applyBorder="1" applyAlignment="1">
      <alignment horizontal="center" vertical="center"/>
    </xf>
    <xf numFmtId="0" fontId="96" fillId="18" borderId="51" xfId="0" applyFont="1" applyFill="1" applyBorder="1" applyAlignment="1">
      <alignment horizontal="center" vertical="center"/>
    </xf>
    <xf numFmtId="0" fontId="96" fillId="18" borderId="52" xfId="0" applyFont="1" applyFill="1" applyBorder="1" applyAlignment="1">
      <alignment horizontal="center" vertical="center"/>
    </xf>
    <xf numFmtId="0" fontId="4" fillId="18" borderId="6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03" fillId="3" borderId="50" xfId="0" applyFont="1" applyFill="1" applyBorder="1" applyAlignment="1">
      <alignment horizontal="left" vertical="center"/>
    </xf>
    <xf numFmtId="0" fontId="103" fillId="3" borderId="51" xfId="0" applyFont="1" applyFill="1" applyBorder="1" applyAlignment="1">
      <alignment horizontal="left" vertical="center"/>
    </xf>
    <xf numFmtId="0" fontId="103" fillId="3" borderId="59" xfId="0" applyFont="1" applyFill="1" applyBorder="1" applyAlignment="1">
      <alignment horizontal="left" vertical="center"/>
    </xf>
    <xf numFmtId="0" fontId="102" fillId="0" borderId="0" xfId="0" applyFont="1" applyAlignment="1">
      <alignment horizontal="right" vertical="center"/>
    </xf>
    <xf numFmtId="0" fontId="102" fillId="20" borderId="50" xfId="0" applyFont="1" applyFill="1" applyBorder="1" applyAlignment="1">
      <alignment horizontal="left" vertical="center"/>
    </xf>
    <xf numFmtId="0" fontId="102" fillId="20"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03" fillId="19" borderId="41" xfId="0" applyFont="1" applyFill="1" applyBorder="1" applyAlignment="1">
      <alignment horizontal="center" vertical="center" wrapText="1"/>
    </xf>
    <xf numFmtId="0" fontId="103" fillId="19" borderId="42" xfId="0" applyFont="1" applyFill="1" applyBorder="1" applyAlignment="1">
      <alignment horizontal="center" vertical="center" wrapText="1"/>
    </xf>
    <xf numFmtId="0" fontId="103" fillId="19" borderId="43" xfId="0" applyFont="1" applyFill="1" applyBorder="1" applyAlignment="1">
      <alignment horizontal="center" vertical="center" wrapText="1"/>
    </xf>
    <xf numFmtId="0" fontId="103" fillId="19" borderId="44" xfId="0" applyFont="1" applyFill="1" applyBorder="1" applyAlignment="1">
      <alignment horizontal="center" vertical="center" wrapText="1"/>
    </xf>
    <xf numFmtId="0" fontId="103" fillId="19" borderId="48" xfId="0" applyFont="1" applyFill="1" applyBorder="1" applyAlignment="1">
      <alignment horizontal="center" vertical="center" wrapText="1"/>
    </xf>
    <xf numFmtId="0" fontId="103" fillId="19" borderId="49" xfId="0" applyFont="1" applyFill="1" applyBorder="1" applyAlignment="1">
      <alignment horizontal="center" vertical="center" wrapText="1"/>
    </xf>
    <xf numFmtId="0" fontId="102"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03" fillId="19" borderId="36" xfId="0" applyFont="1" applyFill="1" applyBorder="1" applyAlignment="1">
      <alignment horizontal="center" vertical="center"/>
    </xf>
    <xf numFmtId="0" fontId="103" fillId="19" borderId="37" xfId="0" applyFont="1" applyFill="1" applyBorder="1" applyAlignment="1">
      <alignment horizontal="center" vertical="center"/>
    </xf>
    <xf numFmtId="0" fontId="103" fillId="19" borderId="39" xfId="0" applyFont="1" applyFill="1" applyBorder="1" applyAlignment="1">
      <alignment horizontal="center" vertical="center"/>
    </xf>
  </cellXfs>
  <cellStyles count="17">
    <cellStyle name="ハイパーリンク" xfId="8" builtinId="8"/>
    <cellStyle name="桁区切り" xfId="1" builtinId="6"/>
    <cellStyle name="桁区切り 2" xfId="3" xr:uid="{00000000-0005-0000-0000-000002000000}"/>
    <cellStyle name="桁区切り 2 2" xfId="11" xr:uid="{00000000-0005-0000-0000-000003000000}"/>
    <cellStyle name="桁区切り 2 2 2" xfId="14" xr:uid="{39DFB257-9BB7-490B-B06F-069DB03D5701}"/>
    <cellStyle name="桁区切り 3" xfId="7" xr:uid="{00000000-0005-0000-0000-000004000000}"/>
    <cellStyle name="桁区切り 4" xfId="16" xr:uid="{8936CC35-B9A0-4C7F-884B-8140AB2E7E68}"/>
    <cellStyle name="通貨" xfId="9" builtinId="7"/>
    <cellStyle name="標準" xfId="0" builtinId="0"/>
    <cellStyle name="標準 2" xfId="2" xr:uid="{00000000-0005-0000-0000-000007000000}"/>
    <cellStyle name="標準 2 2" xfId="10" xr:uid="{00000000-0005-0000-0000-000008000000}"/>
    <cellStyle name="標準 2 2 2" xfId="15" xr:uid="{00B02046-8739-4546-A576-F18890A101AF}"/>
    <cellStyle name="標準 3" xfId="4" xr:uid="{00000000-0005-0000-0000-000009000000}"/>
    <cellStyle name="標準 4" xfId="5" xr:uid="{00000000-0005-0000-0000-00000A000000}"/>
    <cellStyle name="標準 5" xfId="12" xr:uid="{153152D6-AB15-4636-8094-C37071E930F1}"/>
    <cellStyle name="標準_Ｈ２４．８．１５地場センター様省エネ診断Ｎｏ２" xfId="13" xr:uid="{2C65D5A1-AFEC-45D1-82D8-A5E65126E751}"/>
    <cellStyle name="標準_負荷チェックシート（水谷修正）" xfId="6" xr:uid="{00000000-0005-0000-0000-00000B000000}"/>
  </cellStyles>
  <dxfs count="53">
    <dxf>
      <fill>
        <patternFill>
          <bgColor theme="9"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O$43" lockText="1" noThreeD="1"/>
</file>

<file path=xl/ctrlProps/ctrlProp2.xml><?xml version="1.0" encoding="utf-8"?>
<formControlPr xmlns="http://schemas.microsoft.com/office/spreadsheetml/2009/9/main" objectType="CheckBox" fmlaLink="$O$44" lockText="1" noThreeD="1"/>
</file>

<file path=xl/ctrlProps/ctrlProp3.xml><?xml version="1.0" encoding="utf-8"?>
<formControlPr xmlns="http://schemas.microsoft.com/office/spreadsheetml/2009/9/main" objectType="CheckBox" fmlaLink="$O$45" lockText="1" noThreeD="1"/>
</file>

<file path=xl/ctrlProps/ctrlProp4.xml><?xml version="1.0" encoding="utf-8"?>
<formControlPr xmlns="http://schemas.microsoft.com/office/spreadsheetml/2009/9/main" objectType="CheckBox" fmlaLink="$O$46" lockText="1" noThreeD="1"/>
</file>

<file path=xl/ctrlProps/ctrlProp5.xml><?xml version="1.0" encoding="utf-8"?>
<formControlPr xmlns="http://schemas.microsoft.com/office/spreadsheetml/2009/9/main" objectType="CheckBox" fmlaLink="$O$41" lockText="1" noThreeD="1"/>
</file>

<file path=xl/ctrlProps/ctrlProp6.xml><?xml version="1.0" encoding="utf-8"?>
<formControlPr xmlns="http://schemas.microsoft.com/office/spreadsheetml/2009/9/main" objectType="CheckBox" fmlaLink="$O$42" lockText="1" noThreeD="1"/>
</file>

<file path=xl/drawings/_rels/drawing10.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12504;&#12523;&#12503;!A5"/><Relationship Id="rId7"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hyperlink" Target="#&#20837;&#21147;!A69"/><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9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9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0E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0E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0E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0F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1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3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3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57150</xdr:colOff>
      <xdr:row>32</xdr:row>
      <xdr:rowOff>85725</xdr:rowOff>
    </xdr:from>
    <xdr:to>
      <xdr:col>39</xdr:col>
      <xdr:colOff>171450</xdr:colOff>
      <xdr:row>35</xdr:row>
      <xdr:rowOff>123826</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067425" y="8007350"/>
          <a:ext cx="1905000" cy="781051"/>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関係書類として、変更内容がわかる資料を添付してください</a:t>
          </a:r>
        </a:p>
      </xdr:txBody>
    </xdr:sp>
    <xdr:clientData/>
  </xdr:twoCellAnchor>
  <xdr:twoCellAnchor>
    <xdr:from>
      <xdr:col>35</xdr:col>
      <xdr:colOff>28575</xdr:colOff>
      <xdr:row>17</xdr:row>
      <xdr:rowOff>66675</xdr:rowOff>
    </xdr:from>
    <xdr:to>
      <xdr:col>39</xdr:col>
      <xdr:colOff>142875</xdr:colOff>
      <xdr:row>20</xdr:row>
      <xdr:rowOff>104776</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035675" y="4273550"/>
          <a:ext cx="1905000" cy="781051"/>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該当の項目を○で囲ってください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20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247650" y="9429750"/>
          <a:ext cx="5724525" cy="1666875"/>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200025</xdr:colOff>
      <xdr:row>14</xdr:row>
      <xdr:rowOff>19051</xdr:rowOff>
    </xdr:from>
    <xdr:to>
      <xdr:col>42</xdr:col>
      <xdr:colOff>1673679</xdr:colOff>
      <xdr:row>16</xdr:row>
      <xdr:rowOff>38100</xdr:rowOff>
    </xdr:to>
    <xdr:sp macro="" textlink="">
      <xdr:nvSpPr>
        <xdr:cNvPr id="3" name="四角形吹き出し 5">
          <a:extLst>
            <a:ext uri="{FF2B5EF4-FFF2-40B4-BE49-F238E27FC236}">
              <a16:creationId xmlns:a16="http://schemas.microsoft.com/office/drawing/2014/main" id="{00000000-0008-0000-0200-000003000000}"/>
            </a:ext>
          </a:extLst>
        </xdr:cNvPr>
        <xdr:cNvSpPr/>
      </xdr:nvSpPr>
      <xdr:spPr>
        <a:xfrm>
          <a:off x="6711950" y="3667126"/>
          <a:ext cx="5248729" cy="419099"/>
        </a:xfrm>
        <a:prstGeom prst="wedgeRectCallout">
          <a:avLst>
            <a:gd name="adj1" fmla="val -59376"/>
            <a:gd name="adj2" fmla="val -17187"/>
          </a:avLst>
        </a:prstGeom>
        <a:solidFill>
          <a:schemeClr val="accent2">
            <a:lumMod val="20000"/>
            <a:lumOff val="80000"/>
          </a:schemeClr>
        </a:solidFill>
        <a:ln w="28575">
          <a:solidFill>
            <a:srgbClr val="00B0F0"/>
          </a:solidFill>
        </a:ln>
      </xdr:spPr>
      <xdr:style>
        <a:lnRef idx="2">
          <a:schemeClr val="accent6"/>
        </a:lnRef>
        <a:fillRef idx="1">
          <a:schemeClr val="lt1"/>
        </a:fillRef>
        <a:effectRef idx="0">
          <a:schemeClr val="accent6"/>
        </a:effectRef>
        <a:fontRef idx="minor">
          <a:schemeClr val="dk1"/>
        </a:fontRef>
      </xdr:style>
      <xdr:txBody>
        <a:bodyPr wrap="square" rtlCol="0" anchor="t">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a:t>エネルギー使用量は</a:t>
          </a:r>
          <a:r>
            <a:rPr kumimoji="1" lang="ja-JP" altLang="en-US" sz="1400" u="none"/>
            <a:t>、</a:t>
          </a:r>
          <a:r>
            <a:rPr kumimoji="1" lang="ja-JP" altLang="en-US" sz="1400" u="sng"/>
            <a:t>「原油換算」シート</a:t>
          </a:r>
          <a:r>
            <a:rPr kumimoji="1" lang="ja-JP" altLang="en-US" sz="1400" u="none"/>
            <a:t>に</a:t>
          </a:r>
          <a:r>
            <a:rPr kumimoji="1" lang="ja-JP" altLang="en-US" sz="1400"/>
            <a:t>数値を記入してください。</a:t>
          </a:r>
          <a:endParaRPr kumimoji="1" lang="en-US" altLang="ja-JP" sz="1400"/>
        </a:p>
        <a:p>
          <a:pPr algn="l"/>
          <a:endParaRPr kumimoji="1" lang="en-US" altLang="ja-JP" sz="1400"/>
        </a:p>
        <a:p>
          <a:pPr algn="l"/>
          <a:r>
            <a:rPr kumimoji="1" lang="ja-JP" altLang="en-US" sz="1400"/>
            <a:t>　</a:t>
          </a:r>
          <a:endParaRPr kumimoji="1" lang="en-US" altLang="ja-JP" sz="14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8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8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8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8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8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8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8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8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8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8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34</xdr:col>
      <xdr:colOff>0</xdr:colOff>
      <xdr:row>19</xdr:row>
      <xdr:rowOff>165100</xdr:rowOff>
    </xdr:from>
    <xdr:to>
      <xdr:col>45</xdr:col>
      <xdr:colOff>177876</xdr:colOff>
      <xdr:row>26</xdr:row>
      <xdr:rowOff>25652</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235700" y="4546600"/>
          <a:ext cx="4159513" cy="1482977"/>
        </a:xfrm>
        <a:prstGeom prst="rect">
          <a:avLst/>
        </a:prstGeom>
      </xdr:spPr>
    </xdr:pic>
    <xdr:clientData/>
  </xdr:twoCellAnchor>
  <xdr:twoCellAnchor editAs="oneCell">
    <xdr:from>
      <xdr:col>39</xdr:col>
      <xdr:colOff>260350</xdr:colOff>
      <xdr:row>28</xdr:row>
      <xdr:rowOff>63500</xdr:rowOff>
    </xdr:from>
    <xdr:to>
      <xdr:col>47</xdr:col>
      <xdr:colOff>276195</xdr:colOff>
      <xdr:row>43</xdr:row>
      <xdr:rowOff>1118</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a:off x="6496050" y="6197600"/>
          <a:ext cx="5041869" cy="3420406"/>
        </a:xfrm>
        <a:prstGeom prst="rect">
          <a:avLst/>
        </a:prstGeom>
      </xdr:spPr>
    </xdr:pic>
    <xdr:clientData/>
  </xdr:twoCellAnchor>
  <xdr:twoCellAnchor editAs="oneCell">
    <xdr:from>
      <xdr:col>40</xdr:col>
      <xdr:colOff>69850</xdr:colOff>
      <xdr:row>37</xdr:row>
      <xdr:rowOff>226143</xdr:rowOff>
    </xdr:from>
    <xdr:to>
      <xdr:col>47</xdr:col>
      <xdr:colOff>196852</xdr:colOff>
      <xdr:row>41</xdr:row>
      <xdr:rowOff>87774</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6934200" y="8112843"/>
          <a:ext cx="4530726" cy="887156"/>
        </a:xfrm>
        <a:prstGeom prst="rect">
          <a:avLst/>
        </a:prstGeom>
      </xdr:spPr>
    </xdr:pic>
    <xdr:clientData/>
  </xdr:twoCellAnchor>
  <xdr:twoCellAnchor editAs="oneCell">
    <xdr:from>
      <xdr:col>33</xdr:col>
      <xdr:colOff>177801</xdr:colOff>
      <xdr:row>2</xdr:row>
      <xdr:rowOff>20494</xdr:rowOff>
    </xdr:from>
    <xdr:to>
      <xdr:col>46</xdr:col>
      <xdr:colOff>353174</xdr:colOff>
      <xdr:row>12</xdr:row>
      <xdr:rowOff>67458</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6229351" y="464994"/>
          <a:ext cx="5105400" cy="20440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4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81668</xdr:rowOff>
    </xdr:to>
    <xdr:pic>
      <xdr:nvPicPr>
        <xdr:cNvPr id="10" name="図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5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5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5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500-00003B000000}"/>
            </a:ext>
          </a:extLst>
        </xdr:cNvPr>
        <xdr:cNvGrpSpPr/>
      </xdr:nvGrpSpPr>
      <xdr:grpSpPr>
        <a:xfrm>
          <a:off x="2714136" y="6579090"/>
          <a:ext cx="2170723" cy="2261086"/>
          <a:chOff x="2952749" y="6479688"/>
          <a:chExt cx="2351943" cy="2283311"/>
        </a:xfrm>
      </xdr:grpSpPr>
      <xdr:grpSp>
        <xdr:nvGrpSpPr>
          <xdr:cNvPr id="58" name="グループ化 57">
            <a:extLst>
              <a:ext uri="{FF2B5EF4-FFF2-40B4-BE49-F238E27FC236}">
                <a16:creationId xmlns:a16="http://schemas.microsoft.com/office/drawing/2014/main" id="{00000000-0008-0000-05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5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5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5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5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5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5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5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500-00003F000000}"/>
            </a:ext>
          </a:extLst>
        </xdr:cNvPr>
        <xdr:cNvGrpSpPr/>
      </xdr:nvGrpSpPr>
      <xdr:grpSpPr>
        <a:xfrm>
          <a:off x="4870205" y="6631693"/>
          <a:ext cx="2242824" cy="2199151"/>
          <a:chOff x="5450608" y="6529116"/>
          <a:chExt cx="2528708" cy="2227726"/>
        </a:xfrm>
      </xdr:grpSpPr>
      <xdr:grpSp>
        <xdr:nvGrpSpPr>
          <xdr:cNvPr id="57" name="グループ化 56">
            <a:extLst>
              <a:ext uri="{FF2B5EF4-FFF2-40B4-BE49-F238E27FC236}">
                <a16:creationId xmlns:a16="http://schemas.microsoft.com/office/drawing/2014/main" id="{00000000-0008-0000-05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5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5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5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5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5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5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198605</xdr:colOff>
      <xdr:row>84</xdr:row>
      <xdr:rowOff>228492</xdr:rowOff>
    </xdr:to>
    <xdr:pic>
      <xdr:nvPicPr>
        <xdr:cNvPr id="19" name="図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161519</xdr:colOff>
      <xdr:row>105</xdr:row>
      <xdr:rowOff>134002</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5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5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5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5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5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5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5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5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5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5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5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5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5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5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5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5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5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5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50447</xdr:rowOff>
    </xdr:to>
    <xdr:pic>
      <xdr:nvPicPr>
        <xdr:cNvPr id="51" name="図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255515</xdr:colOff>
      <xdr:row>74</xdr:row>
      <xdr:rowOff>153696</xdr:rowOff>
    </xdr:to>
    <xdr:pic>
      <xdr:nvPicPr>
        <xdr:cNvPr id="52" name="図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220371</xdr:rowOff>
    </xdr:to>
    <xdr:pic>
      <xdr:nvPicPr>
        <xdr:cNvPr id="82" name="図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101600</xdr:rowOff>
    </xdr:to>
    <xdr:pic>
      <xdr:nvPicPr>
        <xdr:cNvPr id="54" name="図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238125</xdr:colOff>
      <xdr:row>145</xdr:row>
      <xdr:rowOff>57151</xdr:rowOff>
    </xdr:to>
    <xdr:pic>
      <xdr:nvPicPr>
        <xdr:cNvPr id="73" name="図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twoCellAnchor>
    <xdr:from>
      <xdr:col>21</xdr:col>
      <xdr:colOff>141515</xdr:colOff>
      <xdr:row>121</xdr:row>
      <xdr:rowOff>130629</xdr:rowOff>
    </xdr:from>
    <xdr:to>
      <xdr:col>25</xdr:col>
      <xdr:colOff>3630</xdr:colOff>
      <xdr:row>126</xdr:row>
      <xdr:rowOff>174385</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10352315" y="23023287"/>
          <a:ext cx="2431143" cy="969040"/>
        </a:xfrm>
        <a:prstGeom prst="wedgeRectCallout">
          <a:avLst>
            <a:gd name="adj1" fmla="val -4063"/>
            <a:gd name="adj2" fmla="val -125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2023</a:t>
          </a:r>
          <a:r>
            <a:rPr kumimoji="1" lang="ja-JP" altLang="en-US" sz="1100">
              <a:solidFill>
                <a:srgbClr val="FF0000"/>
              </a:solidFill>
            </a:rPr>
            <a:t>年</a:t>
          </a:r>
          <a:r>
            <a:rPr kumimoji="1" lang="en-US" altLang="ja-JP" sz="1100">
              <a:solidFill>
                <a:srgbClr val="FF0000"/>
              </a:solidFill>
            </a:rPr>
            <a:t>6</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twoCellAnchor>
    <xdr:from>
      <xdr:col>25</xdr:col>
      <xdr:colOff>576943</xdr:colOff>
      <xdr:row>122</xdr:row>
      <xdr:rowOff>87087</xdr:rowOff>
    </xdr:from>
    <xdr:to>
      <xdr:col>29</xdr:col>
      <xdr:colOff>439057</xdr:colOff>
      <xdr:row>127</xdr:row>
      <xdr:rowOff>129774</xdr:rowOff>
    </xdr:to>
    <xdr:sp macro="" textlink="">
      <xdr:nvSpPr>
        <xdr:cNvPr id="4" name="吹き出し: 四角形 3">
          <a:extLst>
            <a:ext uri="{FF2B5EF4-FFF2-40B4-BE49-F238E27FC236}">
              <a16:creationId xmlns:a16="http://schemas.microsoft.com/office/drawing/2014/main" id="{00000000-0008-0000-0600-000004000000}"/>
            </a:ext>
          </a:extLst>
        </xdr:cNvPr>
        <xdr:cNvSpPr/>
      </xdr:nvSpPr>
      <xdr:spPr>
        <a:xfrm>
          <a:off x="13356771" y="23164801"/>
          <a:ext cx="2431144" cy="967973"/>
        </a:xfrm>
        <a:prstGeom prst="wedgeRectCallout">
          <a:avLst>
            <a:gd name="adj1" fmla="val -53442"/>
            <a:gd name="adj2" fmla="val -12134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2023</a:t>
          </a:r>
          <a:r>
            <a:rPr kumimoji="1" lang="ja-JP" altLang="en-US" sz="1100">
              <a:solidFill>
                <a:srgbClr val="FF0000"/>
              </a:solidFill>
            </a:rPr>
            <a:t>年</a:t>
          </a:r>
          <a:r>
            <a:rPr kumimoji="1" lang="en-US" altLang="ja-JP" sz="1100">
              <a:solidFill>
                <a:srgbClr val="FF0000"/>
              </a:solidFill>
            </a:rPr>
            <a:t>6</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日「屋根断熱」欄と「外壁断熱」欄を追加、入力シートのそれぞれの該当項目の数値が入るように修正した。瀬尾</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31750</xdr:colOff>
      <xdr:row>7</xdr:row>
      <xdr:rowOff>298450</xdr:rowOff>
    </xdr:from>
    <xdr:to>
      <xdr:col>6</xdr:col>
      <xdr:colOff>444500</xdr:colOff>
      <xdr:row>36</xdr:row>
      <xdr:rowOff>38100</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638300" y="1762125"/>
          <a:ext cx="1076325" cy="343852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xdr:col>
      <xdr:colOff>260351</xdr:colOff>
      <xdr:row>38</xdr:row>
      <xdr:rowOff>3175</xdr:rowOff>
    </xdr:from>
    <xdr:to>
      <xdr:col>13</xdr:col>
      <xdr:colOff>552451</xdr:colOff>
      <xdr:row>43</xdr:row>
      <xdr:rowOff>10702</xdr:rowOff>
    </xdr:to>
    <xdr:sp macro="" textlink="">
      <xdr:nvSpPr>
        <xdr:cNvPr id="3" name="吹き出し: 角を丸めた四角形 2">
          <a:extLst>
            <a:ext uri="{FF2B5EF4-FFF2-40B4-BE49-F238E27FC236}">
              <a16:creationId xmlns:a16="http://schemas.microsoft.com/office/drawing/2014/main" id="{00000000-0008-0000-0700-000003000000}"/>
            </a:ext>
          </a:extLst>
        </xdr:cNvPr>
        <xdr:cNvSpPr/>
      </xdr:nvSpPr>
      <xdr:spPr>
        <a:xfrm>
          <a:off x="1190626" y="5645150"/>
          <a:ext cx="5353050" cy="1144177"/>
        </a:xfrm>
        <a:prstGeom prst="wedgeRoundRectCallout">
          <a:avLst>
            <a:gd name="adj1" fmla="val -35711"/>
            <a:gd name="adj2" fmla="val -83211"/>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赤枠内の数値のみ入力！</a:t>
          </a:r>
          <a:endParaRPr kumimoji="1" lang="en-US" altLang="ja-JP" sz="1200" b="1">
            <a:solidFill>
              <a:srgbClr val="FF0000"/>
            </a:solidFill>
          </a:endParaRPr>
        </a:p>
        <a:p>
          <a:pPr algn="l"/>
          <a:r>
            <a:rPr kumimoji="1" lang="ja-JP" altLang="en-US" sz="1200" b="1">
              <a:solidFill>
                <a:srgbClr val="FF0000"/>
              </a:solidFill>
            </a:rPr>
            <a:t>　なお、電気欄の単位は「千</a:t>
          </a:r>
          <a:r>
            <a:rPr kumimoji="1" lang="en-US" altLang="ja-JP" sz="1200" b="1">
              <a:solidFill>
                <a:srgbClr val="FF0000"/>
              </a:solidFill>
            </a:rPr>
            <a:t>kWh</a:t>
          </a:r>
          <a:r>
            <a:rPr kumimoji="1" lang="ja-JP" altLang="en-US" sz="1200" b="1">
              <a:solidFill>
                <a:srgbClr val="FF0000"/>
              </a:solidFill>
            </a:rPr>
            <a:t>」のため入力時にはご注意ください。</a:t>
          </a:r>
          <a:endParaRPr kumimoji="1" lang="en-US" altLang="ja-JP" sz="1200" b="1">
            <a:solidFill>
              <a:srgbClr val="FF0000"/>
            </a:solidFill>
          </a:endParaRPr>
        </a:p>
        <a:p>
          <a:pPr algn="l"/>
          <a:r>
            <a:rPr kumimoji="1" lang="ja-JP" altLang="en-US" sz="1200"/>
            <a:t>エネルギー使用料（原油換算値）や</a:t>
          </a:r>
          <a:r>
            <a:rPr kumimoji="1" lang="en-US" altLang="ja-JP" sz="1200"/>
            <a:t>CO2</a:t>
          </a:r>
          <a:r>
            <a:rPr kumimoji="1" lang="ja-JP" altLang="en-US" sz="1200"/>
            <a:t>排出量を確認したい事業所の</a:t>
          </a:r>
          <a:endParaRPr kumimoji="1" lang="en-US" altLang="ja-JP" sz="1200"/>
        </a:p>
        <a:p>
          <a:pPr algn="l"/>
          <a:r>
            <a:rPr kumimoji="1" lang="ja-JP" altLang="en-US" sz="1200"/>
            <a:t>年間エネルギー使用量を種類と単位をご確認のうえで入力してください。</a:t>
          </a:r>
        </a:p>
      </xdr:txBody>
    </xdr:sp>
    <xdr:clientData/>
  </xdr:twoCellAnchor>
  <xdr:twoCellAnchor>
    <xdr:from>
      <xdr:col>15</xdr:col>
      <xdr:colOff>357187</xdr:colOff>
      <xdr:row>6</xdr:row>
      <xdr:rowOff>190500</xdr:rowOff>
    </xdr:from>
    <xdr:to>
      <xdr:col>18</xdr:col>
      <xdr:colOff>361950</xdr:colOff>
      <xdr:row>11</xdr:row>
      <xdr:rowOff>178594</xdr:rowOff>
    </xdr:to>
    <xdr:sp macro="" textlink="">
      <xdr:nvSpPr>
        <xdr:cNvPr id="4" name="吹き出し: 角を丸めた四角形 3">
          <a:extLst>
            <a:ext uri="{FF2B5EF4-FFF2-40B4-BE49-F238E27FC236}">
              <a16:creationId xmlns:a16="http://schemas.microsoft.com/office/drawing/2014/main" id="{00000000-0008-0000-0700-000004000000}"/>
            </a:ext>
          </a:extLst>
        </xdr:cNvPr>
        <xdr:cNvSpPr/>
      </xdr:nvSpPr>
      <xdr:spPr>
        <a:xfrm>
          <a:off x="7850187" y="1352550"/>
          <a:ext cx="1893888" cy="1000919"/>
        </a:xfrm>
        <a:prstGeom prst="wedgeRoundRectCallout">
          <a:avLst>
            <a:gd name="adj1" fmla="val -58151"/>
            <a:gd name="adj2" fmla="val 2207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請求書等で令和４年度のエネルギー使用量を確認し、数値を入力してください。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8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8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1162049" y="2886075"/>
          <a:ext cx="2054969" cy="561972"/>
          <a:chOff x="1039450" y="3209020"/>
          <a:chExt cx="1752362" cy="449991"/>
        </a:xfrm>
      </xdr:grpSpPr>
      <xdr:sp macro="" textlink="">
        <xdr:nvSpPr>
          <xdr:cNvPr id="5" name="正方形/長方形 4">
            <a:extLst>
              <a:ext uri="{FF2B5EF4-FFF2-40B4-BE49-F238E27FC236}">
                <a16:creationId xmlns:a16="http://schemas.microsoft.com/office/drawing/2014/main" id="{00000000-0008-0000-08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1790700" y="5267325"/>
          <a:ext cx="828675" cy="1647825"/>
          <a:chOff x="3651250" y="2851150"/>
          <a:chExt cx="831850" cy="1631950"/>
        </a:xfrm>
      </xdr:grpSpPr>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1323975" y="8496300"/>
          <a:ext cx="573244" cy="1123150"/>
          <a:chOff x="1270000" y="5746750"/>
          <a:chExt cx="576000" cy="1123150"/>
        </a:xfrm>
      </xdr:grpSpPr>
      <xdr:cxnSp macro="">
        <xdr:nvCxnSpPr>
          <xdr:cNvPr id="12" name="直線矢印コネクタ 11">
            <a:extLst>
              <a:ext uri="{FF2B5EF4-FFF2-40B4-BE49-F238E27FC236}">
                <a16:creationId xmlns:a16="http://schemas.microsoft.com/office/drawing/2014/main" id="{00000000-0008-0000-08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8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8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8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8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8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8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929/AppData/Local/Temp/MicrosoftEdgeDownloads/a7422a6e-5a9c-4ae2-a10d-b6c6aef3c1ac/shinseisho_1-1_kinkyutaisaku2_0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交付申請書"/>
      <sheetName val="事業実施者・事業内容"/>
      <sheetName val="事業費内訳"/>
      <sheetName val="ボイラ排出量算定（追加)"/>
      <sheetName val="Sheet1"/>
      <sheetName val="導入設備詳細"/>
      <sheetName val="省エネ計画書"/>
      <sheetName val="CO2換算シート"/>
      <sheetName val="現況写真"/>
      <sheetName val="事業費内訳 (記入例)"/>
      <sheetName val="省エネ計画書 (記入例)"/>
    </sheetNames>
    <sheetDataSet>
      <sheetData sheetId="0"/>
      <sheetData sheetId="1">
        <row r="75">
          <cell r="A75" t="str">
            <v>農業・林業</v>
          </cell>
          <cell r="B75" t="str">
            <v>漁業</v>
          </cell>
          <cell r="C75" t="str">
            <v>鉱業・採石業・砂利採取業</v>
          </cell>
          <cell r="D75" t="str">
            <v>建設業</v>
          </cell>
          <cell r="E75" t="str">
            <v>製造業</v>
          </cell>
          <cell r="F75" t="str">
            <v>電気・ガス・熱供給・水道業</v>
          </cell>
          <cell r="G75" t="str">
            <v>情報通信業</v>
          </cell>
          <cell r="H75" t="str">
            <v>運輸業・郵便業</v>
          </cell>
          <cell r="I75" t="str">
            <v>卸売業・小売業</v>
          </cell>
          <cell r="J75" t="str">
            <v>金融業・保険業</v>
          </cell>
          <cell r="K75" t="str">
            <v>不動産業・物品賃貸業</v>
          </cell>
          <cell r="L75" t="str">
            <v>学術研究・専門・技術サービス業</v>
          </cell>
          <cell r="M75" t="str">
            <v>宿泊業・飲食サービス業</v>
          </cell>
          <cell r="N75" t="str">
            <v>生活関連サービス業・娯楽業</v>
          </cell>
          <cell r="O75" t="str">
            <v>教育・学習支援業</v>
          </cell>
          <cell r="P75" t="str">
            <v>医療・福祉</v>
          </cell>
          <cell r="Q75" t="str">
            <v>複合サービス事業</v>
          </cell>
          <cell r="R75" t="str">
            <v>サービス業</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204" t="s">
        <v>240</v>
      </c>
      <c r="B1" s="1204"/>
      <c r="C1" s="1204"/>
      <c r="D1" s="1204"/>
      <c r="E1" s="1204"/>
      <c r="F1" s="1204"/>
      <c r="G1" s="1204"/>
      <c r="H1" s="1204"/>
      <c r="I1" s="1204"/>
      <c r="J1" s="1204"/>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205" t="s">
        <v>398</v>
      </c>
      <c r="C8" s="1205"/>
      <c r="D8" s="1205"/>
    </row>
    <row r="9" spans="1:11">
      <c r="B9" s="4" t="s">
        <v>185</v>
      </c>
      <c r="C9" s="4" t="s">
        <v>50</v>
      </c>
      <c r="D9" s="4" t="s">
        <v>186</v>
      </c>
    </row>
    <row r="10" spans="1:11">
      <c r="B10" s="4" t="s">
        <v>61</v>
      </c>
      <c r="C10" s="4" t="s">
        <v>10</v>
      </c>
      <c r="D10" s="14">
        <v>100</v>
      </c>
      <c r="G10" s="22" t="s">
        <v>63</v>
      </c>
    </row>
    <row r="11" spans="1:11">
      <c r="B11" s="1206" t="s">
        <v>62</v>
      </c>
      <c r="C11" s="4" t="s">
        <v>63</v>
      </c>
      <c r="D11" s="14">
        <v>10</v>
      </c>
      <c r="F11" s="1" t="s">
        <v>70</v>
      </c>
      <c r="I11" s="1" t="s">
        <v>64</v>
      </c>
    </row>
    <row r="12" spans="1:11">
      <c r="B12" s="1206"/>
      <c r="C12" s="4" t="s">
        <v>64</v>
      </c>
      <c r="D12" s="14">
        <v>10</v>
      </c>
    </row>
    <row r="13" spans="1:11">
      <c r="B13" s="1206"/>
      <c r="C13" s="4" t="s">
        <v>65</v>
      </c>
      <c r="D13" s="14">
        <v>10</v>
      </c>
    </row>
    <row r="14" spans="1:11">
      <c r="B14" s="1206"/>
      <c r="C14" s="4" t="s">
        <v>66</v>
      </c>
      <c r="D14" s="14">
        <v>10</v>
      </c>
    </row>
    <row r="15" spans="1:11">
      <c r="B15" s="1206"/>
      <c r="C15" s="4" t="s">
        <v>67</v>
      </c>
      <c r="D15" s="14">
        <v>10</v>
      </c>
    </row>
    <row r="16" spans="1:11">
      <c r="B16" s="1206"/>
      <c r="C16" s="4" t="s">
        <v>68</v>
      </c>
      <c r="D16" s="14">
        <v>10</v>
      </c>
    </row>
    <row r="17" spans="2:10">
      <c r="B17" s="1206"/>
      <c r="C17" s="4" t="s">
        <v>69</v>
      </c>
      <c r="D17" s="14">
        <v>10</v>
      </c>
      <c r="E17" s="83" t="s">
        <v>69</v>
      </c>
      <c r="J17" s="1" t="s">
        <v>65</v>
      </c>
    </row>
    <row r="18" spans="2:10">
      <c r="B18" s="1206"/>
      <c r="C18" s="4" t="s">
        <v>70</v>
      </c>
      <c r="D18" s="14">
        <v>10</v>
      </c>
    </row>
    <row r="19" spans="2:10">
      <c r="B19" s="1206" t="s">
        <v>71</v>
      </c>
      <c r="C19" s="4" t="s">
        <v>63</v>
      </c>
      <c r="D19" s="14">
        <v>10</v>
      </c>
    </row>
    <row r="20" spans="2:10">
      <c r="B20" s="1206"/>
      <c r="C20" s="4" t="s">
        <v>64</v>
      </c>
      <c r="D20" s="14">
        <v>10</v>
      </c>
    </row>
    <row r="21" spans="2:10">
      <c r="B21" s="1206"/>
      <c r="C21" s="4" t="s">
        <v>65</v>
      </c>
      <c r="D21" s="14">
        <v>10</v>
      </c>
    </row>
    <row r="22" spans="2:10">
      <c r="B22" s="1206"/>
      <c r="C22" s="4" t="s">
        <v>66</v>
      </c>
      <c r="D22" s="14">
        <v>10</v>
      </c>
    </row>
    <row r="23" spans="2:10">
      <c r="B23" s="1206"/>
      <c r="C23" s="4" t="s">
        <v>67</v>
      </c>
      <c r="D23" s="14">
        <v>10</v>
      </c>
    </row>
    <row r="24" spans="2:10">
      <c r="B24" s="1206"/>
      <c r="C24" s="4" t="s">
        <v>68</v>
      </c>
      <c r="D24" s="14">
        <v>10</v>
      </c>
      <c r="F24" s="1" t="s">
        <v>68</v>
      </c>
      <c r="I24" s="1" t="s">
        <v>66</v>
      </c>
    </row>
    <row r="25" spans="2:10">
      <c r="B25" s="1206"/>
      <c r="C25" s="4" t="s">
        <v>69</v>
      </c>
      <c r="D25" s="14">
        <v>10</v>
      </c>
    </row>
    <row r="26" spans="2:10" ht="13.5" thickBot="1">
      <c r="B26" s="1206"/>
      <c r="C26" s="4" t="s">
        <v>70</v>
      </c>
      <c r="D26" s="14">
        <v>10</v>
      </c>
      <c r="G26" s="22" t="s">
        <v>67</v>
      </c>
    </row>
    <row r="27" spans="2:10" ht="13.5" thickBot="1">
      <c r="F27" s="1207" t="s">
        <v>359</v>
      </c>
      <c r="G27" s="1208"/>
      <c r="H27" s="1208"/>
      <c r="I27" s="1209"/>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207" t="s">
        <v>360</v>
      </c>
      <c r="G44" s="1208"/>
      <c r="H44" s="1208"/>
      <c r="I44" s="1209"/>
    </row>
    <row r="45" spans="1:10">
      <c r="A45" s="81">
        <v>2</v>
      </c>
      <c r="B45" s="81" t="s">
        <v>242</v>
      </c>
      <c r="F45" s="22"/>
      <c r="G45" s="22"/>
      <c r="H45" s="22"/>
      <c r="I45" s="22"/>
    </row>
    <row r="46" spans="1:10">
      <c r="B46" s="1" t="s">
        <v>244</v>
      </c>
      <c r="F46" s="22"/>
      <c r="G46" s="22"/>
      <c r="H46" s="22"/>
      <c r="I46" s="22"/>
    </row>
    <row r="47" spans="1:10">
      <c r="B47" s="1205" t="s">
        <v>399</v>
      </c>
      <c r="C47" s="1205"/>
      <c r="D47" s="1205"/>
      <c r="E47" s="1205"/>
      <c r="F47" s="22"/>
      <c r="G47" s="22"/>
      <c r="H47" s="22"/>
      <c r="I47" s="22"/>
    </row>
    <row r="48" spans="1:10">
      <c r="B48" s="8" t="s">
        <v>243</v>
      </c>
      <c r="C48" s="1210">
        <v>2000000</v>
      </c>
      <c r="D48" s="1210"/>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205" t="s">
        <v>592</v>
      </c>
      <c r="C54" s="1205"/>
      <c r="D54" s="1205"/>
      <c r="E54" s="1205"/>
    </row>
    <row r="55" spans="1:10">
      <c r="B55" s="8" t="s">
        <v>192</v>
      </c>
      <c r="C55" s="211">
        <f>温度条件他根拠!D70</f>
        <v>3.91</v>
      </c>
      <c r="D55" s="9" t="s">
        <v>57</v>
      </c>
      <c r="E55" s="11"/>
    </row>
    <row r="56" spans="1:10">
      <c r="B56" s="1" t="s">
        <v>228</v>
      </c>
    </row>
    <row r="57" spans="1:10">
      <c r="B57" s="82" t="s">
        <v>230</v>
      </c>
    </row>
    <row r="58" spans="1:10">
      <c r="B58" s="1205" t="s">
        <v>593</v>
      </c>
      <c r="C58" s="1205"/>
      <c r="D58" s="1205"/>
      <c r="E58" s="1205"/>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211" t="s">
        <v>591</v>
      </c>
      <c r="C64" s="1211"/>
      <c r="D64" s="1211"/>
      <c r="E64" s="1211"/>
      <c r="G64" s="1203" t="s">
        <v>401</v>
      </c>
      <c r="H64" s="1203"/>
      <c r="I64" s="1203"/>
    </row>
    <row r="65" spans="2:11" ht="13.5" thickBot="1">
      <c r="B65" s="126" t="s">
        <v>226</v>
      </c>
      <c r="C65" s="141" t="s">
        <v>50</v>
      </c>
      <c r="D65" s="1213" t="s">
        <v>52</v>
      </c>
      <c r="E65" s="1209"/>
      <c r="G65" s="216" t="s">
        <v>226</v>
      </c>
      <c r="H65" s="217" t="s">
        <v>50</v>
      </c>
      <c r="I65" s="218" t="s">
        <v>52</v>
      </c>
      <c r="J65" s="88"/>
    </row>
    <row r="66" spans="2:11">
      <c r="B66" s="1214" t="s">
        <v>62</v>
      </c>
      <c r="C66" s="29" t="s">
        <v>63</v>
      </c>
      <c r="D66" s="260">
        <f>温度条件他根拠!D71</f>
        <v>1.18</v>
      </c>
      <c r="E66" s="261" t="s">
        <v>57</v>
      </c>
      <c r="G66" s="1217" t="s">
        <v>62</v>
      </c>
      <c r="H66" s="219" t="s">
        <v>63</v>
      </c>
      <c r="I66" s="220">
        <v>1.18</v>
      </c>
      <c r="J66" s="88" t="s">
        <v>234</v>
      </c>
    </row>
    <row r="67" spans="2:11">
      <c r="B67" s="1215"/>
      <c r="C67" s="4" t="s">
        <v>64</v>
      </c>
      <c r="D67" s="256">
        <f>温度条件他根拠!$D$71</f>
        <v>1.18</v>
      </c>
      <c r="E67" s="257" t="s">
        <v>57</v>
      </c>
      <c r="G67" s="1218"/>
      <c r="H67" s="221" t="s">
        <v>64</v>
      </c>
      <c r="I67" s="222">
        <v>0.8</v>
      </c>
      <c r="J67" s="223" t="s">
        <v>236</v>
      </c>
    </row>
    <row r="68" spans="2:11">
      <c r="B68" s="1215"/>
      <c r="C68" s="4" t="s">
        <v>65</v>
      </c>
      <c r="D68" s="256">
        <f>温度条件他根拠!$D$71</f>
        <v>1.18</v>
      </c>
      <c r="E68" s="257" t="s">
        <v>400</v>
      </c>
      <c r="G68" s="1218"/>
      <c r="H68" s="221" t="s">
        <v>65</v>
      </c>
      <c r="I68" s="222">
        <v>0.8</v>
      </c>
      <c r="J68" s="223" t="s">
        <v>236</v>
      </c>
    </row>
    <row r="69" spans="2:11">
      <c r="B69" s="1215"/>
      <c r="C69" s="4" t="s">
        <v>66</v>
      </c>
      <c r="D69" s="256">
        <f>温度条件他根拠!$D$71</f>
        <v>1.18</v>
      </c>
      <c r="E69" s="257" t="s">
        <v>400</v>
      </c>
      <c r="G69" s="1218"/>
      <c r="H69" s="221" t="s">
        <v>66</v>
      </c>
      <c r="I69" s="222">
        <v>0.8</v>
      </c>
      <c r="J69" s="223" t="s">
        <v>236</v>
      </c>
    </row>
    <row r="70" spans="2:11">
      <c r="B70" s="1215"/>
      <c r="C70" s="4" t="s">
        <v>67</v>
      </c>
      <c r="D70" s="256">
        <f>温度条件他根拠!$D$71</f>
        <v>1.18</v>
      </c>
      <c r="E70" s="257" t="s">
        <v>400</v>
      </c>
      <c r="G70" s="1218"/>
      <c r="H70" s="21" t="s">
        <v>67</v>
      </c>
      <c r="I70" s="224">
        <v>1.18</v>
      </c>
      <c r="J70" s="88" t="s">
        <v>234</v>
      </c>
    </row>
    <row r="71" spans="2:11">
      <c r="B71" s="1215"/>
      <c r="C71" s="4" t="s">
        <v>68</v>
      </c>
      <c r="D71" s="256">
        <f>温度条件他根拠!$D$71</f>
        <v>1.18</v>
      </c>
      <c r="E71" s="257" t="s">
        <v>400</v>
      </c>
      <c r="G71" s="1218"/>
      <c r="H71" s="21" t="s">
        <v>68</v>
      </c>
      <c r="I71" s="224">
        <v>1.18</v>
      </c>
      <c r="J71" s="88" t="s">
        <v>234</v>
      </c>
    </row>
    <row r="72" spans="2:11">
      <c r="B72" s="1215"/>
      <c r="C72" s="4" t="s">
        <v>69</v>
      </c>
      <c r="D72" s="256">
        <f>温度条件他根拠!$D$71</f>
        <v>1.18</v>
      </c>
      <c r="E72" s="257" t="s">
        <v>400</v>
      </c>
      <c r="G72" s="1218"/>
      <c r="H72" s="21" t="s">
        <v>69</v>
      </c>
      <c r="I72" s="224">
        <v>1.18</v>
      </c>
      <c r="J72" s="88" t="s">
        <v>234</v>
      </c>
    </row>
    <row r="73" spans="2:11" ht="13.5" thickBot="1">
      <c r="B73" s="1216"/>
      <c r="C73" s="31" t="s">
        <v>70</v>
      </c>
      <c r="D73" s="258">
        <f>温度条件他根拠!$D$71</f>
        <v>1.18</v>
      </c>
      <c r="E73" s="259" t="s">
        <v>400</v>
      </c>
      <c r="G73" s="1219"/>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211" t="s">
        <v>594</v>
      </c>
      <c r="C77" s="1211"/>
      <c r="D77" s="1211"/>
      <c r="E77" s="1211"/>
      <c r="G77" s="1203" t="s">
        <v>403</v>
      </c>
      <c r="H77" s="1203"/>
      <c r="I77" s="1203"/>
      <c r="K77" s="88"/>
    </row>
    <row r="78" spans="2:11" ht="13.5" thickBot="1">
      <c r="B78" s="126" t="s">
        <v>226</v>
      </c>
      <c r="C78" s="141" t="s">
        <v>50</v>
      </c>
      <c r="D78" s="141" t="s">
        <v>587</v>
      </c>
      <c r="E78" s="167" t="s">
        <v>402</v>
      </c>
      <c r="G78" s="216" t="s">
        <v>226</v>
      </c>
      <c r="H78" s="217" t="s">
        <v>50</v>
      </c>
      <c r="I78" s="218" t="s">
        <v>587</v>
      </c>
      <c r="J78" s="88"/>
      <c r="K78" s="88"/>
    </row>
    <row r="79" spans="2:11">
      <c r="B79" s="1214" t="s">
        <v>62</v>
      </c>
      <c r="C79" s="29" t="s">
        <v>63</v>
      </c>
      <c r="D79" s="263">
        <v>0.7</v>
      </c>
      <c r="E79" s="261"/>
      <c r="G79" s="1217" t="s">
        <v>62</v>
      </c>
      <c r="H79" s="219" t="s">
        <v>63</v>
      </c>
      <c r="I79" s="220">
        <v>0.7</v>
      </c>
      <c r="J79" s="88" t="s">
        <v>234</v>
      </c>
      <c r="K79" s="88"/>
    </row>
    <row r="80" spans="2:11">
      <c r="B80" s="1215"/>
      <c r="C80" s="4" t="s">
        <v>64</v>
      </c>
      <c r="D80" s="14">
        <v>0.7</v>
      </c>
      <c r="E80" s="257"/>
      <c r="G80" s="1218"/>
      <c r="H80" s="221" t="s">
        <v>64</v>
      </c>
      <c r="I80" s="222">
        <v>0.3</v>
      </c>
      <c r="J80" s="223" t="s">
        <v>233</v>
      </c>
      <c r="K80" s="88"/>
    </row>
    <row r="81" spans="2:11">
      <c r="B81" s="1215"/>
      <c r="C81" s="4" t="s">
        <v>65</v>
      </c>
      <c r="D81" s="14">
        <v>0.7</v>
      </c>
      <c r="E81" s="257"/>
      <c r="G81" s="1218"/>
      <c r="H81" s="221" t="s">
        <v>65</v>
      </c>
      <c r="I81" s="222">
        <v>0.3</v>
      </c>
      <c r="J81" s="223" t="s">
        <v>233</v>
      </c>
      <c r="K81" s="88"/>
    </row>
    <row r="82" spans="2:11">
      <c r="B82" s="1215"/>
      <c r="C82" s="4" t="s">
        <v>66</v>
      </c>
      <c r="D82" s="14">
        <v>0.7</v>
      </c>
      <c r="E82" s="257"/>
      <c r="G82" s="1218"/>
      <c r="H82" s="221" t="s">
        <v>66</v>
      </c>
      <c r="I82" s="222">
        <v>0.3</v>
      </c>
      <c r="J82" s="223" t="s">
        <v>233</v>
      </c>
      <c r="K82" s="88"/>
    </row>
    <row r="83" spans="2:11">
      <c r="B83" s="1215"/>
      <c r="C83" s="4" t="s">
        <v>67</v>
      </c>
      <c r="D83" s="14">
        <v>0.7</v>
      </c>
      <c r="E83" s="257"/>
      <c r="G83" s="1218"/>
      <c r="H83" s="21" t="s">
        <v>67</v>
      </c>
      <c r="I83" s="224">
        <v>0.7</v>
      </c>
      <c r="J83" s="88" t="s">
        <v>234</v>
      </c>
      <c r="K83" s="88"/>
    </row>
    <row r="84" spans="2:11">
      <c r="B84" s="1215"/>
      <c r="C84" s="4" t="s">
        <v>68</v>
      </c>
      <c r="D84" s="14">
        <v>0.7</v>
      </c>
      <c r="E84" s="257"/>
      <c r="G84" s="1218"/>
      <c r="H84" s="21" t="s">
        <v>68</v>
      </c>
      <c r="I84" s="224">
        <v>0.7</v>
      </c>
      <c r="J84" s="88" t="s">
        <v>234</v>
      </c>
      <c r="K84" s="88"/>
    </row>
    <row r="85" spans="2:11">
      <c r="B85" s="1215"/>
      <c r="C85" s="4" t="s">
        <v>69</v>
      </c>
      <c r="D85" s="14">
        <v>0.7</v>
      </c>
      <c r="E85" s="257"/>
      <c r="G85" s="1218"/>
      <c r="H85" s="21" t="s">
        <v>69</v>
      </c>
      <c r="I85" s="224">
        <v>0.7</v>
      </c>
      <c r="J85" s="88" t="s">
        <v>234</v>
      </c>
      <c r="K85" s="88"/>
    </row>
    <row r="86" spans="2:11" ht="13.5" thickBot="1">
      <c r="B86" s="1216"/>
      <c r="C86" s="31" t="s">
        <v>70</v>
      </c>
      <c r="D86" s="262">
        <v>0.7</v>
      </c>
      <c r="E86" s="259"/>
      <c r="G86" s="1219"/>
      <c r="H86" s="225" t="s">
        <v>70</v>
      </c>
      <c r="I86" s="226">
        <v>0.7</v>
      </c>
      <c r="J86" s="88" t="s">
        <v>234</v>
      </c>
    </row>
    <row r="87" spans="2:11">
      <c r="B87" s="1" t="s">
        <v>588</v>
      </c>
    </row>
    <row r="88" spans="2:11">
      <c r="B88" s="1212" t="s">
        <v>589</v>
      </c>
      <c r="C88" s="1212"/>
      <c r="D88" s="1212"/>
      <c r="E88" s="1212"/>
      <c r="F88" s="1212"/>
      <c r="G88" s="1212"/>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211" t="s">
        <v>590</v>
      </c>
      <c r="C97" s="1211"/>
      <c r="D97" s="1211"/>
      <c r="E97" s="1211"/>
      <c r="G97" s="1203" t="s">
        <v>404</v>
      </c>
      <c r="H97" s="1203"/>
      <c r="I97" s="1203"/>
      <c r="J97" s="1203"/>
      <c r="K97" s="102"/>
    </row>
    <row r="98" spans="1:11" ht="13.5" thickBot="1">
      <c r="B98" s="126" t="s">
        <v>226</v>
      </c>
      <c r="C98" s="141" t="s">
        <v>50</v>
      </c>
      <c r="D98" s="141" t="s">
        <v>52</v>
      </c>
      <c r="E98" s="167" t="s">
        <v>587</v>
      </c>
      <c r="G98" s="216" t="s">
        <v>226</v>
      </c>
      <c r="H98" s="217" t="s">
        <v>50</v>
      </c>
      <c r="I98" s="217" t="s">
        <v>52</v>
      </c>
      <c r="J98" s="218" t="s">
        <v>587</v>
      </c>
      <c r="K98" s="88"/>
    </row>
    <row r="99" spans="1:11">
      <c r="B99" s="1214" t="s">
        <v>71</v>
      </c>
      <c r="C99" s="29" t="s">
        <v>63</v>
      </c>
      <c r="D99" s="165">
        <f>温度条件他根拠!D72</f>
        <v>5.95</v>
      </c>
      <c r="E99" s="166">
        <f>温度条件他根拠!D73</f>
        <v>0.876</v>
      </c>
      <c r="G99" s="1217" t="s">
        <v>71</v>
      </c>
      <c r="H99" s="219" t="s">
        <v>63</v>
      </c>
      <c r="I99" s="227">
        <v>6.29</v>
      </c>
      <c r="J99" s="228">
        <v>0.96</v>
      </c>
      <c r="K99" s="88" t="s">
        <v>234</v>
      </c>
    </row>
    <row r="100" spans="1:11">
      <c r="B100" s="1215"/>
      <c r="C100" s="4" t="s">
        <v>64</v>
      </c>
      <c r="D100" s="75">
        <f>温度条件他根拠!$D$72</f>
        <v>5.95</v>
      </c>
      <c r="E100" s="163">
        <f>温度条件他根拠!$D$73</f>
        <v>0.876</v>
      </c>
      <c r="G100" s="1218"/>
      <c r="H100" s="21" t="s">
        <v>64</v>
      </c>
      <c r="I100" s="229">
        <v>6.29</v>
      </c>
      <c r="J100" s="230">
        <v>0.96</v>
      </c>
      <c r="K100" s="88" t="s">
        <v>234</v>
      </c>
    </row>
    <row r="101" spans="1:11">
      <c r="B101" s="1215"/>
      <c r="C101" s="4" t="s">
        <v>65</v>
      </c>
      <c r="D101" s="75">
        <f>温度条件他根拠!$D$72</f>
        <v>5.95</v>
      </c>
      <c r="E101" s="163">
        <f>温度条件他根拠!$D$73</f>
        <v>0.876</v>
      </c>
      <c r="G101" s="1218"/>
      <c r="H101" s="21" t="s">
        <v>65</v>
      </c>
      <c r="I101" s="229">
        <v>6.29</v>
      </c>
      <c r="J101" s="230">
        <v>0.96</v>
      </c>
      <c r="K101" s="88" t="s">
        <v>234</v>
      </c>
    </row>
    <row r="102" spans="1:11">
      <c r="B102" s="1215"/>
      <c r="C102" s="4" t="s">
        <v>66</v>
      </c>
      <c r="D102" s="75">
        <f>温度条件他根拠!$D$72</f>
        <v>5.95</v>
      </c>
      <c r="E102" s="163">
        <f>温度条件他根拠!$D$73</f>
        <v>0.876</v>
      </c>
      <c r="G102" s="1218"/>
      <c r="H102" s="21" t="s">
        <v>66</v>
      </c>
      <c r="I102" s="229">
        <v>6.29</v>
      </c>
      <c r="J102" s="230">
        <v>0.96</v>
      </c>
      <c r="K102" s="88" t="s">
        <v>234</v>
      </c>
    </row>
    <row r="103" spans="1:11">
      <c r="B103" s="1215"/>
      <c r="C103" s="4" t="s">
        <v>67</v>
      </c>
      <c r="D103" s="75">
        <f>温度条件他根拠!$D$72</f>
        <v>5.95</v>
      </c>
      <c r="E103" s="163">
        <f>温度条件他根拠!$D$73</f>
        <v>0.876</v>
      </c>
      <c r="G103" s="1218"/>
      <c r="H103" s="221" t="s">
        <v>67</v>
      </c>
      <c r="I103" s="231">
        <v>3</v>
      </c>
      <c r="J103" s="232">
        <v>0.8</v>
      </c>
      <c r="K103" s="223" t="s">
        <v>241</v>
      </c>
    </row>
    <row r="104" spans="1:11">
      <c r="B104" s="1215"/>
      <c r="C104" s="4" t="s">
        <v>68</v>
      </c>
      <c r="D104" s="75">
        <f>温度条件他根拠!$D$72</f>
        <v>5.95</v>
      </c>
      <c r="E104" s="163">
        <f>温度条件他根拠!$D$73</f>
        <v>0.876</v>
      </c>
      <c r="G104" s="1218"/>
      <c r="H104" s="221" t="s">
        <v>68</v>
      </c>
      <c r="I104" s="231">
        <v>3</v>
      </c>
      <c r="J104" s="232">
        <v>0.8</v>
      </c>
      <c r="K104" s="223" t="s">
        <v>241</v>
      </c>
    </row>
    <row r="105" spans="1:11">
      <c r="B105" s="1215"/>
      <c r="C105" s="4" t="s">
        <v>69</v>
      </c>
      <c r="D105" s="75">
        <f>温度条件他根拠!$D$72</f>
        <v>5.95</v>
      </c>
      <c r="E105" s="163">
        <f>温度条件他根拠!$D$73</f>
        <v>0.876</v>
      </c>
      <c r="G105" s="1218"/>
      <c r="H105" s="221" t="s">
        <v>69</v>
      </c>
      <c r="I105" s="231">
        <v>3</v>
      </c>
      <c r="J105" s="232">
        <v>0.8</v>
      </c>
      <c r="K105" s="223" t="s">
        <v>241</v>
      </c>
    </row>
    <row r="106" spans="1:11" ht="13.5" thickBot="1">
      <c r="B106" s="1216"/>
      <c r="C106" s="31" t="s">
        <v>70</v>
      </c>
      <c r="D106" s="76">
        <f>温度条件他根拠!D72</f>
        <v>5.95</v>
      </c>
      <c r="E106" s="164">
        <f>温度条件他根拠!D73</f>
        <v>0.876</v>
      </c>
      <c r="G106" s="1219"/>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212" t="s">
        <v>405</v>
      </c>
      <c r="C111" s="1212"/>
      <c r="D111" s="1212"/>
      <c r="E111" s="1212"/>
      <c r="F111" s="1212"/>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B111:F111"/>
    <mergeCell ref="D65:E65"/>
    <mergeCell ref="B66:B73"/>
    <mergeCell ref="G66:G73"/>
    <mergeCell ref="B77:E77"/>
    <mergeCell ref="G77:I77"/>
    <mergeCell ref="B79:B86"/>
    <mergeCell ref="G79:G86"/>
    <mergeCell ref="B88:G88"/>
    <mergeCell ref="B97:E97"/>
    <mergeCell ref="G97:J97"/>
    <mergeCell ref="B99:B106"/>
    <mergeCell ref="G99:G106"/>
    <mergeCell ref="G64:I64"/>
    <mergeCell ref="A1:J1"/>
    <mergeCell ref="B8:D8"/>
    <mergeCell ref="B11:B18"/>
    <mergeCell ref="B19:B26"/>
    <mergeCell ref="F27:I27"/>
    <mergeCell ref="F44:I44"/>
    <mergeCell ref="B47:E47"/>
    <mergeCell ref="C48:D48"/>
    <mergeCell ref="B54:E54"/>
    <mergeCell ref="B58:E58"/>
    <mergeCell ref="B64:E64"/>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zoomScaleNormal="100" zoomScaleSheetLayoutView="100" workbookViewId="0">
      <selection activeCell="A2" sqref="A2"/>
    </sheetView>
  </sheetViews>
  <sheetFormatPr defaultRowHeight="13"/>
  <cols>
    <col min="1" max="1" width="4.08984375" customWidth="1"/>
  </cols>
  <sheetData>
    <row r="1" spans="1:14" ht="16.5">
      <c r="A1" s="930" t="s">
        <v>1392</v>
      </c>
    </row>
    <row r="4" spans="1:14" ht="24" customHeight="1">
      <c r="B4" s="976" t="s">
        <v>1380</v>
      </c>
      <c r="C4" s="975"/>
      <c r="D4" s="975"/>
      <c r="E4" s="975"/>
      <c r="F4" s="975"/>
      <c r="G4" s="975"/>
      <c r="H4" s="975"/>
      <c r="I4" s="975"/>
      <c r="J4" s="975"/>
      <c r="K4" s="975"/>
      <c r="L4" s="975"/>
      <c r="M4" s="975"/>
    </row>
    <row r="5" spans="1:14" ht="20.149999999999999" customHeight="1">
      <c r="B5" s="2135" t="s">
        <v>1391</v>
      </c>
      <c r="C5" s="2135"/>
      <c r="D5" s="2135"/>
      <c r="E5" s="2135"/>
      <c r="F5" s="2135"/>
      <c r="G5" s="2135"/>
      <c r="H5" s="2135"/>
      <c r="I5" s="2135"/>
      <c r="J5" s="2135"/>
      <c r="K5" s="2135"/>
      <c r="L5" s="2135"/>
      <c r="M5" s="2135"/>
      <c r="N5" s="975"/>
    </row>
    <row r="6" spans="1:14" ht="20.149999999999999" customHeight="1">
      <c r="B6" s="2136" t="s">
        <v>1393</v>
      </c>
      <c r="C6" s="2136"/>
      <c r="D6" s="2136"/>
      <c r="E6" s="2136"/>
      <c r="F6" s="2136"/>
      <c r="G6" s="2136"/>
      <c r="H6" s="2136"/>
      <c r="I6" s="2136"/>
      <c r="J6" s="2136"/>
      <c r="K6" s="2136"/>
      <c r="L6" s="2136"/>
      <c r="M6" s="2136"/>
      <c r="N6" s="2136"/>
    </row>
    <row r="7" spans="1:14" ht="20.149999999999999" customHeight="1">
      <c r="B7" s="2134" t="s">
        <v>1394</v>
      </c>
      <c r="C7" s="2134"/>
      <c r="D7" s="2134"/>
      <c r="E7" s="2134"/>
      <c r="F7" s="2134"/>
      <c r="G7" s="2134"/>
      <c r="H7" s="2134"/>
      <c r="I7" s="2134"/>
      <c r="J7" s="2134"/>
      <c r="K7" s="2134"/>
      <c r="L7" s="2134"/>
      <c r="M7" s="2134"/>
      <c r="N7" s="975"/>
    </row>
    <row r="8" spans="1:14" ht="20.149999999999999" customHeight="1">
      <c r="B8" s="2134" t="s">
        <v>1395</v>
      </c>
      <c r="C8" s="2134"/>
      <c r="D8" s="2134"/>
      <c r="E8" s="2134"/>
      <c r="F8" s="2134"/>
      <c r="G8" s="2134"/>
      <c r="H8" s="2134"/>
      <c r="I8" s="2134"/>
      <c r="J8" s="2134"/>
      <c r="K8" s="2134"/>
      <c r="L8" s="2134"/>
      <c r="M8" s="2134"/>
      <c r="N8" s="975"/>
    </row>
    <row r="9" spans="1:14" ht="6" customHeight="1">
      <c r="B9" s="977"/>
      <c r="C9" s="977"/>
      <c r="D9" s="977"/>
      <c r="E9" s="977"/>
      <c r="F9" s="977"/>
      <c r="G9" s="977"/>
      <c r="H9" s="977"/>
      <c r="I9" s="977"/>
      <c r="J9" s="977"/>
      <c r="K9" s="977"/>
      <c r="L9" s="977"/>
      <c r="M9" s="977"/>
    </row>
    <row r="10" spans="1:14" ht="14">
      <c r="B10" s="2134" t="s">
        <v>1396</v>
      </c>
      <c r="C10" s="2134"/>
      <c r="D10" s="2134"/>
      <c r="E10" s="2134"/>
      <c r="F10" s="2134"/>
      <c r="G10" s="2134"/>
      <c r="H10" s="2134"/>
      <c r="I10" s="2134"/>
      <c r="J10" s="2134"/>
      <c r="K10" s="2134"/>
      <c r="L10" s="2134"/>
      <c r="M10" s="2134"/>
    </row>
    <row r="11" spans="1:14">
      <c r="B11" s="926"/>
    </row>
    <row r="15" spans="1:14" ht="24" customHeight="1">
      <c r="B15" s="930" t="s">
        <v>1381</v>
      </c>
    </row>
    <row r="16" spans="1:14" s="1" customFormat="1" ht="20.149999999999999" customHeight="1">
      <c r="B16" s="2135" t="s">
        <v>1397</v>
      </c>
      <c r="C16" s="2135"/>
      <c r="D16" s="2135"/>
      <c r="E16" s="2135"/>
      <c r="F16" s="2135"/>
      <c r="G16" s="2135"/>
      <c r="H16" s="2135"/>
      <c r="I16" s="2135"/>
      <c r="J16" s="2135"/>
      <c r="K16" s="2135"/>
      <c r="L16" s="2135"/>
      <c r="M16" s="2135"/>
    </row>
    <row r="17" spans="2:14" s="1" customFormat="1" ht="18" customHeight="1">
      <c r="B17" s="2133" t="s">
        <v>1404</v>
      </c>
      <c r="C17" s="2133"/>
      <c r="D17" s="2133"/>
      <c r="E17" s="2133"/>
      <c r="F17" s="2133"/>
      <c r="G17" s="2133"/>
      <c r="H17" s="2133"/>
      <c r="I17" s="2133"/>
      <c r="J17" s="2133"/>
      <c r="K17" s="2133"/>
      <c r="L17" s="2133"/>
      <c r="M17" s="2133"/>
      <c r="N17" s="2133"/>
    </row>
    <row r="18" spans="2:14" s="1" customFormat="1" ht="18" customHeight="1">
      <c r="B18" s="2133"/>
      <c r="C18" s="2133"/>
      <c r="D18" s="2133"/>
      <c r="E18" s="2133"/>
      <c r="F18" s="2133"/>
      <c r="G18" s="2133"/>
      <c r="H18" s="2133"/>
      <c r="I18" s="2133"/>
      <c r="J18" s="2133"/>
      <c r="K18" s="2133"/>
      <c r="L18" s="2133"/>
      <c r="M18" s="2133"/>
      <c r="N18" s="2133"/>
    </row>
    <row r="19" spans="2:14" s="1" customFormat="1" ht="18" customHeight="1">
      <c r="B19" s="2133"/>
      <c r="C19" s="2133"/>
      <c r="D19" s="2133"/>
      <c r="E19" s="2133"/>
      <c r="F19" s="2133"/>
      <c r="G19" s="2133"/>
      <c r="H19" s="2133"/>
      <c r="I19" s="2133"/>
      <c r="J19" s="2133"/>
      <c r="K19" s="2133"/>
      <c r="L19" s="2133"/>
      <c r="M19" s="2133"/>
      <c r="N19" s="2133"/>
    </row>
    <row r="20" spans="2:14" s="1" customFormat="1" ht="18" customHeight="1">
      <c r="B20" s="2137" t="s">
        <v>1406</v>
      </c>
      <c r="C20" s="2137"/>
      <c r="D20" s="2137"/>
      <c r="E20" s="2137"/>
      <c r="F20" s="2137"/>
      <c r="G20" s="2137"/>
      <c r="H20" s="2137"/>
      <c r="I20" s="2137"/>
      <c r="J20" s="2137"/>
      <c r="K20" s="2137"/>
      <c r="L20" s="2137"/>
      <c r="M20" s="2137"/>
      <c r="N20" s="2137"/>
    </row>
    <row r="21" spans="2:14" s="1" customFormat="1" ht="18" customHeight="1">
      <c r="B21" s="2137"/>
      <c r="C21" s="2137"/>
      <c r="D21" s="2137"/>
      <c r="E21" s="2137"/>
      <c r="F21" s="2137"/>
      <c r="G21" s="2137"/>
      <c r="H21" s="2137"/>
      <c r="I21" s="2137"/>
      <c r="J21" s="2137"/>
      <c r="K21" s="2137"/>
      <c r="L21" s="2137"/>
      <c r="M21" s="2137"/>
      <c r="N21" s="2137"/>
    </row>
    <row r="25" spans="2:14" hidden="1"/>
    <row r="26" spans="2:14" hidden="1"/>
    <row r="28" spans="2:14" ht="16.5">
      <c r="B28" s="930" t="s">
        <v>1382</v>
      </c>
    </row>
    <row r="29" spans="2:14" ht="20.149999999999999" customHeight="1">
      <c r="B29" s="2136" t="s">
        <v>1398</v>
      </c>
      <c r="C29" s="2136"/>
      <c r="D29" s="2136"/>
      <c r="E29" s="2136"/>
      <c r="F29" s="2136"/>
      <c r="G29" s="2136"/>
      <c r="H29" s="2136"/>
      <c r="I29" s="2136"/>
      <c r="J29" s="2136"/>
      <c r="K29" s="2136"/>
      <c r="L29" s="2136"/>
      <c r="M29" s="2136"/>
      <c r="N29" s="2136"/>
    </row>
    <row r="30" spans="2:14" ht="18" customHeight="1">
      <c r="B30" s="2133" t="s">
        <v>1405</v>
      </c>
      <c r="C30" s="2133"/>
      <c r="D30" s="2133"/>
      <c r="E30" s="2133"/>
      <c r="F30" s="2133"/>
      <c r="G30" s="2133"/>
      <c r="H30" s="2133"/>
      <c r="I30" s="2133"/>
      <c r="J30" s="2133"/>
      <c r="K30" s="2133"/>
      <c r="L30" s="2133"/>
      <c r="M30" s="2133"/>
      <c r="N30" s="2133"/>
    </row>
    <row r="31" spans="2:14" ht="18" customHeight="1">
      <c r="B31" s="2133"/>
      <c r="C31" s="2133"/>
      <c r="D31" s="2133"/>
      <c r="E31" s="2133"/>
      <c r="F31" s="2133"/>
      <c r="G31" s="2133"/>
      <c r="H31" s="2133"/>
      <c r="I31" s="2133"/>
      <c r="J31" s="2133"/>
      <c r="K31" s="2133"/>
      <c r="L31" s="2133"/>
      <c r="M31" s="2133"/>
      <c r="N31" s="2133"/>
    </row>
    <row r="32" spans="2:14" ht="18" customHeight="1">
      <c r="B32" s="2133"/>
      <c r="C32" s="2133"/>
      <c r="D32" s="2133"/>
      <c r="E32" s="2133"/>
      <c r="F32" s="2133"/>
      <c r="G32" s="2133"/>
      <c r="H32" s="2133"/>
      <c r="I32" s="2133"/>
      <c r="J32" s="2133"/>
      <c r="K32" s="2133"/>
      <c r="L32" s="2133"/>
      <c r="M32" s="2133"/>
      <c r="N32" s="2133"/>
    </row>
    <row r="33" spans="2:14" ht="18" customHeight="1">
      <c r="B33" s="2133" t="s">
        <v>1399</v>
      </c>
      <c r="C33" s="2133"/>
      <c r="D33" s="2133"/>
      <c r="E33" s="2133"/>
      <c r="F33" s="2133"/>
      <c r="G33" s="2133"/>
      <c r="H33" s="2133"/>
      <c r="I33" s="2133"/>
      <c r="J33" s="2133"/>
      <c r="K33" s="2133"/>
      <c r="L33" s="2133"/>
      <c r="M33" s="2133"/>
      <c r="N33" s="2133"/>
    </row>
    <row r="34" spans="2:14" ht="18" customHeight="1">
      <c r="B34" s="2133"/>
      <c r="C34" s="2133"/>
      <c r="D34" s="2133"/>
      <c r="E34" s="2133"/>
      <c r="F34" s="2133"/>
      <c r="G34" s="2133"/>
      <c r="H34" s="2133"/>
      <c r="I34" s="2133"/>
      <c r="J34" s="2133"/>
      <c r="K34" s="2133"/>
      <c r="L34" s="2133"/>
      <c r="M34" s="2133"/>
      <c r="N34" s="2133"/>
    </row>
    <row r="35" spans="2:14" ht="18" customHeight="1">
      <c r="B35" s="2133"/>
      <c r="C35" s="2133"/>
      <c r="D35" s="2133"/>
      <c r="E35" s="2133"/>
      <c r="F35" s="2133"/>
      <c r="G35" s="2133"/>
      <c r="H35" s="2133"/>
      <c r="I35" s="2133"/>
      <c r="J35" s="2133"/>
      <c r="K35" s="2133"/>
      <c r="L35" s="2133"/>
      <c r="M35" s="2133"/>
      <c r="N35" s="2133"/>
    </row>
  </sheetData>
  <sheetProtection algorithmName="SHA-512" hashValue="Icgp+PX8eVlt6QXG13UgKsfx9rNcfJNKwIsECsDbfzkKxb+dEtFtpm7KsJr9/e2exVa4zPG19vx1Q/4hr00h8g==" saltValue="Uf8VUWCXZNRSd8Xd1niltA==" spinCount="100000" sheet="1" objects="1" scenarios="1"/>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2138" t="s">
        <v>249</v>
      </c>
      <c r="D6" s="2138"/>
      <c r="E6" s="2138"/>
      <c r="F6" s="2138"/>
      <c r="G6" s="2138"/>
      <c r="H6" s="2138"/>
      <c r="I6" s="2138"/>
    </row>
    <row r="7" spans="1:9">
      <c r="C7" s="2138"/>
      <c r="D7" s="2138"/>
      <c r="E7" s="2138"/>
      <c r="F7" s="2138"/>
      <c r="G7" s="2138"/>
      <c r="H7" s="2138"/>
      <c r="I7" s="2138"/>
    </row>
    <row r="8" spans="1:9">
      <c r="C8" s="2138"/>
      <c r="D8" s="2138"/>
      <c r="E8" s="2138"/>
      <c r="F8" s="2138"/>
      <c r="G8" s="2138"/>
      <c r="H8" s="2138"/>
      <c r="I8" s="2138"/>
    </row>
    <row r="9" spans="1:9" ht="13.5" customHeight="1">
      <c r="C9" s="2138" t="s">
        <v>250</v>
      </c>
      <c r="D9" s="2138"/>
      <c r="E9" s="2138"/>
      <c r="F9" s="2138"/>
      <c r="G9" s="2138"/>
      <c r="H9" s="2138"/>
      <c r="I9" s="2138"/>
    </row>
    <row r="10" spans="1:9">
      <c r="C10" s="2138"/>
      <c r="D10" s="2138"/>
      <c r="E10" s="2138"/>
      <c r="F10" s="2138"/>
      <c r="G10" s="2138"/>
      <c r="H10" s="2138"/>
      <c r="I10" s="2138"/>
    </row>
    <row r="11" spans="1:9">
      <c r="C11" s="2138"/>
      <c r="D11" s="2138"/>
      <c r="E11" s="2138"/>
      <c r="F11" s="2138"/>
      <c r="G11" s="2138"/>
      <c r="H11" s="2138"/>
      <c r="I11" s="2138"/>
    </row>
    <row r="12" spans="1:9">
      <c r="C12" s="2138"/>
      <c r="D12" s="2138"/>
      <c r="E12" s="2138"/>
      <c r="F12" s="2138"/>
      <c r="G12" s="2138"/>
      <c r="H12" s="2138"/>
      <c r="I12" s="2138"/>
    </row>
    <row r="13" spans="1:9">
      <c r="C13" s="2138"/>
      <c r="D13" s="2138"/>
      <c r="E13" s="2138"/>
      <c r="F13" s="2138"/>
      <c r="G13" s="2138"/>
      <c r="H13" s="2138"/>
      <c r="I13" s="2138"/>
    </row>
    <row r="14" spans="1:9">
      <c r="C14" s="2138"/>
      <c r="D14" s="2138"/>
      <c r="E14" s="2138"/>
      <c r="F14" s="2138"/>
      <c r="G14" s="2138"/>
      <c r="H14" s="2138"/>
      <c r="I14" s="2138"/>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2138" t="s">
        <v>251</v>
      </c>
      <c r="D19" s="2138"/>
      <c r="E19" s="2138"/>
      <c r="F19" s="2138"/>
      <c r="G19" s="2138"/>
      <c r="H19" s="2138"/>
      <c r="I19" s="2138"/>
    </row>
    <row r="20" spans="1:9">
      <c r="C20" s="2138"/>
      <c r="D20" s="2138"/>
      <c r="E20" s="2138"/>
      <c r="F20" s="2138"/>
      <c r="G20" s="2138"/>
      <c r="H20" s="2138"/>
      <c r="I20" s="2138"/>
    </row>
    <row r="21" spans="1:9">
      <c r="C21" s="2138"/>
      <c r="D21" s="2138"/>
      <c r="E21" s="2138"/>
      <c r="F21" s="2138"/>
      <c r="G21" s="2138"/>
      <c r="H21" s="2138"/>
      <c r="I21" s="2138"/>
    </row>
    <row r="22" spans="1:9">
      <c r="C22" s="2138"/>
      <c r="D22" s="2138"/>
      <c r="E22" s="2138"/>
      <c r="F22" s="2138"/>
      <c r="G22" s="2138"/>
      <c r="H22" s="2138"/>
      <c r="I22" s="2138"/>
    </row>
    <row r="23" spans="1:9">
      <c r="C23" s="2138" t="s">
        <v>252</v>
      </c>
      <c r="D23" s="2138"/>
      <c r="E23" s="2138"/>
      <c r="F23" s="2138"/>
      <c r="G23" s="2138"/>
      <c r="H23" s="2138"/>
      <c r="I23" s="2138"/>
    </row>
    <row r="26" spans="1:9">
      <c r="A26" s="81">
        <v>2</v>
      </c>
      <c r="B26" s="81" t="s">
        <v>253</v>
      </c>
    </row>
    <row r="28" spans="1:9">
      <c r="C28" s="1" t="s">
        <v>272</v>
      </c>
    </row>
    <row r="30" spans="1:9">
      <c r="C30" s="1206" t="s">
        <v>344</v>
      </c>
      <c r="D30" s="1206"/>
      <c r="E30" s="1206"/>
      <c r="F30" s="4" t="s">
        <v>265</v>
      </c>
      <c r="G30" s="4" t="s">
        <v>266</v>
      </c>
      <c r="H30" s="1206" t="s">
        <v>345</v>
      </c>
      <c r="I30" s="1206"/>
    </row>
    <row r="31" spans="1:9">
      <c r="C31" s="15" t="s">
        <v>254</v>
      </c>
      <c r="D31" s="15"/>
      <c r="E31" s="15"/>
      <c r="F31" s="14" t="s">
        <v>267</v>
      </c>
      <c r="G31" s="14" t="s">
        <v>268</v>
      </c>
      <c r="H31" s="2142" t="s">
        <v>271</v>
      </c>
      <c r="I31" s="2143"/>
    </row>
    <row r="32" spans="1:9">
      <c r="C32" s="15" t="s">
        <v>255</v>
      </c>
      <c r="D32" s="15"/>
      <c r="E32" s="15"/>
      <c r="F32" s="14" t="s">
        <v>267</v>
      </c>
      <c r="G32" s="14" t="s">
        <v>10</v>
      </c>
      <c r="H32" s="2144"/>
      <c r="I32" s="2145"/>
    </row>
    <row r="33" spans="2:9">
      <c r="C33" s="15" t="s">
        <v>256</v>
      </c>
      <c r="D33" s="15"/>
      <c r="E33" s="15"/>
      <c r="F33" s="14" t="s">
        <v>267</v>
      </c>
      <c r="G33" s="14" t="s">
        <v>268</v>
      </c>
      <c r="H33" s="2146"/>
      <c r="I33" s="2147"/>
    </row>
    <row r="34" spans="2:9">
      <c r="C34" s="2" t="s">
        <v>257</v>
      </c>
      <c r="D34" s="2"/>
      <c r="E34" s="2"/>
      <c r="F34" s="4" t="s">
        <v>267</v>
      </c>
      <c r="G34" s="4" t="s">
        <v>268</v>
      </c>
      <c r="H34" s="2148" t="s">
        <v>270</v>
      </c>
      <c r="I34" s="2149"/>
    </row>
    <row r="35" spans="2:9">
      <c r="C35" s="2139" t="s">
        <v>258</v>
      </c>
      <c r="D35" s="2140"/>
      <c r="E35" s="2141"/>
      <c r="F35" s="4" t="s">
        <v>10</v>
      </c>
      <c r="G35" s="4" t="s">
        <v>268</v>
      </c>
      <c r="H35" s="2150"/>
      <c r="I35" s="2151"/>
    </row>
    <row r="36" spans="2:9">
      <c r="C36" s="2139" t="s">
        <v>259</v>
      </c>
      <c r="D36" s="2140"/>
      <c r="E36" s="2141"/>
      <c r="F36" s="4" t="s">
        <v>267</v>
      </c>
      <c r="G36" s="4" t="s">
        <v>268</v>
      </c>
      <c r="H36" s="2150"/>
      <c r="I36" s="2151"/>
    </row>
    <row r="37" spans="2:9">
      <c r="C37" s="2" t="s">
        <v>260</v>
      </c>
      <c r="D37" s="2"/>
      <c r="E37" s="2"/>
      <c r="F37" s="4" t="s">
        <v>267</v>
      </c>
      <c r="G37" s="4" t="s">
        <v>269</v>
      </c>
      <c r="H37" s="2150"/>
      <c r="I37" s="2151"/>
    </row>
    <row r="38" spans="2:9">
      <c r="C38" s="2" t="s">
        <v>261</v>
      </c>
      <c r="D38" s="2"/>
      <c r="E38" s="2"/>
      <c r="F38" s="4" t="s">
        <v>267</v>
      </c>
      <c r="G38" s="4" t="s">
        <v>269</v>
      </c>
      <c r="H38" s="2150"/>
      <c r="I38" s="2151"/>
    </row>
    <row r="39" spans="2:9">
      <c r="C39" s="2" t="s">
        <v>262</v>
      </c>
      <c r="D39" s="2"/>
      <c r="E39" s="2"/>
      <c r="F39" s="4" t="s">
        <v>267</v>
      </c>
      <c r="G39" s="4" t="s">
        <v>269</v>
      </c>
      <c r="H39" s="2150"/>
      <c r="I39" s="2151"/>
    </row>
    <row r="40" spans="2:9">
      <c r="C40" s="2139" t="s">
        <v>263</v>
      </c>
      <c r="D40" s="2140"/>
      <c r="E40" s="2141"/>
      <c r="F40" s="4" t="s">
        <v>267</v>
      </c>
      <c r="G40" s="4" t="s">
        <v>268</v>
      </c>
      <c r="H40" s="2150"/>
      <c r="I40" s="2151"/>
    </row>
    <row r="41" spans="2:9">
      <c r="C41" s="2" t="s">
        <v>264</v>
      </c>
      <c r="D41" s="2"/>
      <c r="E41" s="2"/>
      <c r="F41" s="4" t="s">
        <v>10</v>
      </c>
      <c r="G41" s="4" t="s">
        <v>268</v>
      </c>
      <c r="H41" s="2152"/>
      <c r="I41" s="2153"/>
    </row>
    <row r="42" spans="2:9">
      <c r="G42" s="22"/>
    </row>
    <row r="43" spans="2:9">
      <c r="B43" s="81" t="s">
        <v>297</v>
      </c>
      <c r="C43" s="81"/>
    </row>
    <row r="45" spans="2:9">
      <c r="C45" s="1" t="s">
        <v>265</v>
      </c>
      <c r="E45" s="2154" t="s">
        <v>318</v>
      </c>
      <c r="F45" s="2154"/>
      <c r="G45" s="2154"/>
    </row>
    <row r="47" spans="2:9">
      <c r="C47" s="1" t="s">
        <v>266</v>
      </c>
      <c r="D47" s="1" t="s">
        <v>273</v>
      </c>
      <c r="E47" s="2154" t="s">
        <v>319</v>
      </c>
      <c r="F47" s="2154"/>
      <c r="G47" s="2154"/>
      <c r="H47" s="2154"/>
      <c r="I47" s="2154"/>
    </row>
    <row r="48" spans="2:9">
      <c r="D48" s="1" t="s">
        <v>274</v>
      </c>
      <c r="E48" s="2154" t="s">
        <v>320</v>
      </c>
      <c r="F48" s="2154"/>
      <c r="G48" s="2154"/>
      <c r="H48" s="2154"/>
      <c r="I48" s="2154"/>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2138" t="s">
        <v>300</v>
      </c>
      <c r="D69" s="2138"/>
      <c r="E69" s="2138"/>
      <c r="F69" s="2138"/>
      <c r="G69" s="2138"/>
      <c r="H69" s="2138"/>
      <c r="I69" s="2138"/>
    </row>
    <row r="70" spans="2:9">
      <c r="C70" s="2138"/>
      <c r="D70" s="2138"/>
      <c r="E70" s="2138"/>
      <c r="F70" s="2138"/>
      <c r="G70" s="2138"/>
      <c r="H70" s="2138"/>
      <c r="I70" s="2138"/>
    </row>
    <row r="71" spans="2:9">
      <c r="C71" s="2138"/>
      <c r="D71" s="2138"/>
      <c r="E71" s="2138"/>
      <c r="F71" s="2138"/>
      <c r="G71" s="2138"/>
      <c r="H71" s="2138"/>
      <c r="I71" s="2138"/>
    </row>
    <row r="72" spans="2:9">
      <c r="C72" s="2138"/>
      <c r="D72" s="2138"/>
      <c r="E72" s="2138"/>
      <c r="F72" s="2138"/>
      <c r="G72" s="2138"/>
      <c r="H72" s="2138"/>
      <c r="I72" s="2138"/>
    </row>
    <row r="74" spans="2:9">
      <c r="C74" s="1" t="s">
        <v>301</v>
      </c>
    </row>
    <row r="76" spans="2:9">
      <c r="E76" s="2154" t="s">
        <v>302</v>
      </c>
      <c r="F76" s="2154"/>
      <c r="G76" s="2154"/>
    </row>
    <row r="78" spans="2:9">
      <c r="C78" s="1" t="s">
        <v>303</v>
      </c>
    </row>
    <row r="80" spans="2:9">
      <c r="E80" s="2154" t="s">
        <v>304</v>
      </c>
      <c r="F80" s="2154"/>
      <c r="G80" s="2154"/>
      <c r="H80" s="2154"/>
      <c r="I80" s="2154"/>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2154" t="s">
        <v>321</v>
      </c>
      <c r="F96" s="2154"/>
      <c r="G96" s="2154"/>
      <c r="H96" s="2154"/>
    </row>
    <row r="98" spans="3:9">
      <c r="C98" s="1" t="s">
        <v>266</v>
      </c>
      <c r="D98" s="1" t="s">
        <v>273</v>
      </c>
      <c r="E98" s="2154" t="s">
        <v>322</v>
      </c>
      <c r="F98" s="2154"/>
      <c r="G98" s="2154"/>
      <c r="H98" s="2154"/>
      <c r="I98" s="2154"/>
    </row>
    <row r="99" spans="3:9">
      <c r="D99" s="1" t="s">
        <v>274</v>
      </c>
      <c r="E99" s="2154" t="s">
        <v>323</v>
      </c>
      <c r="F99" s="2154"/>
      <c r="G99" s="2154"/>
      <c r="H99" s="2154"/>
      <c r="I99" s="2154"/>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2138" t="s">
        <v>334</v>
      </c>
      <c r="D113" s="2138"/>
      <c r="E113" s="2138"/>
      <c r="F113" s="2138"/>
      <c r="G113" s="2138"/>
      <c r="H113" s="2138"/>
      <c r="I113" s="2138"/>
    </row>
    <row r="114" spans="1:9">
      <c r="C114" s="2138"/>
      <c r="D114" s="2138"/>
      <c r="E114" s="2138"/>
      <c r="F114" s="2138"/>
      <c r="G114" s="2138"/>
      <c r="H114" s="2138"/>
      <c r="I114" s="2138"/>
    </row>
    <row r="115" spans="1:9">
      <c r="C115" s="2138"/>
      <c r="D115" s="2138"/>
      <c r="E115" s="2138"/>
      <c r="F115" s="2138"/>
      <c r="G115" s="2138"/>
      <c r="H115" s="2138"/>
      <c r="I115" s="2138"/>
    </row>
    <row r="116" spans="1:9">
      <c r="C116" s="2138"/>
      <c r="D116" s="2138"/>
      <c r="E116" s="2138"/>
      <c r="F116" s="2138"/>
      <c r="G116" s="2138"/>
      <c r="H116" s="2138"/>
      <c r="I116" s="2138"/>
    </row>
    <row r="117" spans="1:9">
      <c r="C117" s="2138"/>
      <c r="D117" s="2138"/>
      <c r="E117" s="2138"/>
      <c r="F117" s="2138"/>
      <c r="G117" s="2138"/>
      <c r="H117" s="2138"/>
      <c r="I117" s="2138"/>
    </row>
    <row r="119" spans="1:9">
      <c r="C119" s="2138" t="s">
        <v>335</v>
      </c>
      <c r="D119" s="2138"/>
      <c r="E119" s="2138"/>
      <c r="F119" s="2138"/>
      <c r="G119" s="2138"/>
      <c r="H119" s="2138"/>
      <c r="I119" s="2138"/>
    </row>
    <row r="120" spans="1:9">
      <c r="C120" s="2138"/>
      <c r="D120" s="2138"/>
      <c r="E120" s="2138"/>
      <c r="F120" s="2138"/>
      <c r="G120" s="2138"/>
      <c r="H120" s="2138"/>
      <c r="I120" s="2138"/>
    </row>
    <row r="121" spans="1:9">
      <c r="C121" s="2138"/>
      <c r="D121" s="2138"/>
      <c r="E121" s="2138"/>
      <c r="F121" s="2138"/>
      <c r="G121" s="2138"/>
      <c r="H121" s="2138"/>
      <c r="I121" s="2138"/>
    </row>
    <row r="122" spans="1:9">
      <c r="C122" s="2138"/>
      <c r="D122" s="2138"/>
      <c r="E122" s="2138"/>
      <c r="F122" s="2138"/>
      <c r="G122" s="2138"/>
      <c r="H122" s="2138"/>
      <c r="I122" s="2138"/>
    </row>
    <row r="123" spans="1:9">
      <c r="C123" s="2138"/>
      <c r="D123" s="2138"/>
      <c r="E123" s="2138"/>
      <c r="F123" s="2138"/>
      <c r="G123" s="2138"/>
      <c r="H123" s="2138"/>
      <c r="I123" s="2138"/>
    </row>
    <row r="124" spans="1:9">
      <c r="C124" s="1" t="s">
        <v>336</v>
      </c>
    </row>
    <row r="126" spans="1:9">
      <c r="A126" s="81">
        <v>3</v>
      </c>
      <c r="B126" s="81" t="s">
        <v>337</v>
      </c>
    </row>
    <row r="127" spans="1:9">
      <c r="C127" s="2138" t="s">
        <v>338</v>
      </c>
      <c r="D127" s="2138"/>
      <c r="E127" s="2138"/>
      <c r="F127" s="2138"/>
      <c r="G127" s="2138"/>
      <c r="H127" s="2138"/>
      <c r="I127" s="2138"/>
    </row>
    <row r="128" spans="1:9">
      <c r="C128" s="2138"/>
      <c r="D128" s="2138"/>
      <c r="E128" s="2138"/>
      <c r="F128" s="2138"/>
      <c r="G128" s="2138"/>
      <c r="H128" s="2138"/>
      <c r="I128" s="2138"/>
    </row>
    <row r="129" spans="3:9">
      <c r="C129" s="2138"/>
      <c r="D129" s="2138"/>
      <c r="E129" s="2138"/>
      <c r="F129" s="2138"/>
      <c r="G129" s="2138"/>
      <c r="H129" s="2138"/>
      <c r="I129" s="2138"/>
    </row>
    <row r="130" spans="3:9">
      <c r="C130" s="241"/>
      <c r="D130" s="241"/>
      <c r="E130" s="241"/>
      <c r="F130" s="241"/>
      <c r="G130" s="241"/>
      <c r="H130" s="241"/>
      <c r="I130" s="241"/>
    </row>
    <row r="131" spans="3:9">
      <c r="C131" s="2138" t="s">
        <v>339</v>
      </c>
      <c r="D131" s="2138"/>
      <c r="E131" s="2138"/>
      <c r="F131" s="2138"/>
      <c r="G131" s="2138"/>
      <c r="H131" s="2138"/>
      <c r="I131" s="2138"/>
    </row>
    <row r="132" spans="3:9">
      <c r="C132" s="2138"/>
      <c r="D132" s="2138"/>
      <c r="E132" s="2138"/>
      <c r="F132" s="2138"/>
      <c r="G132" s="2138"/>
      <c r="H132" s="2138"/>
      <c r="I132" s="2138"/>
    </row>
    <row r="133" spans="3:9">
      <c r="C133" s="2138"/>
      <c r="D133" s="2138"/>
      <c r="E133" s="2138"/>
      <c r="F133" s="2138"/>
      <c r="G133" s="2138"/>
      <c r="H133" s="2138"/>
      <c r="I133" s="2138"/>
    </row>
    <row r="135" spans="3:9">
      <c r="C135" s="2138" t="s">
        <v>340</v>
      </c>
      <c r="D135" s="2138"/>
      <c r="E135" s="2138"/>
      <c r="F135" s="2138"/>
      <c r="G135" s="2138"/>
      <c r="H135" s="2138"/>
      <c r="I135" s="2138"/>
    </row>
    <row r="136" spans="3:9">
      <c r="C136" s="2138"/>
      <c r="D136" s="2138"/>
      <c r="E136" s="2138"/>
      <c r="F136" s="2138"/>
      <c r="G136" s="2138"/>
      <c r="H136" s="2138"/>
      <c r="I136" s="2138"/>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131:I133"/>
    <mergeCell ref="E45:G45"/>
    <mergeCell ref="E47:I47"/>
    <mergeCell ref="E48:I48"/>
    <mergeCell ref="E76:G76"/>
    <mergeCell ref="E80:I80"/>
    <mergeCell ref="E96:H96"/>
    <mergeCell ref="E98:I98"/>
    <mergeCell ref="E99:I99"/>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s>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2139" t="s">
        <v>90</v>
      </c>
      <c r="C13" s="2140"/>
      <c r="D13" s="2140"/>
      <c r="E13" s="2140"/>
      <c r="F13" s="2140"/>
      <c r="G13" s="2140"/>
      <c r="H13" s="2140"/>
      <c r="I13" s="2140"/>
      <c r="J13" s="2140"/>
      <c r="K13" s="2141"/>
    </row>
    <row r="15" spans="1:11">
      <c r="B15" s="1" t="s">
        <v>91</v>
      </c>
      <c r="C15" s="1" t="s">
        <v>92</v>
      </c>
    </row>
    <row r="16" spans="1:11">
      <c r="B16" s="1" t="s">
        <v>93</v>
      </c>
      <c r="C16" s="1" t="s">
        <v>94</v>
      </c>
    </row>
    <row r="18" spans="1:11" ht="27" customHeight="1">
      <c r="B18" s="245" t="s">
        <v>351</v>
      </c>
      <c r="C18" s="2138" t="s">
        <v>352</v>
      </c>
      <c r="D18" s="2138"/>
      <c r="E18" s="2138"/>
      <c r="F18" s="2138"/>
      <c r="G18" s="2138"/>
      <c r="H18" s="2138"/>
      <c r="I18" s="2138"/>
      <c r="J18" s="2138"/>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2138" t="s">
        <v>101</v>
      </c>
      <c r="C24" s="2138"/>
      <c r="D24" s="2138"/>
      <c r="E24" s="2138"/>
      <c r="F24" s="2138"/>
      <c r="G24" s="2138"/>
      <c r="H24" s="2138"/>
      <c r="I24" s="2138"/>
      <c r="J24" s="2138"/>
      <c r="K24" s="2138"/>
    </row>
    <row r="26" spans="1:11">
      <c r="B26" s="1" t="s">
        <v>102</v>
      </c>
    </row>
    <row r="27" spans="1:11">
      <c r="B27" s="2139" t="s">
        <v>103</v>
      </c>
      <c r="C27" s="2140"/>
      <c r="D27" s="2140"/>
      <c r="E27" s="2140"/>
      <c r="F27" s="2141"/>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889">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2155" t="s">
        <v>190</v>
      </c>
      <c r="C58" s="2155"/>
      <c r="D58" s="2155"/>
      <c r="E58" s="2155"/>
      <c r="F58" s="2155"/>
      <c r="G58" s="2155"/>
      <c r="H58" s="2155"/>
      <c r="I58" s="2155"/>
      <c r="J58" s="2155"/>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2229" t="s">
        <v>180</v>
      </c>
      <c r="C2" s="2229"/>
      <c r="D2" s="2229"/>
      <c r="E2" s="2229"/>
      <c r="F2" s="2229"/>
      <c r="G2" s="2229"/>
      <c r="H2" s="2229"/>
      <c r="I2" s="2229"/>
      <c r="J2" s="2229"/>
      <c r="K2" s="2229"/>
      <c r="L2" s="2229"/>
      <c r="M2" s="2229"/>
      <c r="N2" s="2229"/>
      <c r="O2" s="2229"/>
    </row>
    <row r="3" spans="2:28">
      <c r="B3" s="2221" t="s">
        <v>46</v>
      </c>
      <c r="C3" s="2211"/>
      <c r="D3" s="2211" t="s">
        <v>47</v>
      </c>
      <c r="E3" s="2211"/>
      <c r="F3" s="2224"/>
      <c r="G3" s="2193" t="s">
        <v>48</v>
      </c>
      <c r="H3" s="2194"/>
      <c r="I3" s="2194"/>
      <c r="J3" s="2194"/>
      <c r="K3" s="2194"/>
      <c r="L3" s="2225"/>
      <c r="M3" s="2221" t="s">
        <v>49</v>
      </c>
      <c r="N3" s="2226"/>
      <c r="O3" s="2212"/>
    </row>
    <row r="4" spans="2:28" ht="26">
      <c r="B4" s="1215"/>
      <c r="C4" s="1206"/>
      <c r="D4" s="1206" t="s">
        <v>50</v>
      </c>
      <c r="E4" s="1206" t="s">
        <v>51</v>
      </c>
      <c r="F4" s="2227" t="s">
        <v>52</v>
      </c>
      <c r="G4" s="24">
        <v>9</v>
      </c>
      <c r="H4" s="25" t="s">
        <v>53</v>
      </c>
      <c r="I4" s="26">
        <v>12</v>
      </c>
      <c r="J4" s="25" t="s">
        <v>53</v>
      </c>
      <c r="K4" s="26">
        <v>15</v>
      </c>
      <c r="L4" s="628" t="s">
        <v>608</v>
      </c>
      <c r="M4" s="2231" t="s">
        <v>607</v>
      </c>
      <c r="N4" s="2228" t="s">
        <v>184</v>
      </c>
      <c r="O4" s="2214" t="s">
        <v>49</v>
      </c>
      <c r="AA4" s="628" t="s">
        <v>608</v>
      </c>
      <c r="AB4" s="629" t="s">
        <v>607</v>
      </c>
    </row>
    <row r="5" spans="2:28">
      <c r="B5" s="1215"/>
      <c r="C5" s="1206"/>
      <c r="D5" s="1206"/>
      <c r="E5" s="1206"/>
      <c r="F5" s="2227"/>
      <c r="G5" s="28" t="s">
        <v>55</v>
      </c>
      <c r="H5" s="29" t="s">
        <v>48</v>
      </c>
      <c r="I5" s="29" t="s">
        <v>55</v>
      </c>
      <c r="J5" s="29" t="s">
        <v>48</v>
      </c>
      <c r="K5" s="29" t="s">
        <v>55</v>
      </c>
      <c r="L5" s="30" t="s">
        <v>48</v>
      </c>
      <c r="M5" s="1215"/>
      <c r="N5" s="2217"/>
      <c r="O5" s="2214"/>
    </row>
    <row r="6" spans="2:28" ht="13.5" thickBot="1">
      <c r="B6" s="1216"/>
      <c r="C6" s="2213"/>
      <c r="D6" s="2213"/>
      <c r="E6" s="31" t="s">
        <v>56</v>
      </c>
      <c r="F6" s="32" t="s">
        <v>864</v>
      </c>
      <c r="G6" s="33" t="s">
        <v>738</v>
      </c>
      <c r="H6" s="31" t="s">
        <v>12</v>
      </c>
      <c r="I6" s="31" t="s">
        <v>738</v>
      </c>
      <c r="J6" s="31" t="s">
        <v>12</v>
      </c>
      <c r="K6" s="31" t="s">
        <v>738</v>
      </c>
      <c r="L6" s="34" t="s">
        <v>12</v>
      </c>
      <c r="M6" s="53" t="s">
        <v>738</v>
      </c>
      <c r="N6" s="148" t="s">
        <v>10</v>
      </c>
      <c r="O6" s="125" t="s">
        <v>12</v>
      </c>
    </row>
    <row r="7" spans="2:28" ht="13.5" thickBot="1">
      <c r="B7" s="2218"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2219"/>
      <c r="C8" s="2221"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2219"/>
      <c r="C9" s="1215"/>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2219"/>
      <c r="C10" s="1215"/>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2219"/>
      <c r="C11" s="1215"/>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2219"/>
      <c r="C12" s="1215"/>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2219"/>
      <c r="C13" s="1215"/>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2219"/>
      <c r="C14" s="1215"/>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2219"/>
      <c r="C15" s="1216"/>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2219"/>
      <c r="C16" s="2221"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2219"/>
      <c r="C17" s="1215"/>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2219"/>
      <c r="C18" s="1215"/>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2219"/>
      <c r="C19" s="1215"/>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2219"/>
      <c r="C20" s="1215"/>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2219"/>
      <c r="C21" s="1215"/>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2219"/>
      <c r="C22" s="1215"/>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2220"/>
      <c r="C23" s="2230"/>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2222" t="s">
        <v>72</v>
      </c>
      <c r="C24" s="2223"/>
      <c r="D24" s="2223"/>
      <c r="E24" s="56"/>
      <c r="F24" s="57"/>
      <c r="G24" s="122"/>
      <c r="H24" s="39">
        <f>SUM(H7:H23)</f>
        <v>0</v>
      </c>
      <c r="I24" s="123"/>
      <c r="J24" s="39">
        <f>SUM(J7:J23)</f>
        <v>0</v>
      </c>
      <c r="K24" s="124"/>
      <c r="L24" s="40">
        <f>SUM(L7:L23)</f>
        <v>0</v>
      </c>
      <c r="M24" s="58"/>
      <c r="N24" s="74"/>
      <c r="O24" s="60">
        <f>SUM(O7:O23)</f>
        <v>0</v>
      </c>
    </row>
    <row r="25" spans="2:15">
      <c r="B25" s="2221" t="s">
        <v>46</v>
      </c>
      <c r="C25" s="2211"/>
      <c r="D25" s="2211" t="s">
        <v>47</v>
      </c>
      <c r="E25" s="2211"/>
      <c r="F25" s="2212"/>
      <c r="G25" s="2210" t="s">
        <v>48</v>
      </c>
      <c r="H25" s="2211"/>
      <c r="I25" s="2211"/>
      <c r="J25" s="2211"/>
      <c r="K25" s="2211"/>
      <c r="L25" s="2212"/>
      <c r="M25" s="61"/>
      <c r="N25" s="151"/>
      <c r="O25" s="62"/>
    </row>
    <row r="26" spans="2:15">
      <c r="B26" s="1215"/>
      <c r="C26" s="1206"/>
      <c r="D26" s="1206" t="s">
        <v>50</v>
      </c>
      <c r="E26" s="1206" t="s">
        <v>51</v>
      </c>
      <c r="F26" s="2214" t="s">
        <v>73</v>
      </c>
      <c r="G26" s="24">
        <v>9</v>
      </c>
      <c r="H26" s="25" t="s">
        <v>53</v>
      </c>
      <c r="I26" s="26">
        <v>12</v>
      </c>
      <c r="J26" s="25" t="s">
        <v>53</v>
      </c>
      <c r="K26" s="26">
        <v>15</v>
      </c>
      <c r="L26" s="27" t="s">
        <v>53</v>
      </c>
      <c r="M26" s="64"/>
      <c r="N26" s="152"/>
      <c r="O26" s="65"/>
    </row>
    <row r="27" spans="2:15">
      <c r="B27" s="1215"/>
      <c r="C27" s="1206"/>
      <c r="D27" s="1206"/>
      <c r="E27" s="1206"/>
      <c r="F27" s="2214"/>
      <c r="G27" s="66" t="s">
        <v>74</v>
      </c>
      <c r="H27" s="4" t="s">
        <v>48</v>
      </c>
      <c r="I27" s="4" t="s">
        <v>74</v>
      </c>
      <c r="J27" s="4" t="s">
        <v>48</v>
      </c>
      <c r="K27" s="4" t="s">
        <v>74</v>
      </c>
      <c r="L27" s="36" t="s">
        <v>48</v>
      </c>
      <c r="M27" s="64"/>
      <c r="N27" s="152"/>
      <c r="O27" s="65"/>
    </row>
    <row r="28" spans="2:15" ht="13.5" thickBot="1">
      <c r="B28" s="1216"/>
      <c r="C28" s="2213"/>
      <c r="D28" s="2213"/>
      <c r="E28" s="31" t="s">
        <v>56</v>
      </c>
      <c r="F28" s="34" t="s">
        <v>10</v>
      </c>
      <c r="G28" s="67" t="s">
        <v>75</v>
      </c>
      <c r="H28" s="31" t="s">
        <v>12</v>
      </c>
      <c r="I28" s="31" t="s">
        <v>75</v>
      </c>
      <c r="J28" s="31" t="s">
        <v>12</v>
      </c>
      <c r="K28" s="31" t="s">
        <v>75</v>
      </c>
      <c r="L28" s="34" t="s">
        <v>12</v>
      </c>
      <c r="M28" s="64"/>
      <c r="N28" s="152"/>
      <c r="O28" s="65"/>
    </row>
    <row r="29" spans="2:15">
      <c r="B29" s="2215" t="s">
        <v>76</v>
      </c>
      <c r="C29" s="2217"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2215"/>
      <c r="C30" s="1206"/>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2215"/>
      <c r="C31" s="1206"/>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2215"/>
      <c r="C32" s="1206"/>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2215"/>
      <c r="C33" s="1206"/>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2215"/>
      <c r="C34" s="1206"/>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2215"/>
      <c r="C35" s="1206"/>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2216"/>
      <c r="C36" s="2213"/>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2193" t="s">
        <v>72</v>
      </c>
      <c r="C37" s="2194"/>
      <c r="D37" s="2194"/>
      <c r="E37" s="68"/>
      <c r="F37" s="69"/>
      <c r="G37" s="70"/>
      <c r="H37" s="71">
        <f>SUM(H29:H36)</f>
        <v>0</v>
      </c>
      <c r="I37" s="68"/>
      <c r="J37" s="71">
        <f>SUM(J29:J36)</f>
        <v>0</v>
      </c>
      <c r="K37" s="68"/>
      <c r="L37" s="71">
        <f>SUM(L29:L36)</f>
        <v>0</v>
      </c>
      <c r="M37" s="72"/>
      <c r="N37" s="153"/>
      <c r="O37" s="73"/>
    </row>
    <row r="38" spans="2:15" ht="18" customHeight="1" thickBot="1">
      <c r="B38" s="1207" t="s">
        <v>1</v>
      </c>
      <c r="C38" s="1208"/>
      <c r="D38" s="1208"/>
      <c r="E38" s="2195"/>
      <c r="F38" s="74"/>
      <c r="G38" s="74"/>
      <c r="H38" s="59">
        <f>H37+H24</f>
        <v>0</v>
      </c>
      <c r="I38" s="74"/>
      <c r="J38" s="59">
        <f>J37+J24</f>
        <v>0</v>
      </c>
      <c r="K38" s="74"/>
      <c r="L38" s="59">
        <f>L37+L24</f>
        <v>0</v>
      </c>
      <c r="M38" s="74"/>
      <c r="N38" s="74"/>
      <c r="O38" s="60">
        <f>O24</f>
        <v>0</v>
      </c>
    </row>
    <row r="39" spans="2:15" ht="17" thickBot="1">
      <c r="B39" s="2229" t="s">
        <v>181</v>
      </c>
      <c r="C39" s="2229"/>
      <c r="D39" s="2229"/>
      <c r="E39" s="2229"/>
      <c r="F39" s="2229"/>
      <c r="G39" s="2229"/>
      <c r="H39" s="2229"/>
      <c r="I39" s="2229"/>
      <c r="J39" s="2229"/>
      <c r="K39" s="2229"/>
      <c r="L39" s="2229"/>
      <c r="M39" s="2229"/>
      <c r="N39" s="2229"/>
      <c r="O39" s="2229"/>
    </row>
    <row r="40" spans="2:15">
      <c r="B40" s="2221" t="s">
        <v>46</v>
      </c>
      <c r="C40" s="2211"/>
      <c r="D40" s="2211" t="s">
        <v>47</v>
      </c>
      <c r="E40" s="2211"/>
      <c r="F40" s="2224"/>
      <c r="G40" s="2193" t="s">
        <v>48</v>
      </c>
      <c r="H40" s="2194"/>
      <c r="I40" s="2194"/>
      <c r="J40" s="2194"/>
      <c r="K40" s="2194"/>
      <c r="L40" s="2225"/>
      <c r="M40" s="2221" t="s">
        <v>49</v>
      </c>
      <c r="N40" s="2226"/>
      <c r="O40" s="2212"/>
    </row>
    <row r="41" spans="2:15">
      <c r="B41" s="1215"/>
      <c r="C41" s="1206"/>
      <c r="D41" s="1206" t="s">
        <v>50</v>
      </c>
      <c r="E41" s="1206" t="s">
        <v>51</v>
      </c>
      <c r="F41" s="2227" t="s">
        <v>52</v>
      </c>
      <c r="G41" s="24">
        <v>9</v>
      </c>
      <c r="H41" s="25" t="s">
        <v>53</v>
      </c>
      <c r="I41" s="26">
        <v>12</v>
      </c>
      <c r="J41" s="25" t="s">
        <v>53</v>
      </c>
      <c r="K41" s="26">
        <v>15</v>
      </c>
      <c r="L41" s="27" t="s">
        <v>53</v>
      </c>
      <c r="M41" s="1215" t="s">
        <v>54</v>
      </c>
      <c r="N41" s="2228" t="s">
        <v>184</v>
      </c>
      <c r="O41" s="2214" t="s">
        <v>49</v>
      </c>
    </row>
    <row r="42" spans="2:15">
      <c r="B42" s="1215"/>
      <c r="C42" s="1206"/>
      <c r="D42" s="1206"/>
      <c r="E42" s="1206"/>
      <c r="F42" s="2227"/>
      <c r="G42" s="28" t="s">
        <v>55</v>
      </c>
      <c r="H42" s="29" t="s">
        <v>48</v>
      </c>
      <c r="I42" s="29" t="s">
        <v>55</v>
      </c>
      <c r="J42" s="29" t="s">
        <v>48</v>
      </c>
      <c r="K42" s="29" t="s">
        <v>55</v>
      </c>
      <c r="L42" s="30" t="s">
        <v>48</v>
      </c>
      <c r="M42" s="1215"/>
      <c r="N42" s="2217"/>
      <c r="O42" s="2214"/>
    </row>
    <row r="43" spans="2:15" ht="13.5" thickBot="1">
      <c r="B43" s="1216"/>
      <c r="C43" s="2213"/>
      <c r="D43" s="2213"/>
      <c r="E43" s="31" t="s">
        <v>56</v>
      </c>
      <c r="F43" s="32" t="s">
        <v>864</v>
      </c>
      <c r="G43" s="33" t="s">
        <v>738</v>
      </c>
      <c r="H43" s="31" t="s">
        <v>12</v>
      </c>
      <c r="I43" s="31" t="s">
        <v>738</v>
      </c>
      <c r="J43" s="31" t="s">
        <v>12</v>
      </c>
      <c r="K43" s="31" t="s">
        <v>738</v>
      </c>
      <c r="L43" s="34" t="s">
        <v>12</v>
      </c>
      <c r="M43" s="53" t="s">
        <v>738</v>
      </c>
      <c r="N43" s="148" t="s">
        <v>10</v>
      </c>
      <c r="O43" s="125" t="s">
        <v>12</v>
      </c>
    </row>
    <row r="44" spans="2:15" ht="13.5" thickBot="1">
      <c r="B44" s="2218"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2219"/>
      <c r="C45" s="2221"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2219"/>
      <c r="C46" s="1215"/>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2219"/>
      <c r="C47" s="1215"/>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2219"/>
      <c r="C48" s="1215"/>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2219"/>
      <c r="C49" s="1215"/>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2219"/>
      <c r="C50" s="1215"/>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2219"/>
      <c r="C51" s="1215"/>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2219"/>
      <c r="C52" s="1216"/>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2219"/>
      <c r="C53" s="2221"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2219"/>
      <c r="C54" s="1215"/>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2219"/>
      <c r="C55" s="1215"/>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2219"/>
      <c r="C56" s="1215"/>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2219"/>
      <c r="C57" s="1215"/>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2219"/>
      <c r="C58" s="1215"/>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2219"/>
      <c r="C59" s="1215"/>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2220"/>
      <c r="C60" s="1216"/>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2222" t="s">
        <v>72</v>
      </c>
      <c r="C61" s="2223"/>
      <c r="D61" s="2223"/>
      <c r="E61" s="56"/>
      <c r="F61" s="57"/>
      <c r="G61" s="122"/>
      <c r="H61" s="39">
        <f>SUM(H44:H60)</f>
        <v>0</v>
      </c>
      <c r="I61" s="123"/>
      <c r="J61" s="39">
        <f>SUM(J44:J60)</f>
        <v>0</v>
      </c>
      <c r="K61" s="124"/>
      <c r="L61" s="40">
        <f>SUM(L44:L60)</f>
        <v>0</v>
      </c>
      <c r="M61" s="58"/>
      <c r="N61" s="74"/>
      <c r="O61" s="60">
        <f>SUM(O44:O60)</f>
        <v>0</v>
      </c>
    </row>
    <row r="62" spans="2:15">
      <c r="B62" s="2221" t="s">
        <v>46</v>
      </c>
      <c r="C62" s="2211"/>
      <c r="D62" s="2211" t="s">
        <v>47</v>
      </c>
      <c r="E62" s="2211"/>
      <c r="F62" s="2212"/>
      <c r="G62" s="2210" t="s">
        <v>48</v>
      </c>
      <c r="H62" s="2211"/>
      <c r="I62" s="2211"/>
      <c r="J62" s="2211"/>
      <c r="K62" s="2211"/>
      <c r="L62" s="2212"/>
      <c r="M62" s="61"/>
      <c r="N62" s="151"/>
      <c r="O62" s="62"/>
    </row>
    <row r="63" spans="2:15">
      <c r="B63" s="1215"/>
      <c r="C63" s="1206"/>
      <c r="D63" s="1206" t="s">
        <v>50</v>
      </c>
      <c r="E63" s="1206" t="s">
        <v>51</v>
      </c>
      <c r="F63" s="2214" t="s">
        <v>73</v>
      </c>
      <c r="G63" s="24">
        <v>9</v>
      </c>
      <c r="H63" s="25" t="s">
        <v>53</v>
      </c>
      <c r="I63" s="26">
        <v>12</v>
      </c>
      <c r="J63" s="25" t="s">
        <v>53</v>
      </c>
      <c r="K63" s="26">
        <v>15</v>
      </c>
      <c r="L63" s="27" t="s">
        <v>53</v>
      </c>
      <c r="M63" s="64"/>
      <c r="N63" s="152"/>
      <c r="O63" s="65"/>
    </row>
    <row r="64" spans="2:15">
      <c r="B64" s="1215"/>
      <c r="C64" s="1206"/>
      <c r="D64" s="1206"/>
      <c r="E64" s="1206"/>
      <c r="F64" s="2214"/>
      <c r="G64" s="66" t="s">
        <v>74</v>
      </c>
      <c r="H64" s="4" t="s">
        <v>48</v>
      </c>
      <c r="I64" s="4" t="s">
        <v>74</v>
      </c>
      <c r="J64" s="4" t="s">
        <v>48</v>
      </c>
      <c r="K64" s="4" t="s">
        <v>74</v>
      </c>
      <c r="L64" s="36" t="s">
        <v>48</v>
      </c>
      <c r="M64" s="64"/>
      <c r="N64" s="152"/>
      <c r="O64" s="65"/>
    </row>
    <row r="65" spans="2:15" ht="13.5" thickBot="1">
      <c r="B65" s="1216"/>
      <c r="C65" s="2213"/>
      <c r="D65" s="2213"/>
      <c r="E65" s="31" t="s">
        <v>56</v>
      </c>
      <c r="F65" s="34" t="s">
        <v>10</v>
      </c>
      <c r="G65" s="67" t="s">
        <v>75</v>
      </c>
      <c r="H65" s="31" t="s">
        <v>12</v>
      </c>
      <c r="I65" s="31" t="s">
        <v>75</v>
      </c>
      <c r="J65" s="31" t="s">
        <v>12</v>
      </c>
      <c r="K65" s="31" t="s">
        <v>75</v>
      </c>
      <c r="L65" s="34" t="s">
        <v>12</v>
      </c>
      <c r="M65" s="64"/>
      <c r="N65" s="152"/>
      <c r="O65" s="65"/>
    </row>
    <row r="66" spans="2:15">
      <c r="B66" s="2215" t="s">
        <v>76</v>
      </c>
      <c r="C66" s="2217"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2215"/>
      <c r="C67" s="1206"/>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2215"/>
      <c r="C68" s="1206"/>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2215"/>
      <c r="C69" s="1206"/>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2215"/>
      <c r="C70" s="1206"/>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2215"/>
      <c r="C71" s="1206"/>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2215"/>
      <c r="C72" s="1206"/>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2216"/>
      <c r="C73" s="2213"/>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2193" t="s">
        <v>72</v>
      </c>
      <c r="C74" s="2194"/>
      <c r="D74" s="2194"/>
      <c r="E74" s="68"/>
      <c r="F74" s="69"/>
      <c r="G74" s="70"/>
      <c r="H74" s="71">
        <f>SUM(H66:H73)</f>
        <v>0</v>
      </c>
      <c r="I74" s="68"/>
      <c r="J74" s="71">
        <f>SUM(J66:J73)</f>
        <v>0</v>
      </c>
      <c r="K74" s="68"/>
      <c r="L74" s="71">
        <f>SUM(L66:L73)</f>
        <v>0</v>
      </c>
      <c r="M74" s="72"/>
      <c r="N74" s="153"/>
      <c r="O74" s="73"/>
    </row>
    <row r="75" spans="2:15" ht="13.5" thickBot="1">
      <c r="B75" s="1207" t="s">
        <v>1</v>
      </c>
      <c r="C75" s="1208"/>
      <c r="D75" s="1208"/>
      <c r="E75" s="2195"/>
      <c r="F75" s="74"/>
      <c r="G75" s="74"/>
      <c r="H75" s="59">
        <f>H74+H61</f>
        <v>0</v>
      </c>
      <c r="I75" s="74"/>
      <c r="J75" s="59">
        <f>J74+J61</f>
        <v>0</v>
      </c>
      <c r="K75" s="74"/>
      <c r="L75" s="59">
        <f>L74+L61</f>
        <v>0</v>
      </c>
      <c r="M75" s="74"/>
      <c r="N75" s="74"/>
      <c r="O75" s="60">
        <f>O61</f>
        <v>0</v>
      </c>
    </row>
    <row r="78" spans="2:15" ht="17" thickBot="1">
      <c r="B78" s="2196" t="s">
        <v>182</v>
      </c>
      <c r="C78" s="2196"/>
      <c r="D78" s="2196"/>
      <c r="E78" s="2196"/>
      <c r="F78" s="2196"/>
      <c r="G78" s="2196"/>
      <c r="H78" s="2196"/>
      <c r="I78" s="2196"/>
      <c r="J78" s="2196"/>
      <c r="K78" s="2196"/>
      <c r="L78" s="2196"/>
      <c r="M78" s="2196"/>
      <c r="N78" s="2196"/>
      <c r="O78" s="2196"/>
    </row>
    <row r="79" spans="2:15" ht="25" customHeight="1">
      <c r="B79" s="2197" t="s">
        <v>81</v>
      </c>
      <c r="C79" s="2198"/>
      <c r="D79" s="2198"/>
      <c r="E79" s="2198"/>
      <c r="F79" s="2199"/>
      <c r="G79" s="2203" t="s">
        <v>158</v>
      </c>
      <c r="H79" s="2172"/>
      <c r="I79" s="2172"/>
      <c r="J79" s="2172"/>
      <c r="K79" s="2172"/>
      <c r="L79" s="2160"/>
      <c r="M79" s="2204" t="s">
        <v>159</v>
      </c>
      <c r="N79" s="2205"/>
      <c r="O79" s="2206"/>
    </row>
    <row r="80" spans="2:15" ht="25" customHeight="1" thickBot="1">
      <c r="B80" s="2200"/>
      <c r="C80" s="2201"/>
      <c r="D80" s="2201"/>
      <c r="E80" s="2201"/>
      <c r="F80" s="2202"/>
      <c r="G80" s="116">
        <v>9</v>
      </c>
      <c r="H80" s="117" t="s">
        <v>53</v>
      </c>
      <c r="I80" s="118">
        <v>12</v>
      </c>
      <c r="J80" s="117" t="s">
        <v>53</v>
      </c>
      <c r="K80" s="118">
        <v>15</v>
      </c>
      <c r="L80" s="119" t="s">
        <v>53</v>
      </c>
      <c r="M80" s="2207"/>
      <c r="N80" s="2208"/>
      <c r="O80" s="2209"/>
    </row>
    <row r="81" spans="2:15" ht="25" customHeight="1">
      <c r="B81" s="2173" t="s">
        <v>78</v>
      </c>
      <c r="C81" s="2174"/>
      <c r="D81" s="2174"/>
      <c r="E81" s="2174"/>
      <c r="F81" s="2175"/>
      <c r="G81" s="2176">
        <f>H38</f>
        <v>0</v>
      </c>
      <c r="H81" s="2177"/>
      <c r="I81" s="2178">
        <f>J38</f>
        <v>0</v>
      </c>
      <c r="J81" s="2177"/>
      <c r="K81" s="2178">
        <f>L38</f>
        <v>0</v>
      </c>
      <c r="L81" s="2179"/>
      <c r="M81" s="2180">
        <f>O38</f>
        <v>0</v>
      </c>
      <c r="N81" s="2181"/>
      <c r="O81" s="2182"/>
    </row>
    <row r="82" spans="2:15" ht="25" customHeight="1" thickBot="1">
      <c r="B82" s="2183" t="s">
        <v>79</v>
      </c>
      <c r="C82" s="2184"/>
      <c r="D82" s="2184"/>
      <c r="E82" s="2184"/>
      <c r="F82" s="2185"/>
      <c r="G82" s="2186">
        <f>H75</f>
        <v>0</v>
      </c>
      <c r="H82" s="2187"/>
      <c r="I82" s="2188">
        <f>J75</f>
        <v>0</v>
      </c>
      <c r="J82" s="2187"/>
      <c r="K82" s="2188">
        <f>L75</f>
        <v>0</v>
      </c>
      <c r="L82" s="2189"/>
      <c r="M82" s="2190">
        <f>O75</f>
        <v>0</v>
      </c>
      <c r="N82" s="2191"/>
      <c r="O82" s="2192"/>
    </row>
    <row r="83" spans="2:15" ht="25" customHeight="1" thickBot="1">
      <c r="B83" s="2168" t="s">
        <v>80</v>
      </c>
      <c r="C83" s="2169"/>
      <c r="D83" s="2169"/>
      <c r="E83" s="2169"/>
      <c r="F83" s="2170"/>
      <c r="G83" s="2171">
        <f>G81-G82</f>
        <v>0</v>
      </c>
      <c r="H83" s="2172"/>
      <c r="I83" s="2156">
        <f>I81-I82</f>
        <v>0</v>
      </c>
      <c r="J83" s="2172"/>
      <c r="K83" s="2156">
        <f>K81-K82</f>
        <v>0</v>
      </c>
      <c r="L83" s="2157"/>
      <c r="M83" s="2158">
        <f>M81-M82</f>
        <v>0</v>
      </c>
      <c r="N83" s="2159"/>
      <c r="O83" s="2160"/>
    </row>
    <row r="84" spans="2:15" ht="25" customHeight="1" thickBot="1">
      <c r="B84" s="2161" t="s">
        <v>160</v>
      </c>
      <c r="C84" s="2162"/>
      <c r="D84" s="2162"/>
      <c r="E84" s="2162"/>
      <c r="F84" s="2163"/>
      <c r="G84" s="115"/>
      <c r="H84" s="115"/>
      <c r="I84" s="2164">
        <f>MAX(G83:L83)</f>
        <v>0</v>
      </c>
      <c r="J84" s="2165"/>
      <c r="K84" s="115"/>
      <c r="L84" s="115"/>
      <c r="M84" s="2166">
        <f>M83</f>
        <v>0</v>
      </c>
      <c r="N84" s="2164"/>
      <c r="O84" s="2167"/>
    </row>
  </sheetData>
  <mergeCells count="72">
    <mergeCell ref="B2:O2"/>
    <mergeCell ref="B3:C6"/>
    <mergeCell ref="D3:F3"/>
    <mergeCell ref="G3:L3"/>
    <mergeCell ref="M3:O3"/>
    <mergeCell ref="D4:D6"/>
    <mergeCell ref="E4:E5"/>
    <mergeCell ref="F4:F5"/>
    <mergeCell ref="M4:M5"/>
    <mergeCell ref="N4:N5"/>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40:C43"/>
    <mergeCell ref="D40:F40"/>
    <mergeCell ref="G40:L40"/>
    <mergeCell ref="M40:O40"/>
    <mergeCell ref="D41:D43"/>
    <mergeCell ref="E41:E42"/>
    <mergeCell ref="F41:F42"/>
    <mergeCell ref="M41:M42"/>
    <mergeCell ref="N41:N42"/>
    <mergeCell ref="O41:O42"/>
    <mergeCell ref="B44:B60"/>
    <mergeCell ref="C45:C52"/>
    <mergeCell ref="C53:C60"/>
    <mergeCell ref="B61:D61"/>
    <mergeCell ref="B62:C65"/>
    <mergeCell ref="D62:F62"/>
    <mergeCell ref="G62:L62"/>
    <mergeCell ref="D63:D65"/>
    <mergeCell ref="E63:E64"/>
    <mergeCell ref="F63:F64"/>
    <mergeCell ref="B66:B73"/>
    <mergeCell ref="C66:C73"/>
    <mergeCell ref="B74:D74"/>
    <mergeCell ref="B75:E75"/>
    <mergeCell ref="B78:O78"/>
    <mergeCell ref="B79:F80"/>
    <mergeCell ref="G79:L79"/>
    <mergeCell ref="M79:O80"/>
    <mergeCell ref="B82:F82"/>
    <mergeCell ref="G82:H82"/>
    <mergeCell ref="I82:J82"/>
    <mergeCell ref="K82:L82"/>
    <mergeCell ref="M82:O82"/>
    <mergeCell ref="B81:F81"/>
    <mergeCell ref="G81:H81"/>
    <mergeCell ref="I81:J81"/>
    <mergeCell ref="K81:L81"/>
    <mergeCell ref="M81:O81"/>
    <mergeCell ref="K83:L83"/>
    <mergeCell ref="M83:O83"/>
    <mergeCell ref="B84:F84"/>
    <mergeCell ref="I84:J84"/>
    <mergeCell ref="M84:O84"/>
    <mergeCell ref="B83:F83"/>
    <mergeCell ref="G83:H83"/>
    <mergeCell ref="I83:J83"/>
  </mergeCells>
  <phoneticPr fontId="2"/>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232" t="s">
        <v>219</v>
      </c>
      <c r="D3" s="21" t="s">
        <v>208</v>
      </c>
      <c r="E3" s="21" t="s">
        <v>207</v>
      </c>
      <c r="F3" s="21" t="s">
        <v>210</v>
      </c>
      <c r="G3" s="21" t="s">
        <v>214</v>
      </c>
      <c r="H3" s="21" t="s">
        <v>218</v>
      </c>
    </row>
    <row r="4" spans="1:9">
      <c r="C4" s="2232"/>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206" t="s">
        <v>81</v>
      </c>
      <c r="D52" s="4" t="s">
        <v>208</v>
      </c>
      <c r="E52" s="4" t="s">
        <v>207</v>
      </c>
      <c r="F52" s="4" t="s">
        <v>210</v>
      </c>
      <c r="G52" s="4" t="s">
        <v>214</v>
      </c>
      <c r="H52" s="4" t="s">
        <v>52</v>
      </c>
    </row>
    <row r="53" spans="3:8">
      <c r="C53" s="1206"/>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206" t="s">
        <v>219</v>
      </c>
      <c r="D70" s="4" t="s">
        <v>208</v>
      </c>
      <c r="E70" s="4" t="s">
        <v>207</v>
      </c>
      <c r="F70" s="4" t="s">
        <v>210</v>
      </c>
      <c r="G70" s="4" t="s">
        <v>214</v>
      </c>
      <c r="H70" s="4" t="s">
        <v>218</v>
      </c>
    </row>
    <row r="71" spans="1:8">
      <c r="C71" s="1206"/>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233" t="s">
        <v>138</v>
      </c>
      <c r="C4" s="2233" t="s">
        <v>50</v>
      </c>
      <c r="D4" s="2233" t="s">
        <v>139</v>
      </c>
      <c r="E4" s="2233"/>
      <c r="F4" s="2233"/>
      <c r="G4" s="2233"/>
      <c r="H4" s="2233"/>
      <c r="I4" s="2233"/>
      <c r="J4" s="2233"/>
      <c r="K4" s="2233"/>
      <c r="L4" s="2233"/>
      <c r="M4" s="2233"/>
      <c r="N4" s="2233"/>
      <c r="O4" s="2233"/>
      <c r="P4" s="2233"/>
      <c r="Q4" s="2233"/>
      <c r="R4" s="2233"/>
      <c r="S4" s="2233"/>
      <c r="T4" s="2233"/>
      <c r="U4" s="2233"/>
      <c r="V4" s="2233"/>
      <c r="W4" s="2233"/>
      <c r="X4" s="2233"/>
      <c r="Y4" s="2233"/>
      <c r="Z4" s="2233"/>
      <c r="AA4" s="2233"/>
    </row>
    <row r="5" spans="2:27">
      <c r="B5" s="2233"/>
      <c r="C5" s="2233"/>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233"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234"/>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233"/>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233"/>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233"/>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233"/>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233"/>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233"/>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233"/>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233"/>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235" t="s">
        <v>138</v>
      </c>
      <c r="C18" s="2235" t="s">
        <v>50</v>
      </c>
      <c r="D18" s="2235" t="s">
        <v>139</v>
      </c>
      <c r="E18" s="2235"/>
      <c r="F18" s="2235"/>
      <c r="G18" s="2235"/>
      <c r="H18" s="2235"/>
      <c r="I18" s="2235"/>
      <c r="J18" s="2235"/>
      <c r="K18" s="2235"/>
      <c r="L18" s="2236"/>
      <c r="M18" s="2235"/>
      <c r="N18" s="2235"/>
      <c r="O18" s="2236"/>
      <c r="P18" s="2235"/>
      <c r="Q18" s="2235"/>
      <c r="R18" s="2236"/>
      <c r="S18" s="2235"/>
      <c r="T18" s="2235"/>
      <c r="U18" s="2235"/>
      <c r="V18" s="2235"/>
      <c r="W18" s="2235"/>
      <c r="X18" s="2235"/>
      <c r="Y18" s="2235"/>
      <c r="Z18" s="2235"/>
      <c r="AA18" s="2235"/>
    </row>
    <row r="19" spans="2:27">
      <c r="B19" s="2235"/>
      <c r="C19" s="2235"/>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235"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823">
        <f>ROUND(L6+'実効温度差（ETD)諸言'!$G$38,1)</f>
        <v>1.1000000000000001</v>
      </c>
      <c r="M20" s="201">
        <f>M6+'実効温度差（ETD)諸言'!$G$38</f>
        <v>1.0999999999999979</v>
      </c>
      <c r="N20" s="200">
        <f>N6+'実効温度差（ETD)諸言'!$G$38</f>
        <v>2.0999999999999979</v>
      </c>
      <c r="O20" s="823">
        <f>ROUND(O6+'実効温度差（ETD)諸言'!$G$38,1)</f>
        <v>2.1</v>
      </c>
      <c r="P20" s="201">
        <f>P6+'実効温度差（ETD)諸言'!$G$38</f>
        <v>3.0999999999999979</v>
      </c>
      <c r="Q20" s="200">
        <f>Q6+'実効温度差（ETD)諸言'!$G$38</f>
        <v>3.0999999999999979</v>
      </c>
      <c r="R20" s="823">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237"/>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824">
        <f>ROUND(L7+'実効温度差（ETD)諸言'!$G$38,1)</f>
        <v>7.1</v>
      </c>
      <c r="M21" s="209">
        <f>M7+'実効温度差（ETD)諸言'!$G$38</f>
        <v>9.0999999999999979</v>
      </c>
      <c r="N21" s="208">
        <f>N7+'実効温度差（ETD)諸言'!$G$38</f>
        <v>12.099999999999998</v>
      </c>
      <c r="O21" s="824">
        <f>ROUND(O7+'実効温度差（ETD)諸言'!$G$38,1)</f>
        <v>16.100000000000001</v>
      </c>
      <c r="P21" s="209">
        <f>P7+'実効温度差（ETD)諸言'!$G$38</f>
        <v>19.099999999999998</v>
      </c>
      <c r="Q21" s="208">
        <f>Q7+'実効温度差（ETD)諸言'!$G$38</f>
        <v>21.099999999999998</v>
      </c>
      <c r="R21" s="824">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235"/>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825">
        <f>ROUND(L8+'実効温度差（ETD)諸言'!$G$38,1)</f>
        <v>3.1</v>
      </c>
      <c r="M22" s="205">
        <f>M8+'実効温度差（ETD)諸言'!$G$38</f>
        <v>3.0999999999999979</v>
      </c>
      <c r="N22" s="204">
        <f>N8+'実効温度差（ETD)諸言'!$G$38</f>
        <v>3.0999999999999979</v>
      </c>
      <c r="O22" s="825">
        <f>ROUND(O8+'実効温度差（ETD)諸言'!$G$38,1)</f>
        <v>4.0999999999999996</v>
      </c>
      <c r="P22" s="205">
        <f>P8+'実効温度差（ETD)諸言'!$G$38</f>
        <v>5.0999999999999979</v>
      </c>
      <c r="Q22" s="204">
        <f>Q8+'実効温度差（ETD)諸言'!$G$38</f>
        <v>5.0999999999999979</v>
      </c>
      <c r="R22" s="825">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235"/>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826">
        <f>ROUND(L9+'実効温度差（ETD)諸言'!$G$38,1)</f>
        <v>7.1</v>
      </c>
      <c r="M23" s="99">
        <f>M9+'実効温度差（ETD)諸言'!$G$38</f>
        <v>8.0999999999999979</v>
      </c>
      <c r="N23" s="98">
        <f>N9+'実効温度差（ETD)諸言'!$G$38</f>
        <v>9.0999999999999979</v>
      </c>
      <c r="O23" s="826">
        <f>ROUND(O9+'実効温度差（ETD)諸言'!$G$38,1)</f>
        <v>9.1</v>
      </c>
      <c r="P23" s="99">
        <f>P9+'実効温度差（ETD)諸言'!$G$38</f>
        <v>9.0999999999999979</v>
      </c>
      <c r="Q23" s="98">
        <f>Q9+'実効温度差（ETD)諸言'!$G$38</f>
        <v>9.0999999999999979</v>
      </c>
      <c r="R23" s="826">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235"/>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826">
        <f>ROUND(L10+'実効温度差（ETD)諸言'!$G$38,1)</f>
        <v>8.1</v>
      </c>
      <c r="M24" s="99">
        <f>M10+'実効温度差（ETD)諸言'!$G$38</f>
        <v>10.099999999999998</v>
      </c>
      <c r="N24" s="98">
        <f>N10+'実効温度差（ETD)諸言'!$G$38</f>
        <v>12.099999999999998</v>
      </c>
      <c r="O24" s="826">
        <f>ROUND(O10+'実効温度差（ETD)諸言'!$G$38,1)</f>
        <v>12.1</v>
      </c>
      <c r="P24" s="99">
        <f>P10+'実効温度差（ETD)諸言'!$G$38</f>
        <v>12.099999999999998</v>
      </c>
      <c r="Q24" s="98">
        <f>Q10+'実効温度差（ETD)諸言'!$G$38</f>
        <v>12.099999999999998</v>
      </c>
      <c r="R24" s="826">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235"/>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826">
        <f>ROUND(L11+'実効温度差（ETD)諸言'!$G$38,1)</f>
        <v>6.1</v>
      </c>
      <c r="M25" s="99">
        <f>M11+'実効温度差（ETD)諸言'!$G$38</f>
        <v>8.0999999999999979</v>
      </c>
      <c r="N25" s="98">
        <f>N11+'実効温度差（ETD)諸言'!$G$38</f>
        <v>9.0999999999999979</v>
      </c>
      <c r="O25" s="826">
        <f>ROUND(O11+'実効温度差（ETD)諸言'!$G$38,1)</f>
        <v>11.1</v>
      </c>
      <c r="P25" s="99">
        <f>P11+'実効温度差（ETD)諸言'!$G$38</f>
        <v>11.099999999999998</v>
      </c>
      <c r="Q25" s="98">
        <f>Q11+'実効温度差（ETD)諸言'!$G$38</f>
        <v>11.099999999999998</v>
      </c>
      <c r="R25" s="826">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235"/>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821">
        <f>ROUND(L12+'実効温度差（ETD)諸言'!$G$38,1)</f>
        <v>2.1</v>
      </c>
      <c r="M26" s="99">
        <f>M12+'実効温度差（ETD)諸言'!$G$38</f>
        <v>3.0999999999999979</v>
      </c>
      <c r="N26" s="98">
        <f>N12+'実効温度差（ETD)諸言'!$G$38</f>
        <v>4.0999999999999979</v>
      </c>
      <c r="O26" s="821">
        <f>ROUND(O12+'実効温度差（ETD)諸言'!$G$38,1)</f>
        <v>5.0999999999999996</v>
      </c>
      <c r="P26" s="99">
        <f>P12+'実効温度差（ETD)諸言'!$G$38</f>
        <v>7.0999999999999979</v>
      </c>
      <c r="Q26" s="98">
        <f>Q12+'実効温度差（ETD)諸言'!$G$38</f>
        <v>8.0999999999999979</v>
      </c>
      <c r="R26" s="821">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235"/>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821">
        <f>ROUND(L13+'実効温度差（ETD)諸言'!$G$38,1)</f>
        <v>2.1</v>
      </c>
      <c r="M27" s="99">
        <f>M13+'実効温度差（ETD)諸言'!$G$38</f>
        <v>3.0999999999999979</v>
      </c>
      <c r="N27" s="98">
        <f>N13+'実効温度差（ETD)諸言'!$G$38</f>
        <v>3.0999999999999979</v>
      </c>
      <c r="O27" s="821">
        <f>ROUND(O13+'実効温度差（ETD)諸言'!$G$38,1)</f>
        <v>4.0999999999999996</v>
      </c>
      <c r="P27" s="99">
        <f>P13+'実効温度差（ETD)諸言'!$G$38</f>
        <v>5.0999999999999979</v>
      </c>
      <c r="Q27" s="98">
        <f>Q13+'実効温度差（ETD)諸言'!$G$38</f>
        <v>7.0999999999999979</v>
      </c>
      <c r="R27" s="821">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235"/>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821">
        <f>ROUND(L14+'実効温度差（ETD)諸言'!$G$38,1)</f>
        <v>2.1</v>
      </c>
      <c r="M28" s="99">
        <f>M14+'実効温度差（ETD)諸言'!$G$38</f>
        <v>3.0999999999999979</v>
      </c>
      <c r="N28" s="98">
        <f>N14+'実効温度差（ETD)諸言'!$G$38</f>
        <v>3.0999999999999979</v>
      </c>
      <c r="O28" s="821">
        <f>ROUND(O14+'実効温度差（ETD)諸言'!$G$38,1)</f>
        <v>4.0999999999999996</v>
      </c>
      <c r="P28" s="99">
        <f>P14+'実効温度差（ETD)諸言'!$G$38</f>
        <v>5.0999999999999979</v>
      </c>
      <c r="Q28" s="98">
        <f>Q14+'実効温度差（ETD)諸言'!$G$38</f>
        <v>6.0999999999999979</v>
      </c>
      <c r="R28" s="821">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235"/>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822">
        <f>ROUND(L15+'実効温度差（ETD)諸言'!$G$38,1)</f>
        <v>2.1</v>
      </c>
      <c r="M29" s="99">
        <f>M15+'実効温度差（ETD)諸言'!$G$38</f>
        <v>3.0999999999999979</v>
      </c>
      <c r="N29" s="98">
        <f>N15+'実効温度差（ETD)諸言'!$G$38</f>
        <v>3.0999999999999979</v>
      </c>
      <c r="O29" s="822">
        <f>ROUND(O15+'実効温度差（ETD)諸言'!$G$38,1)</f>
        <v>4.0999999999999996</v>
      </c>
      <c r="P29" s="99">
        <f>P15+'実効温度差（ETD)諸言'!$G$38</f>
        <v>4.0999999999999979</v>
      </c>
      <c r="Q29" s="98">
        <f>Q15+'実効温度差（ETD)諸言'!$G$38</f>
        <v>5.0999999999999979</v>
      </c>
      <c r="R29" s="822">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233" t="s">
        <v>138</v>
      </c>
      <c r="C42" s="2233" t="s">
        <v>50</v>
      </c>
      <c r="D42" s="2233" t="s">
        <v>139</v>
      </c>
      <c r="E42" s="2233"/>
      <c r="F42" s="2233"/>
      <c r="G42" s="2233"/>
      <c r="H42" s="2233"/>
      <c r="I42" s="2233"/>
      <c r="J42" s="2233"/>
      <c r="K42" s="2233"/>
      <c r="L42" s="2238"/>
      <c r="M42" s="2233"/>
      <c r="N42" s="2233"/>
      <c r="O42" s="2238"/>
      <c r="P42" s="2233"/>
      <c r="Q42" s="2233"/>
      <c r="R42" s="2238"/>
      <c r="S42" s="2233"/>
      <c r="T42" s="2233"/>
      <c r="U42" s="2233"/>
      <c r="V42" s="2233"/>
      <c r="W42" s="2233"/>
      <c r="X42" s="2233"/>
      <c r="Y42" s="2233"/>
      <c r="Z42" s="2233"/>
      <c r="AA42" s="2233"/>
    </row>
    <row r="43" spans="2:27">
      <c r="B43" s="2233"/>
      <c r="C43" s="2233"/>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233"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234"/>
      <c r="C45" s="191" t="s">
        <v>141</v>
      </c>
      <c r="D45" s="192">
        <v>0</v>
      </c>
      <c r="E45" s="192">
        <v>0</v>
      </c>
      <c r="F45" s="192">
        <v>0</v>
      </c>
      <c r="G45" s="192">
        <v>0</v>
      </c>
      <c r="H45" s="193">
        <f>(入力!$D$83/0.7)*(H7-$H$6)+$H$6</f>
        <v>5</v>
      </c>
      <c r="I45" s="193">
        <f>(入力!D83/0.7)*(I7-$I$6)+$I$6</f>
        <v>4</v>
      </c>
      <c r="J45" s="193">
        <f>(入力!D83/0.7)*(J7-$J$6)+$J$6</f>
        <v>5</v>
      </c>
      <c r="K45" s="194">
        <f>(入力!D83/0.7)*(K7-$K$6)+$K$6</f>
        <v>6</v>
      </c>
      <c r="L45" s="827">
        <f>ROUND((入力!D83/0.7)*(L7-$L$6)+$L$6,1)</f>
        <v>8</v>
      </c>
      <c r="M45" s="196">
        <f>(入力!D83/0.7)*(M7-$M$6)+$M$6</f>
        <v>10</v>
      </c>
      <c r="N45" s="194">
        <f>(入力!D83/0.7)*(N7-$N$6)+$N$6</f>
        <v>13</v>
      </c>
      <c r="O45" s="195">
        <f>ROUND((入力!D83/0.7)*(O7-$O$6)+$O$6,1)</f>
        <v>17</v>
      </c>
      <c r="P45" s="196">
        <f>(入力!D83/0.7)*(P7-$P$6)+$P$6</f>
        <v>20</v>
      </c>
      <c r="Q45" s="194">
        <f>(入力!D83/0.7)*(Q7-$Q$6)+$Q$6</f>
        <v>22</v>
      </c>
      <c r="R45" s="827">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233"/>
      <c r="C46" s="185" t="s">
        <v>142</v>
      </c>
      <c r="D46" s="186">
        <v>0</v>
      </c>
      <c r="E46" s="186">
        <v>0</v>
      </c>
      <c r="F46" s="186">
        <v>0</v>
      </c>
      <c r="G46" s="186">
        <v>0</v>
      </c>
      <c r="H46" s="187">
        <f>(入力!D109/0.7)*(H8-$H$6)+$H$6</f>
        <v>3</v>
      </c>
      <c r="I46" s="187">
        <f>(入力!D109/0.7)*(I8-$I$6)+$I$6</f>
        <v>3</v>
      </c>
      <c r="J46" s="187">
        <f>(入力!D109/0.7)*(J8-$J$6)+$J$6</f>
        <v>3</v>
      </c>
      <c r="K46" s="188">
        <f>(入力!D109/0.7)*(K8-$K$6)+$K$6</f>
        <v>3</v>
      </c>
      <c r="L46" s="828">
        <f>ROUND((入力!D109/0.7)*(L8-$L$6)+$L$6,1)</f>
        <v>4</v>
      </c>
      <c r="M46" s="190">
        <f>(入力!D109/0.7)*(M8-$M$6)+$M$6</f>
        <v>4</v>
      </c>
      <c r="N46" s="188">
        <f>(入力!D109/0.7)*(N8-$N$6)+$N$6</f>
        <v>4</v>
      </c>
      <c r="O46" s="189">
        <f>ROUND((入力!D109/0.7)*(O8-$O$6)+$O$6,1)</f>
        <v>5</v>
      </c>
      <c r="P46" s="190">
        <f>(入力!D109/0.7)*(P8-$P$6)+$P$6</f>
        <v>6</v>
      </c>
      <c r="Q46" s="188">
        <f>(入力!D109/0.7)*(Q8-$Q$6)+$Q$6</f>
        <v>6</v>
      </c>
      <c r="R46" s="828">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233"/>
      <c r="C47" s="89" t="s">
        <v>143</v>
      </c>
      <c r="D47" s="146">
        <v>0</v>
      </c>
      <c r="E47" s="146">
        <v>0</v>
      </c>
      <c r="F47" s="146">
        <v>0</v>
      </c>
      <c r="G47" s="146">
        <v>0</v>
      </c>
      <c r="H47" s="104">
        <f>(入力!D110/0.7)*(H9-$H$6)+$H$6</f>
        <v>3</v>
      </c>
      <c r="I47" s="104">
        <f>(入力!D110/0.7)*(I9-$I$6)+$I$6</f>
        <v>3</v>
      </c>
      <c r="J47" s="104">
        <f>(入力!D110/0.7)*(J9-$J$6)+$J$6</f>
        <v>4</v>
      </c>
      <c r="K47" s="175">
        <f>(入力!D110/0.7)*(K9-$K$6)+$K$6</f>
        <v>6</v>
      </c>
      <c r="L47" s="828">
        <f>ROUND((入力!D110/0.7)*(L9-$L$6)+$L$6,1)</f>
        <v>8</v>
      </c>
      <c r="M47" s="177">
        <f>(入力!D110/0.7)*(M9-$M$6)+$M$6</f>
        <v>9</v>
      </c>
      <c r="N47" s="175">
        <f>(入力!D110/0.7)*(N9-$N$6)+$N$6</f>
        <v>10</v>
      </c>
      <c r="O47" s="189">
        <f>ROUND((入力!D110/0.7)*(O9-$O$6)+$O$6,1)</f>
        <v>10</v>
      </c>
      <c r="P47" s="177">
        <f>(入力!D110/0.7)*(P9-$P$6)+$P$6</f>
        <v>10</v>
      </c>
      <c r="Q47" s="175">
        <f>(入力!D110/0.7)*(Q9-$Q$6)+$Q$6</f>
        <v>10</v>
      </c>
      <c r="R47" s="828">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233"/>
      <c r="C48" s="89" t="s">
        <v>144</v>
      </c>
      <c r="D48" s="146">
        <v>0</v>
      </c>
      <c r="E48" s="146">
        <v>0</v>
      </c>
      <c r="F48" s="146">
        <v>0</v>
      </c>
      <c r="G48" s="146">
        <v>0</v>
      </c>
      <c r="H48" s="104">
        <f>(入力!D111/0.7)*(H10-$H$6)+$H$6</f>
        <v>3</v>
      </c>
      <c r="I48" s="104">
        <f>(入力!D111/0.7)*(I10-$I$6)+$I$6</f>
        <v>3</v>
      </c>
      <c r="J48" s="104">
        <f>(入力!D111/0.7)*(J10-$J$6)+$J$6</f>
        <v>4</v>
      </c>
      <c r="K48" s="175">
        <f>(入力!D111/0.7)*(K10-$K$6)+$K$6</f>
        <v>7</v>
      </c>
      <c r="L48" s="828">
        <f>ROUND((入力!D111/0.7)*(L10-$L$6)+$L$6,1)</f>
        <v>9</v>
      </c>
      <c r="M48" s="177">
        <f>(入力!D111/0.7)*(M10-$M$6)+$M$6</f>
        <v>11</v>
      </c>
      <c r="N48" s="175">
        <f>(入力!D111/0.7)*(N10-$N$6)+$N$6</f>
        <v>13</v>
      </c>
      <c r="O48" s="189">
        <f>ROUND((入力!D111/0.7)*(O10-$O$6)+$O$6,1)</f>
        <v>13</v>
      </c>
      <c r="P48" s="177">
        <f>(入力!D111/0.7)*(P10-$P$6)+$P$6</f>
        <v>13</v>
      </c>
      <c r="Q48" s="175">
        <f>(入力!D111/0.7)*(Q10-$Q$6)+$Q$6</f>
        <v>13</v>
      </c>
      <c r="R48" s="828">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233"/>
      <c r="C49" s="89" t="s">
        <v>145</v>
      </c>
      <c r="D49" s="146">
        <v>0</v>
      </c>
      <c r="E49" s="146">
        <v>0</v>
      </c>
      <c r="F49" s="146">
        <v>0</v>
      </c>
      <c r="G49" s="146">
        <v>0</v>
      </c>
      <c r="H49" s="104">
        <f>(入力!D112/0.7)*(H11-$H$6)+$H$6</f>
        <v>3</v>
      </c>
      <c r="I49" s="104">
        <f>(入力!D112/0.7)*(I11-$I$6)+$I$6</f>
        <v>3</v>
      </c>
      <c r="J49" s="104">
        <f>(入力!D112/0.7)*(J11-$J$6)+$J$6</f>
        <v>4</v>
      </c>
      <c r="K49" s="175">
        <f>(入力!D112/0.7)*(K11-$K$6)+$K$6</f>
        <v>5</v>
      </c>
      <c r="L49" s="828">
        <f>ROUND((入力!D112/0.7)*(L11-$L$6)+$L$6,1)</f>
        <v>7</v>
      </c>
      <c r="M49" s="177">
        <f>(入力!D112/0.7)*(M11-$M$6)+$M$6</f>
        <v>9</v>
      </c>
      <c r="N49" s="175">
        <f>(入力!D112/0.7)*(N11-$N$6)+$N$6</f>
        <v>10</v>
      </c>
      <c r="O49" s="189">
        <f>ROUND((入力!D112/0.7)*(O11-$O$6)+$O$6,1)</f>
        <v>12</v>
      </c>
      <c r="P49" s="177">
        <f>(入力!D112/0.7)*(P11-$P$6)+$P$6</f>
        <v>12</v>
      </c>
      <c r="Q49" s="175">
        <f>(入力!D112/0.7)*(Q11-$Q$6)+$Q$6</f>
        <v>12</v>
      </c>
      <c r="R49" s="828">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233"/>
      <c r="C50" s="89" t="s">
        <v>146</v>
      </c>
      <c r="D50" s="146">
        <v>0</v>
      </c>
      <c r="E50" s="146">
        <v>0</v>
      </c>
      <c r="F50" s="146">
        <v>0</v>
      </c>
      <c r="G50" s="146">
        <v>0</v>
      </c>
      <c r="H50" s="104">
        <f>(入力!D113/0.7)*(H12-$H$6)+$H$6</f>
        <v>3</v>
      </c>
      <c r="I50" s="104">
        <f>(入力!D113/0.7)*(I12-$I$6)+$I$6</f>
        <v>3</v>
      </c>
      <c r="J50" s="104">
        <f>(入力!D113/0.7)*(J12-$J$6)+$J$6</f>
        <v>2</v>
      </c>
      <c r="K50" s="175">
        <f>(入力!D113/0.7)*(K12-$K$6)+$K$6</f>
        <v>3</v>
      </c>
      <c r="L50" s="828">
        <f>ROUND((入力!D113/0.7)*(L12-$L$6)+$L$6,1)</f>
        <v>3</v>
      </c>
      <c r="M50" s="177">
        <f>(入力!D113/0.7)*(M12-$M$6)+$M$6</f>
        <v>4</v>
      </c>
      <c r="N50" s="175">
        <f>(入力!D113/0.7)*(N12-$N$6)+$N$6</f>
        <v>5</v>
      </c>
      <c r="O50" s="189">
        <f>ROUND((入力!D113/0.7)*(O12-$O$6)+$O$6,1)</f>
        <v>6</v>
      </c>
      <c r="P50" s="177">
        <f>(入力!D113/0.7)*(P12-$P$6)+$P$6</f>
        <v>8</v>
      </c>
      <c r="Q50" s="175">
        <f>(入力!D113/0.7)*(Q12-$Q$6)+$Q$6</f>
        <v>9</v>
      </c>
      <c r="R50" s="828">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233"/>
      <c r="C51" s="89" t="s">
        <v>147</v>
      </c>
      <c r="D51" s="146">
        <v>0</v>
      </c>
      <c r="E51" s="146">
        <v>0</v>
      </c>
      <c r="F51" s="146">
        <v>0</v>
      </c>
      <c r="G51" s="146">
        <v>0</v>
      </c>
      <c r="H51" s="104">
        <f>(入力!D114/0.7)*(H13-$H$6)+$H$6</f>
        <v>4</v>
      </c>
      <c r="I51" s="104">
        <f>(入力!D114/0.7)*(I13-$I$6)+$I$6</f>
        <v>3</v>
      </c>
      <c r="J51" s="104">
        <f>(入力!D114/0.7)*(J13-$J$6)+$J$6</f>
        <v>3</v>
      </c>
      <c r="K51" s="175">
        <f>(入力!D114/0.7)*(K13-$K$6)+$K$6</f>
        <v>3</v>
      </c>
      <c r="L51" s="828">
        <f>ROUND((入力!D114/0.7)*(L13-$L$6)+$L$6,1)</f>
        <v>3</v>
      </c>
      <c r="M51" s="177">
        <f>(入力!D114/0.7)*(M13-$M$6)+$M$6</f>
        <v>4</v>
      </c>
      <c r="N51" s="175">
        <f>(入力!D114/0.7)*(N13-$N$6)+$N$6</f>
        <v>4</v>
      </c>
      <c r="O51" s="189">
        <f>ROUND((入力!D114/0.7)*(O13-$O$6)+$O$6,1)</f>
        <v>5</v>
      </c>
      <c r="P51" s="177">
        <f>(入力!D114/0.7)*(P13-$P$6)+$P$6</f>
        <v>6</v>
      </c>
      <c r="Q51" s="175">
        <f>(入力!D114/0.7)*(Q13-$Q$6)+$Q$6</f>
        <v>8</v>
      </c>
      <c r="R51" s="828">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233"/>
      <c r="C52" s="89" t="s">
        <v>148</v>
      </c>
      <c r="D52" s="146">
        <v>0</v>
      </c>
      <c r="E52" s="146">
        <v>0</v>
      </c>
      <c r="F52" s="146">
        <v>0</v>
      </c>
      <c r="G52" s="146">
        <v>0</v>
      </c>
      <c r="H52" s="104">
        <f>(入力!D115/0.7)*(H14-$H$6)+$H$6</f>
        <v>4</v>
      </c>
      <c r="I52" s="104">
        <f>(入力!D115/0.7)*(I14-$I$6)+$I$6</f>
        <v>4</v>
      </c>
      <c r="J52" s="104">
        <f>(入力!D115/0.7)*(J14-$J$6)+$J$6</f>
        <v>3</v>
      </c>
      <c r="K52" s="175">
        <f>(入力!D115/0.7)*(K14-$K$6)+$K$6</f>
        <v>3</v>
      </c>
      <c r="L52" s="828">
        <f>ROUND((入力!D115/0.7)*(L14-$L$6)+$L$6,1)</f>
        <v>3</v>
      </c>
      <c r="M52" s="177">
        <f>(入力!D115/0.7)*(M14-$M$6)+$M$6</f>
        <v>4</v>
      </c>
      <c r="N52" s="175">
        <f>(入力!D115/0.7)*(N14-$N$6)+$N$6</f>
        <v>4</v>
      </c>
      <c r="O52" s="189">
        <f>ROUND((入力!D115/0.7)*(O14-$O$6)+$O$6,1)</f>
        <v>5</v>
      </c>
      <c r="P52" s="177">
        <f>(入力!D115/0.7)*(P14-$P$6)+$P$6</f>
        <v>6</v>
      </c>
      <c r="Q52" s="175">
        <f>(入力!D115/0.7)*(Q14-$Q$6)+$Q$6</f>
        <v>7</v>
      </c>
      <c r="R52" s="828">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233"/>
      <c r="C53" s="89" t="s">
        <v>149</v>
      </c>
      <c r="D53" s="146">
        <v>0</v>
      </c>
      <c r="E53" s="146">
        <v>0</v>
      </c>
      <c r="F53" s="146">
        <v>0</v>
      </c>
      <c r="G53" s="146">
        <v>0</v>
      </c>
      <c r="H53" s="104">
        <f>(入力!D116/0.7)*(H15-$H$6)+$H$6</f>
        <v>4</v>
      </c>
      <c r="I53" s="104">
        <f>(入力!D116/0.7)*(I15-$I$6)+$I$6</f>
        <v>3</v>
      </c>
      <c r="J53" s="104">
        <f>(入力!D116/0.7)*(J15-$J$6)+$J$6</f>
        <v>3</v>
      </c>
      <c r="K53" s="175">
        <f>(入力!D116/0.7)*(K15-$K$6)+$K$6</f>
        <v>3</v>
      </c>
      <c r="L53" s="828">
        <f>ROUND((入力!D116/0.7)*(L15-$L$6)+$L$6,1)</f>
        <v>3</v>
      </c>
      <c r="M53" s="177">
        <f>(入力!D116/0.7)*(M15-$M$6)+$M$6</f>
        <v>4</v>
      </c>
      <c r="N53" s="175">
        <f>(入力!D116/0.7)*(N15-$N$6)+$N$6</f>
        <v>4</v>
      </c>
      <c r="O53" s="189">
        <f>ROUND((入力!D116/0.7)*(O15-$O$6)+$O$6,1)</f>
        <v>5</v>
      </c>
      <c r="P53" s="177">
        <f>(入力!D116/0.7)*(P15-$P$6)+$P$6</f>
        <v>5</v>
      </c>
      <c r="Q53" s="175">
        <f>(入力!D116/0.7)*(Q15-$Q$6)+$Q$6</f>
        <v>6</v>
      </c>
      <c r="R53" s="828">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235" t="s">
        <v>138</v>
      </c>
      <c r="C56" s="2235" t="s">
        <v>50</v>
      </c>
      <c r="D56" s="2235" t="s">
        <v>139</v>
      </c>
      <c r="E56" s="2235"/>
      <c r="F56" s="2235"/>
      <c r="G56" s="2235"/>
      <c r="H56" s="2235"/>
      <c r="I56" s="2235"/>
      <c r="J56" s="2235"/>
      <c r="K56" s="2235"/>
      <c r="L56" s="2236"/>
      <c r="M56" s="2235"/>
      <c r="N56" s="2235"/>
      <c r="O56" s="2236"/>
      <c r="P56" s="2235"/>
      <c r="Q56" s="2235"/>
      <c r="R56" s="2236"/>
      <c r="S56" s="2235"/>
      <c r="T56" s="2235"/>
      <c r="U56" s="2235"/>
      <c r="V56" s="2235"/>
      <c r="W56" s="2235"/>
      <c r="X56" s="2235"/>
      <c r="Y56" s="2235"/>
      <c r="Z56" s="2235"/>
      <c r="AA56" s="2235"/>
    </row>
    <row r="57" spans="2:27">
      <c r="B57" s="2235"/>
      <c r="C57" s="2235"/>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235"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821">
        <f>ROUND(L44+'実効温度差（ETD)諸言'!$G$38,1)</f>
        <v>1.1000000000000001</v>
      </c>
      <c r="M58" s="99">
        <f>M44+'実効温度差（ETD)諸言'!$G$38</f>
        <v>1.0999999999999979</v>
      </c>
      <c r="N58" s="98">
        <f>N44+'実効温度差（ETD)諸言'!$G$38</f>
        <v>2.0999999999999979</v>
      </c>
      <c r="O58" s="821">
        <f>ROUND(O44+'実効温度差（ETD)諸言'!$G$38,1)</f>
        <v>2.1</v>
      </c>
      <c r="P58" s="99">
        <f>P44+'実効温度差（ETD)諸言'!$G$38</f>
        <v>3.0999999999999979</v>
      </c>
      <c r="Q58" s="98">
        <f>Q44+'実効温度差（ETD)諸言'!$G$38</f>
        <v>3.0999999999999979</v>
      </c>
      <c r="R58" s="821">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235"/>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821">
        <f>ROUND(L45+'実効温度差（ETD)諸言'!$G$38,1)</f>
        <v>7.1</v>
      </c>
      <c r="M59" s="99">
        <f>ROUND(M45+'実効温度差（ETD)諸言'!$G$38,1)</f>
        <v>9.1</v>
      </c>
      <c r="N59" s="98">
        <f>ROUND(N45+'実効温度差（ETD)諸言'!$G$38,1)</f>
        <v>12.1</v>
      </c>
      <c r="O59" s="821">
        <f>ROUND(O45+'実効温度差（ETD)諸言'!$G$38,1)</f>
        <v>16.100000000000001</v>
      </c>
      <c r="P59" s="99">
        <f>ROUND(P45+'実効温度差（ETD)諸言'!$G$38,1)</f>
        <v>19.100000000000001</v>
      </c>
      <c r="Q59" s="98">
        <f>ROUND(Q45+'実効温度差（ETD)諸言'!$G$38,1)</f>
        <v>21.1</v>
      </c>
      <c r="R59" s="821">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235"/>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821">
        <f>ROUND(L46+'実効温度差（ETD)諸言'!$G$38,1)</f>
        <v>3.1</v>
      </c>
      <c r="M60" s="99">
        <f>M46+'実効温度差（ETD)諸言'!$G$38</f>
        <v>3.0999999999999979</v>
      </c>
      <c r="N60" s="98">
        <f>N46+'実効温度差（ETD)諸言'!$G$38</f>
        <v>3.0999999999999979</v>
      </c>
      <c r="O60" s="821">
        <f>ROUND(O46+'実効温度差（ETD)諸言'!$G$38,1)</f>
        <v>4.0999999999999996</v>
      </c>
      <c r="P60" s="99">
        <f>P46+'実効温度差（ETD)諸言'!$G$38</f>
        <v>5.0999999999999979</v>
      </c>
      <c r="Q60" s="98">
        <f>Q46+'実効温度差（ETD)諸言'!$G$38</f>
        <v>5.0999999999999979</v>
      </c>
      <c r="R60" s="821">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235"/>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821">
        <f>ROUND(L47+'実効温度差（ETD)諸言'!$G$38,1)</f>
        <v>7.1</v>
      </c>
      <c r="M61" s="99">
        <f>M47+'実効温度差（ETD)諸言'!$G$38</f>
        <v>8.0999999999999979</v>
      </c>
      <c r="N61" s="98">
        <f>N47+'実効温度差（ETD)諸言'!$G$38</f>
        <v>9.0999999999999979</v>
      </c>
      <c r="O61" s="821">
        <f>ROUND(O47+'実効温度差（ETD)諸言'!$G$38,1)</f>
        <v>9.1</v>
      </c>
      <c r="P61" s="99">
        <f>P47+'実効温度差（ETD)諸言'!$G$38</f>
        <v>9.0999999999999979</v>
      </c>
      <c r="Q61" s="98">
        <f>Q47+'実効温度差（ETD)諸言'!$G$38</f>
        <v>9.0999999999999979</v>
      </c>
      <c r="R61" s="821">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235"/>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821">
        <f>ROUND(L48+'実効温度差（ETD)諸言'!$G$38,1)</f>
        <v>8.1</v>
      </c>
      <c r="M62" s="99">
        <f>M48+'実効温度差（ETD)諸言'!$G$38</f>
        <v>10.099999999999998</v>
      </c>
      <c r="N62" s="98">
        <f>N48+'実効温度差（ETD)諸言'!$G$38</f>
        <v>12.099999999999998</v>
      </c>
      <c r="O62" s="821">
        <f>ROUND(O48+'実効温度差（ETD)諸言'!$G$38,1)</f>
        <v>12.1</v>
      </c>
      <c r="P62" s="99">
        <f>P48+'実効温度差（ETD)諸言'!$G$38</f>
        <v>12.099999999999998</v>
      </c>
      <c r="Q62" s="98">
        <f>Q48+'実効温度差（ETD)諸言'!$G$38</f>
        <v>12.099999999999998</v>
      </c>
      <c r="R62" s="821">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235"/>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821">
        <f>ROUND(L49+'実効温度差（ETD)諸言'!$G$38,1)</f>
        <v>6.1</v>
      </c>
      <c r="M63" s="99">
        <f>M49+'実効温度差（ETD)諸言'!$G$38</f>
        <v>8.0999999999999979</v>
      </c>
      <c r="N63" s="98">
        <f>N49+'実効温度差（ETD)諸言'!$G$38</f>
        <v>9.0999999999999979</v>
      </c>
      <c r="O63" s="821">
        <f>ROUND(O49+'実効温度差（ETD)諸言'!$G$38,1)</f>
        <v>11.1</v>
      </c>
      <c r="P63" s="99">
        <f>P49+'実効温度差（ETD)諸言'!$G$38</f>
        <v>11.099999999999998</v>
      </c>
      <c r="Q63" s="98">
        <f>Q49+'実効温度差（ETD)諸言'!$G$38</f>
        <v>11.099999999999998</v>
      </c>
      <c r="R63" s="821">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235"/>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821">
        <f>ROUND(L50+'実効温度差（ETD)諸言'!$G$38,1)</f>
        <v>2.1</v>
      </c>
      <c r="M64" s="99">
        <f>M50+'実効温度差（ETD)諸言'!$G$38</f>
        <v>3.0999999999999979</v>
      </c>
      <c r="N64" s="98">
        <f>N50+'実効温度差（ETD)諸言'!$G$38</f>
        <v>4.0999999999999979</v>
      </c>
      <c r="O64" s="821">
        <f>ROUND(O50+'実効温度差（ETD)諸言'!$G$38,1)</f>
        <v>5.0999999999999996</v>
      </c>
      <c r="P64" s="99">
        <f>P50+'実効温度差（ETD)諸言'!$G$38</f>
        <v>7.0999999999999979</v>
      </c>
      <c r="Q64" s="98">
        <f>Q50+'実効温度差（ETD)諸言'!$G$38</f>
        <v>8.0999999999999979</v>
      </c>
      <c r="R64" s="821">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235"/>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821">
        <f>ROUND(L51+'実効温度差（ETD)諸言'!$G$38,1)</f>
        <v>2.1</v>
      </c>
      <c r="M65" s="99">
        <f>M51+'実効温度差（ETD)諸言'!$G$38</f>
        <v>3.0999999999999979</v>
      </c>
      <c r="N65" s="98">
        <f>N51+'実効温度差（ETD)諸言'!$G$38</f>
        <v>3.0999999999999979</v>
      </c>
      <c r="O65" s="821">
        <f>ROUND(O51+'実効温度差（ETD)諸言'!$G$38,1)</f>
        <v>4.0999999999999996</v>
      </c>
      <c r="P65" s="99">
        <f>P51+'実効温度差（ETD)諸言'!$G$38</f>
        <v>5.0999999999999979</v>
      </c>
      <c r="Q65" s="98">
        <f>Q51+'実効温度差（ETD)諸言'!$G$38</f>
        <v>7.0999999999999979</v>
      </c>
      <c r="R65" s="821">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235"/>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821">
        <f>ROUND(L52+'実効温度差（ETD)諸言'!$G$38,1)</f>
        <v>2.1</v>
      </c>
      <c r="M66" s="99">
        <f>M52+'実効温度差（ETD)諸言'!$G$38</f>
        <v>3.0999999999999979</v>
      </c>
      <c r="N66" s="98">
        <f>N52+'実効温度差（ETD)諸言'!$G$38</f>
        <v>3.0999999999999979</v>
      </c>
      <c r="O66" s="821">
        <f>ROUND(O52+'実効温度差（ETD)諸言'!$G$38,1)</f>
        <v>4.0999999999999996</v>
      </c>
      <c r="P66" s="99">
        <f>P52+'実効温度差（ETD)諸言'!$G$38</f>
        <v>5.0999999999999979</v>
      </c>
      <c r="Q66" s="98">
        <f>Q52+'実効温度差（ETD)諸言'!$G$38</f>
        <v>6.0999999999999979</v>
      </c>
      <c r="R66" s="821">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235"/>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822">
        <f>ROUND(L53+'実効温度差（ETD)諸言'!$G$38,1)</f>
        <v>2.1</v>
      </c>
      <c r="M67" s="99">
        <f>M53+'実効温度差（ETD)諸言'!$G$38</f>
        <v>3.0999999999999979</v>
      </c>
      <c r="N67" s="98">
        <f>N53+'実効温度差（ETD)諸言'!$G$38</f>
        <v>3.0999999999999979</v>
      </c>
      <c r="O67" s="822">
        <f>ROUND(O53+'実効温度差（ETD)諸言'!$G$38,1)</f>
        <v>4.0999999999999996</v>
      </c>
      <c r="P67" s="99">
        <f>P53+'実効温度差（ETD)諸言'!$G$38</f>
        <v>4.0999999999999979</v>
      </c>
      <c r="Q67" s="98">
        <f>Q53+'実効温度差（ETD)諸言'!$G$38</f>
        <v>5.0999999999999979</v>
      </c>
      <c r="R67" s="822">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1055</v>
      </c>
    </row>
    <row r="72" spans="2:27">
      <c r="B72" s="714">
        <v>44634</v>
      </c>
      <c r="C72" s="88" t="s">
        <v>1056</v>
      </c>
    </row>
    <row r="141" spans="3:3">
      <c r="C141" s="88" t="s">
        <v>382</v>
      </c>
    </row>
  </sheetData>
  <mergeCells count="16">
    <mergeCell ref="B20:B29"/>
    <mergeCell ref="B42:B43"/>
    <mergeCell ref="C42:C43"/>
    <mergeCell ref="D42:AA42"/>
    <mergeCell ref="B4:B5"/>
    <mergeCell ref="C4:C5"/>
    <mergeCell ref="D4:AA4"/>
    <mergeCell ref="B6:B15"/>
    <mergeCell ref="B18:B19"/>
    <mergeCell ref="C18:C19"/>
    <mergeCell ref="D18:AA18"/>
    <mergeCell ref="B44:B53"/>
    <mergeCell ref="B56:B57"/>
    <mergeCell ref="C56:C57"/>
    <mergeCell ref="D56:AA56"/>
    <mergeCell ref="B58:B67"/>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239" t="s">
        <v>153</v>
      </c>
      <c r="C1" s="2239"/>
      <c r="D1" s="2239"/>
      <c r="E1" s="2239"/>
      <c r="F1" s="2239"/>
      <c r="G1" s="2239"/>
      <c r="H1" s="2239"/>
      <c r="I1" s="2239"/>
      <c r="J1" s="2239"/>
      <c r="K1" s="2239"/>
      <c r="L1" s="2239"/>
      <c r="M1" s="2239"/>
      <c r="N1" s="2239"/>
      <c r="O1" s="2239"/>
      <c r="P1" s="2239"/>
      <c r="Q1" s="2239"/>
    </row>
    <row r="2" spans="2:19" ht="13.5" thickBot="1">
      <c r="B2" s="2240" t="s">
        <v>50</v>
      </c>
      <c r="C2" s="2240" t="s">
        <v>139</v>
      </c>
      <c r="D2" s="2240"/>
      <c r="E2" s="2240"/>
      <c r="F2" s="2240"/>
      <c r="G2" s="2241"/>
      <c r="H2" s="2240"/>
      <c r="I2" s="2240"/>
      <c r="J2" s="2241"/>
      <c r="K2" s="2240"/>
      <c r="L2" s="2240"/>
      <c r="M2" s="2241"/>
      <c r="N2" s="2240"/>
      <c r="O2" s="2240"/>
      <c r="P2" s="2240"/>
      <c r="Q2" s="2240"/>
    </row>
    <row r="3" spans="2:19">
      <c r="B3" s="2240"/>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704">
        <v>1</v>
      </c>
      <c r="C14" s="2234" t="s">
        <v>4</v>
      </c>
      <c r="D14" s="2243"/>
    </row>
    <row r="15" spans="1:6" s="1" customFormat="1">
      <c r="B15" s="704">
        <v>2</v>
      </c>
      <c r="C15" s="2234" t="s">
        <v>5</v>
      </c>
      <c r="D15" s="2243"/>
    </row>
    <row r="16" spans="1:6" s="1" customFormat="1">
      <c r="B16" s="704">
        <v>3</v>
      </c>
      <c r="C16" s="2234" t="s">
        <v>6</v>
      </c>
      <c r="D16" s="2243"/>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715" t="s">
        <v>1064</v>
      </c>
      <c r="C26" s="2248" t="s">
        <v>1057</v>
      </c>
      <c r="D26" s="2248"/>
      <c r="E26" s="2247" t="s">
        <v>1118</v>
      </c>
      <c r="F26" s="2247"/>
      <c r="G26" s="2250" t="s">
        <v>1129</v>
      </c>
      <c r="H26" s="2251"/>
      <c r="I26" s="2251"/>
      <c r="J26" s="2251"/>
    </row>
    <row r="27" spans="1:10" s="1" customFormat="1">
      <c r="C27" s="2248"/>
      <c r="D27" s="2248"/>
      <c r="E27" s="2247"/>
      <c r="F27" s="2247"/>
      <c r="G27" s="2250"/>
      <c r="H27" s="2251"/>
      <c r="I27" s="2251"/>
      <c r="J27" s="2251"/>
    </row>
    <row r="28" spans="1:10" s="1" customFormat="1">
      <c r="C28" s="817">
        <f>IF(E21&lt;=30.5,E21)</f>
        <v>0</v>
      </c>
      <c r="D28" s="717" t="s">
        <v>172</v>
      </c>
      <c r="E28" s="818">
        <f>C28</f>
        <v>0</v>
      </c>
      <c r="F28" s="717" t="s">
        <v>172</v>
      </c>
      <c r="G28" s="2250"/>
      <c r="H28" s="2251"/>
      <c r="I28" s="2251"/>
      <c r="J28" s="2251"/>
    </row>
    <row r="29" spans="1:10" s="1" customFormat="1">
      <c r="C29" s="817">
        <f>IF(E22&lt;=C30,E22,IF(E22&gt;=C30,C30))</f>
        <v>0</v>
      </c>
      <c r="D29" s="717" t="s">
        <v>173</v>
      </c>
      <c r="E29" s="819">
        <f>IF(E22&lt;=E30,E22)</f>
        <v>0</v>
      </c>
      <c r="F29" s="717" t="s">
        <v>173</v>
      </c>
      <c r="G29" s="2250"/>
      <c r="H29" s="2251"/>
      <c r="I29" s="2251"/>
      <c r="J29" s="2251"/>
    </row>
    <row r="30" spans="1:10" s="1" customFormat="1" ht="26">
      <c r="C30" s="807">
        <v>13</v>
      </c>
      <c r="D30" s="718" t="s">
        <v>1058</v>
      </c>
      <c r="E30" s="807">
        <v>24</v>
      </c>
      <c r="F30" s="718" t="s">
        <v>1059</v>
      </c>
      <c r="G30" s="2250"/>
      <c r="H30" s="2251"/>
      <c r="I30" s="2251"/>
      <c r="J30" s="2251"/>
    </row>
    <row r="31" spans="1:10" s="1" customFormat="1"/>
    <row r="32" spans="1:10" s="1" customFormat="1">
      <c r="B32" s="715" t="s">
        <v>1065</v>
      </c>
      <c r="C32" s="2249" t="s">
        <v>1119</v>
      </c>
      <c r="D32" s="2249"/>
      <c r="E32" s="2249"/>
      <c r="F32" s="2249"/>
      <c r="G32" s="2249"/>
      <c r="H32" s="715"/>
      <c r="I32" s="715"/>
      <c r="J32" s="715"/>
    </row>
    <row r="33" spans="2:10" s="1" customFormat="1">
      <c r="C33" s="2244" t="s">
        <v>1060</v>
      </c>
      <c r="D33" s="2245"/>
      <c r="E33" s="2245"/>
      <c r="F33" s="2245"/>
      <c r="G33" s="2245"/>
      <c r="H33" s="2245"/>
      <c r="I33" s="2245"/>
      <c r="J33" s="2246"/>
    </row>
    <row r="34" spans="2:10" s="1" customFormat="1">
      <c r="B34" s="2242" t="s">
        <v>1130</v>
      </c>
      <c r="C34" s="808" t="s">
        <v>63</v>
      </c>
      <c r="D34" s="808" t="s">
        <v>64</v>
      </c>
      <c r="E34" s="808" t="s">
        <v>65</v>
      </c>
      <c r="F34" s="808" t="s">
        <v>66</v>
      </c>
      <c r="G34" s="808" t="s">
        <v>67</v>
      </c>
      <c r="H34" s="808" t="s">
        <v>68</v>
      </c>
      <c r="I34" s="808" t="s">
        <v>69</v>
      </c>
      <c r="J34" s="808" t="s">
        <v>70</v>
      </c>
    </row>
    <row r="35" spans="2:10" s="1" customFormat="1">
      <c r="B35" s="2242"/>
      <c r="C35" s="809" t="s">
        <v>9</v>
      </c>
      <c r="D35" s="809" t="s">
        <v>9</v>
      </c>
      <c r="E35" s="809" t="s">
        <v>9</v>
      </c>
      <c r="F35" s="809" t="s">
        <v>9</v>
      </c>
      <c r="G35" s="809" t="s">
        <v>9</v>
      </c>
      <c r="H35" s="809" t="s">
        <v>9</v>
      </c>
      <c r="I35" s="809" t="s">
        <v>9</v>
      </c>
      <c r="J35" s="809" t="s">
        <v>9</v>
      </c>
    </row>
    <row r="36" spans="2:10" s="1" customFormat="1">
      <c r="B36" s="2242"/>
      <c r="C36" s="817">
        <v>0</v>
      </c>
      <c r="D36" s="817">
        <v>2.5</v>
      </c>
      <c r="E36" s="817">
        <v>3.5</v>
      </c>
      <c r="F36" s="817">
        <v>4.5</v>
      </c>
      <c r="G36" s="817">
        <v>5</v>
      </c>
      <c r="H36" s="817">
        <v>4.5</v>
      </c>
      <c r="I36" s="817">
        <v>3.5</v>
      </c>
      <c r="J36" s="817">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815"/>
      <c r="D70" s="16">
        <f>熱貫流率計算!H9</f>
        <v>3.91</v>
      </c>
      <c r="E70" s="11" t="s">
        <v>187</v>
      </c>
    </row>
    <row r="71" spans="1:5">
      <c r="A71" s="1"/>
      <c r="B71" s="8" t="s">
        <v>193</v>
      </c>
      <c r="C71" s="815"/>
      <c r="D71" s="16">
        <f>熱貫流率計算!H78</f>
        <v>1.18</v>
      </c>
      <c r="E71" s="11" t="s">
        <v>187</v>
      </c>
    </row>
    <row r="72" spans="1:5">
      <c r="A72" s="1"/>
      <c r="B72" s="8" t="s">
        <v>204</v>
      </c>
      <c r="C72" s="815"/>
      <c r="D72" s="291">
        <v>5.95</v>
      </c>
      <c r="E72" s="11" t="s">
        <v>187</v>
      </c>
    </row>
    <row r="73" spans="1:5">
      <c r="A73" s="1"/>
      <c r="B73" s="8" t="s">
        <v>597</v>
      </c>
      <c r="C73" s="815"/>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1128</v>
      </c>
      <c r="C79" s="1"/>
      <c r="D79" s="1"/>
    </row>
    <row r="81" spans="2:2">
      <c r="B81" t="s">
        <v>1055</v>
      </c>
    </row>
    <row r="82" spans="2:2">
      <c r="B82" s="814">
        <v>44634</v>
      </c>
    </row>
    <row r="83" spans="2:2">
      <c r="B83" t="s">
        <v>1061</v>
      </c>
    </row>
    <row r="84" spans="2:2">
      <c r="B84" t="s">
        <v>1062</v>
      </c>
    </row>
    <row r="85" spans="2:2">
      <c r="B85" t="s">
        <v>1063</v>
      </c>
    </row>
    <row r="86" spans="2:2">
      <c r="B86" t="s">
        <v>1066</v>
      </c>
    </row>
    <row r="87" spans="2:2">
      <c r="B87" t="s">
        <v>1067</v>
      </c>
    </row>
    <row r="88" spans="2:2">
      <c r="B88" t="s">
        <v>1068</v>
      </c>
    </row>
    <row r="89" spans="2:2">
      <c r="B89" t="s">
        <v>1112</v>
      </c>
    </row>
    <row r="90" spans="2:2">
      <c r="B90" t="s">
        <v>1114</v>
      </c>
    </row>
    <row r="91" spans="2:2">
      <c r="B91" t="s">
        <v>1115</v>
      </c>
    </row>
    <row r="92" spans="2:2">
      <c r="B92" t="s">
        <v>1113</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205" t="s">
        <v>183</v>
      </c>
      <c r="C2" s="1205"/>
      <c r="D2" s="1205"/>
      <c r="E2" s="1205"/>
      <c r="F2" s="1205"/>
      <c r="G2" s="1205"/>
      <c r="H2" s="1205"/>
      <c r="I2" s="1205"/>
      <c r="J2" s="1205"/>
      <c r="K2" s="1205"/>
      <c r="L2" s="1205"/>
      <c r="M2" s="1205"/>
      <c r="N2" s="1205"/>
      <c r="O2" s="1205"/>
      <c r="Q2" s="1" t="s">
        <v>563</v>
      </c>
    </row>
    <row r="3" spans="2:30" ht="36">
      <c r="B3" s="604" t="s">
        <v>0</v>
      </c>
      <c r="C3" s="20" t="s">
        <v>40</v>
      </c>
      <c r="D3" s="20" t="s">
        <v>41</v>
      </c>
      <c r="E3" s="20" t="s">
        <v>8</v>
      </c>
      <c r="F3" s="20" t="s">
        <v>42</v>
      </c>
      <c r="G3" s="20" t="s">
        <v>43</v>
      </c>
      <c r="H3" s="18" t="s">
        <v>35</v>
      </c>
      <c r="I3" s="20" t="s">
        <v>36</v>
      </c>
      <c r="J3" s="20" t="s">
        <v>2</v>
      </c>
      <c r="K3" s="20" t="s">
        <v>3</v>
      </c>
      <c r="L3" s="20" t="s">
        <v>39</v>
      </c>
      <c r="M3" s="20" t="s">
        <v>38</v>
      </c>
      <c r="N3" s="20" t="s">
        <v>45</v>
      </c>
      <c r="O3" s="20" t="s">
        <v>44</v>
      </c>
      <c r="Q3" s="604"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04" t="s">
        <v>14</v>
      </c>
      <c r="C4" s="20" t="s">
        <v>16</v>
      </c>
      <c r="D4" s="20" t="s">
        <v>17</v>
      </c>
      <c r="E4" s="20" t="s">
        <v>18</v>
      </c>
      <c r="F4" s="20" t="s">
        <v>19</v>
      </c>
      <c r="G4" s="20" t="s">
        <v>20</v>
      </c>
      <c r="H4" s="20" t="s">
        <v>30</v>
      </c>
      <c r="I4" s="20" t="s">
        <v>29</v>
      </c>
      <c r="J4" s="20" t="s">
        <v>21</v>
      </c>
      <c r="K4" s="20" t="s">
        <v>22</v>
      </c>
      <c r="L4" s="606" t="s">
        <v>608</v>
      </c>
      <c r="M4" s="606" t="s">
        <v>607</v>
      </c>
      <c r="N4" s="605" t="s">
        <v>25</v>
      </c>
      <c r="O4" s="20" t="s">
        <v>32</v>
      </c>
      <c r="Q4" s="604" t="s">
        <v>14</v>
      </c>
      <c r="R4" s="20" t="s">
        <v>16</v>
      </c>
      <c r="S4" s="20" t="s">
        <v>17</v>
      </c>
      <c r="T4" s="20" t="s">
        <v>18</v>
      </c>
      <c r="U4" s="20" t="s">
        <v>19</v>
      </c>
      <c r="V4" s="20" t="s">
        <v>20</v>
      </c>
      <c r="W4" s="20" t="s">
        <v>30</v>
      </c>
      <c r="X4" s="20" t="s">
        <v>29</v>
      </c>
      <c r="Y4" s="20" t="s">
        <v>21</v>
      </c>
      <c r="Z4" s="20" t="s">
        <v>22</v>
      </c>
      <c r="AA4" s="606" t="s">
        <v>608</v>
      </c>
      <c r="AB4" s="606" t="s">
        <v>607</v>
      </c>
      <c r="AC4" s="605" t="s">
        <v>25</v>
      </c>
      <c r="AD4" s="20" t="s">
        <v>32</v>
      </c>
    </row>
    <row r="5" spans="2:30">
      <c r="B5" s="602" t="s">
        <v>15</v>
      </c>
      <c r="C5" s="5" t="s">
        <v>12</v>
      </c>
      <c r="D5" s="5" t="s">
        <v>12</v>
      </c>
      <c r="E5" s="5" t="s">
        <v>9</v>
      </c>
      <c r="F5" s="5" t="s">
        <v>10</v>
      </c>
      <c r="G5" s="5" t="s">
        <v>10</v>
      </c>
      <c r="H5" s="5" t="s">
        <v>11</v>
      </c>
      <c r="I5" s="5" t="s">
        <v>11</v>
      </c>
      <c r="J5" s="5" t="s">
        <v>10</v>
      </c>
      <c r="K5" s="5" t="s">
        <v>10</v>
      </c>
      <c r="L5" s="5" t="s">
        <v>11</v>
      </c>
      <c r="M5" s="5" t="s">
        <v>11</v>
      </c>
      <c r="N5" s="5" t="s">
        <v>11</v>
      </c>
      <c r="O5" s="602" t="s">
        <v>31</v>
      </c>
      <c r="Q5" s="602" t="s">
        <v>15</v>
      </c>
      <c r="R5" s="5" t="s">
        <v>12</v>
      </c>
      <c r="S5" s="5" t="s">
        <v>12</v>
      </c>
      <c r="T5" s="5" t="s">
        <v>9</v>
      </c>
      <c r="U5" s="5" t="s">
        <v>10</v>
      </c>
      <c r="V5" s="5" t="s">
        <v>10</v>
      </c>
      <c r="W5" s="5" t="s">
        <v>11</v>
      </c>
      <c r="X5" s="5" t="s">
        <v>11</v>
      </c>
      <c r="Y5" s="5" t="s">
        <v>10</v>
      </c>
      <c r="Z5" s="5" t="s">
        <v>10</v>
      </c>
      <c r="AA5" s="5" t="s">
        <v>11</v>
      </c>
      <c r="AB5" s="5" t="s">
        <v>11</v>
      </c>
      <c r="AC5" s="5" t="s">
        <v>11</v>
      </c>
      <c r="AD5" s="602" t="s">
        <v>31</v>
      </c>
    </row>
    <row r="6" spans="2:30">
      <c r="B6" s="602">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02">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02">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02">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02">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02">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02">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02">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02">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07">
        <f>0.25*$C$13*E10*F10/1000</f>
        <v>0</v>
      </c>
      <c r="I10" s="607">
        <f>0.25*G10*E10*$D$6/1000</f>
        <v>0</v>
      </c>
      <c r="J10" s="6">
        <f>温度条件他根拠!$C$61</f>
        <v>3.55</v>
      </c>
      <c r="K10" s="6">
        <f>温度条件他根拠!$C$62</f>
        <v>3.95</v>
      </c>
      <c r="L10" s="7">
        <f t="shared" si="0"/>
        <v>0</v>
      </c>
      <c r="M10" s="7">
        <f t="shared" si="0"/>
        <v>0</v>
      </c>
      <c r="N10" s="13">
        <f t="shared" si="4"/>
        <v>0</v>
      </c>
      <c r="O10" s="12">
        <f t="shared" si="5"/>
        <v>0</v>
      </c>
      <c r="Q10" s="602">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07">
        <f>0.25*$R$13*T10*U10/1000</f>
        <v>0</v>
      </c>
      <c r="X10" s="607">
        <f>0.25*V10*T10*$S$6/1000</f>
        <v>0</v>
      </c>
      <c r="Y10" s="6">
        <f>温度条件他根拠!$C$61</f>
        <v>3.55</v>
      </c>
      <c r="Z10" s="6">
        <f>温度条件他根拠!$C$62</f>
        <v>3.95</v>
      </c>
      <c r="AA10" s="7">
        <f t="shared" si="1"/>
        <v>0</v>
      </c>
      <c r="AB10" s="7">
        <f t="shared" si="1"/>
        <v>0</v>
      </c>
      <c r="AC10" s="13">
        <f t="shared" si="6"/>
        <v>0</v>
      </c>
      <c r="AD10" s="12">
        <f t="shared" si="7"/>
        <v>0</v>
      </c>
    </row>
    <row r="11" spans="2:30">
      <c r="B11" s="602">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02">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02">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02">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02">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02">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02">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02">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02">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07">
        <f>0.25*$C$13*E15*F15/1000</f>
        <v>0</v>
      </c>
      <c r="I15" s="607">
        <f>0.25*G15*E15*$D$6/1000</f>
        <v>0</v>
      </c>
      <c r="J15" s="6">
        <f>温度条件他根拠!$C$61</f>
        <v>3.55</v>
      </c>
      <c r="K15" s="6">
        <f>温度条件他根拠!$C$62</f>
        <v>3.95</v>
      </c>
      <c r="L15" s="7">
        <f t="shared" si="0"/>
        <v>0</v>
      </c>
      <c r="M15" s="7">
        <f t="shared" si="0"/>
        <v>0</v>
      </c>
      <c r="N15" s="13">
        <f t="shared" si="4"/>
        <v>0</v>
      </c>
      <c r="O15" s="12">
        <f t="shared" si="5"/>
        <v>0</v>
      </c>
      <c r="Q15" s="602">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07">
        <f>0.25*$R$13*T15*U15/1000</f>
        <v>0</v>
      </c>
      <c r="X15" s="607">
        <f>0.25*V15*T15*$S$6/1000</f>
        <v>0</v>
      </c>
      <c r="Y15" s="6">
        <f>温度条件他根拠!$C$61</f>
        <v>3.55</v>
      </c>
      <c r="Z15" s="6">
        <f>温度条件他根拠!$C$62</f>
        <v>3.95</v>
      </c>
      <c r="AA15" s="7">
        <f t="shared" si="1"/>
        <v>0</v>
      </c>
      <c r="AB15" s="7">
        <f t="shared" si="1"/>
        <v>0</v>
      </c>
      <c r="AC15" s="13">
        <f t="shared" si="6"/>
        <v>0</v>
      </c>
      <c r="AD15" s="12">
        <f t="shared" si="7"/>
        <v>0</v>
      </c>
    </row>
    <row r="16" spans="2:30">
      <c r="B16" s="602">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02">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02">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02">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09">
        <v>43927</v>
      </c>
      <c r="C44" s="608" t="s">
        <v>852</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74AD6-DC58-4566-91D3-634EC642316A}">
  <dimension ref="A2:AL97"/>
  <sheetViews>
    <sheetView tabSelected="1" view="pageBreakPreview" zoomScaleNormal="100" zoomScaleSheetLayoutView="100" workbookViewId="0">
      <selection activeCell="A22" sqref="A22:AH24"/>
    </sheetView>
  </sheetViews>
  <sheetFormatPr defaultColWidth="8.453125" defaultRowHeight="19.75" customHeight="1"/>
  <cols>
    <col min="1" max="34" width="2.453125" style="1182" customWidth="1"/>
    <col min="35" max="36" width="2.6328125" style="571" customWidth="1"/>
    <col min="37" max="37" width="8.453125" style="571"/>
    <col min="38" max="38" width="14.6328125" style="571" hidden="1" customWidth="1"/>
    <col min="39" max="39" width="14.6328125" style="571" bestFit="1" customWidth="1"/>
    <col min="40" max="40" width="16.7265625" style="571" bestFit="1" customWidth="1"/>
    <col min="41" max="41" width="19.90625" style="571" bestFit="1" customWidth="1"/>
    <col min="42" max="42" width="12.453125" style="571" bestFit="1" customWidth="1"/>
    <col min="43" max="43" width="7.90625" style="571" bestFit="1" customWidth="1"/>
    <col min="44" max="44" width="12.453125" style="571" bestFit="1" customWidth="1"/>
    <col min="45" max="16384" width="8.453125" style="571"/>
  </cols>
  <sheetData>
    <row r="2" spans="1:34" ht="19.75" customHeight="1">
      <c r="B2" s="1183"/>
      <c r="C2" s="1183"/>
      <c r="D2" s="1183"/>
      <c r="E2" s="1183"/>
      <c r="F2" s="1183"/>
      <c r="G2" s="1183"/>
      <c r="H2" s="1183"/>
      <c r="I2" s="1183"/>
      <c r="J2" s="1183"/>
      <c r="K2" s="1183"/>
      <c r="L2" s="1183"/>
      <c r="M2" s="1183"/>
      <c r="N2" s="1183"/>
      <c r="O2" s="1183"/>
      <c r="P2" s="1183"/>
      <c r="Q2" s="1183"/>
      <c r="R2" s="1183"/>
      <c r="S2" s="1183"/>
      <c r="T2" s="1183"/>
      <c r="U2" s="1183"/>
      <c r="V2" s="1183"/>
      <c r="W2" s="1233" t="s">
        <v>1555</v>
      </c>
      <c r="X2" s="1233"/>
      <c r="Y2" s="1233"/>
      <c r="Z2" s="1233"/>
      <c r="AA2" s="1233"/>
      <c r="AB2" s="1233"/>
      <c r="AC2" s="1233"/>
      <c r="AD2" s="1233"/>
      <c r="AE2" s="1233"/>
      <c r="AF2" s="1233"/>
      <c r="AG2" s="1233"/>
      <c r="AH2" s="1233"/>
    </row>
    <row r="3" spans="1:34" ht="19.75" customHeight="1">
      <c r="A3" s="1183" t="s">
        <v>1556</v>
      </c>
      <c r="B3" s="1183"/>
      <c r="C3" s="1183"/>
      <c r="D3" s="1183"/>
      <c r="E3" s="1183"/>
      <c r="F3" s="1183"/>
      <c r="G3" s="1183"/>
      <c r="H3" s="1183"/>
      <c r="I3" s="1183"/>
      <c r="J3" s="1183"/>
      <c r="K3" s="1183"/>
      <c r="L3" s="1183"/>
      <c r="M3" s="1183"/>
      <c r="N3" s="1183"/>
      <c r="O3" s="1183"/>
      <c r="P3" s="1183"/>
      <c r="Q3" s="1183"/>
      <c r="R3" s="1183"/>
      <c r="S3" s="1183"/>
      <c r="T3" s="1183"/>
      <c r="U3" s="1183"/>
      <c r="V3" s="1183"/>
      <c r="X3" s="1183"/>
      <c r="Y3" s="1183"/>
      <c r="Z3" s="1183"/>
      <c r="AA3" s="1183"/>
      <c r="AB3" s="1183"/>
      <c r="AC3" s="1183"/>
      <c r="AD3" s="1183"/>
      <c r="AE3" s="1183"/>
      <c r="AF3" s="1183"/>
      <c r="AG3" s="1183"/>
      <c r="AH3" s="1183"/>
    </row>
    <row r="4" spans="1:34" ht="19.75" customHeight="1">
      <c r="A4" s="1184" t="s">
        <v>1565</v>
      </c>
      <c r="B4" s="1184"/>
      <c r="C4" s="1184"/>
      <c r="D4" s="1184"/>
      <c r="E4" s="1184"/>
      <c r="F4" s="1184"/>
      <c r="G4" s="1184"/>
      <c r="H4" s="1184"/>
      <c r="I4" s="1184"/>
      <c r="J4" s="1184"/>
      <c r="K4" s="1184"/>
      <c r="L4" s="1184"/>
      <c r="M4" s="1183"/>
      <c r="N4" s="1183"/>
      <c r="O4" s="1183"/>
      <c r="P4" s="1183"/>
      <c r="Q4" s="1183"/>
      <c r="R4" s="1183"/>
      <c r="S4" s="1183"/>
      <c r="T4" s="1183"/>
      <c r="U4" s="1183"/>
      <c r="V4" s="1183"/>
      <c r="X4" s="1183"/>
      <c r="Y4" s="1183"/>
      <c r="Z4" s="1183"/>
      <c r="AA4" s="1183"/>
      <c r="AB4" s="1183"/>
      <c r="AC4" s="1183"/>
      <c r="AD4" s="1183"/>
      <c r="AE4" s="1183"/>
      <c r="AF4" s="1183"/>
      <c r="AG4" s="1183"/>
      <c r="AH4" s="1183"/>
    </row>
    <row r="5" spans="1:34" ht="19.75" customHeight="1">
      <c r="B5" s="1183"/>
      <c r="C5" s="1183"/>
      <c r="D5" s="1183"/>
      <c r="E5" s="1183"/>
      <c r="F5" s="1183"/>
      <c r="G5" s="1183"/>
      <c r="H5" s="1183"/>
      <c r="I5" s="1183"/>
      <c r="J5" s="1183"/>
      <c r="K5" s="1183" t="s">
        <v>1557</v>
      </c>
      <c r="L5" s="1183"/>
      <c r="M5" s="1183"/>
      <c r="N5" s="1183"/>
      <c r="O5" s="1185"/>
      <c r="P5" s="1185"/>
      <c r="Q5" s="1230"/>
      <c r="R5" s="1230"/>
      <c r="S5" s="1230"/>
      <c r="T5" s="1230"/>
      <c r="U5" s="1230"/>
      <c r="V5" s="1230"/>
      <c r="W5" s="1230"/>
      <c r="X5" s="1230"/>
      <c r="Y5" s="1230"/>
      <c r="Z5" s="1230"/>
      <c r="AA5" s="1230"/>
      <c r="AB5" s="1230"/>
      <c r="AC5" s="1230"/>
      <c r="AD5" s="1230"/>
      <c r="AE5" s="1230"/>
      <c r="AF5" s="1230"/>
      <c r="AG5" s="1230"/>
      <c r="AH5" s="1230"/>
    </row>
    <row r="6" spans="1:34" ht="19.75" customHeight="1">
      <c r="B6" s="1183"/>
      <c r="C6" s="1183"/>
      <c r="D6" s="1183"/>
      <c r="E6" s="1183"/>
      <c r="F6" s="1183"/>
      <c r="G6" s="1183"/>
      <c r="H6" s="1183"/>
      <c r="I6" s="1183"/>
      <c r="J6" s="1183"/>
      <c r="K6" s="1183" t="s">
        <v>1558</v>
      </c>
      <c r="L6" s="1183"/>
      <c r="M6" s="1183"/>
      <c r="N6" s="1183"/>
      <c r="O6" s="1230"/>
      <c r="P6" s="1230"/>
      <c r="Q6" s="1230"/>
      <c r="R6" s="1230"/>
      <c r="S6" s="1230"/>
      <c r="T6" s="1230"/>
      <c r="U6" s="1230"/>
      <c r="V6" s="1230"/>
      <c r="W6" s="1230"/>
      <c r="X6" s="1230"/>
      <c r="Y6" s="1230"/>
      <c r="Z6" s="1230"/>
      <c r="AA6" s="1230"/>
      <c r="AB6" s="1230"/>
      <c r="AC6" s="1230"/>
      <c r="AD6" s="1230"/>
      <c r="AE6" s="1230"/>
      <c r="AF6" s="1230"/>
      <c r="AG6" s="1230"/>
      <c r="AH6" s="1230"/>
    </row>
    <row r="7" spans="1:34" ht="19.75" customHeight="1">
      <c r="B7" s="1183"/>
      <c r="C7" s="1183"/>
      <c r="D7" s="1183"/>
      <c r="E7" s="1183"/>
      <c r="F7" s="1183"/>
      <c r="G7" s="1183"/>
      <c r="H7" s="1183"/>
      <c r="I7" s="1183"/>
      <c r="J7" s="1183"/>
      <c r="K7" s="1183" t="s">
        <v>1559</v>
      </c>
      <c r="L7" s="1183"/>
      <c r="M7" s="1183"/>
      <c r="N7" s="1183"/>
      <c r="O7" s="1230"/>
      <c r="P7" s="1230"/>
      <c r="Q7" s="1230"/>
      <c r="R7" s="1230"/>
      <c r="S7" s="1230"/>
      <c r="T7" s="1230"/>
      <c r="U7" s="1230"/>
      <c r="V7" s="1230"/>
      <c r="W7" s="1230"/>
      <c r="X7" s="1230"/>
      <c r="Y7" s="1230"/>
      <c r="Z7" s="1230"/>
      <c r="AA7" s="1230"/>
      <c r="AB7" s="1230"/>
      <c r="AC7" s="1230"/>
      <c r="AD7" s="1230"/>
      <c r="AE7" s="1230"/>
      <c r="AF7" s="1230"/>
      <c r="AG7" s="1230"/>
      <c r="AH7" s="1230"/>
    </row>
    <row r="8" spans="1:34" ht="19.75" customHeight="1">
      <c r="B8" s="1183"/>
      <c r="C8" s="1183"/>
      <c r="D8" s="1183"/>
      <c r="E8" s="1183"/>
      <c r="F8" s="1183"/>
      <c r="G8" s="1183"/>
      <c r="H8" s="1183"/>
      <c r="I8" s="1183"/>
      <c r="J8" s="1183"/>
      <c r="K8" s="1183" t="s">
        <v>1566</v>
      </c>
      <c r="L8" s="1183"/>
      <c r="M8" s="1183"/>
      <c r="N8" s="1183"/>
      <c r="O8" s="1185"/>
      <c r="P8" s="1185"/>
      <c r="Q8" s="1185"/>
      <c r="R8" s="1230"/>
      <c r="S8" s="1230"/>
      <c r="T8" s="1230"/>
      <c r="U8" s="1230"/>
      <c r="V8" s="1230"/>
      <c r="W8" s="1230"/>
      <c r="X8" s="1230"/>
      <c r="Y8" s="1230"/>
      <c r="Z8" s="1230"/>
      <c r="AA8" s="1230"/>
      <c r="AB8" s="1230"/>
      <c r="AC8" s="1230"/>
      <c r="AD8" s="1230"/>
      <c r="AE8" s="1230"/>
      <c r="AF8" s="1230"/>
      <c r="AG8" s="1230"/>
      <c r="AH8" s="1230"/>
    </row>
    <row r="9" spans="1:34" ht="19.75" customHeight="1">
      <c r="B9" s="1183"/>
      <c r="C9" s="1183"/>
      <c r="D9" s="1183"/>
      <c r="E9" s="1183"/>
      <c r="F9" s="1183"/>
      <c r="G9" s="1183"/>
      <c r="H9" s="1183"/>
      <c r="I9" s="1183"/>
      <c r="J9" s="1183"/>
      <c r="K9" s="1183"/>
      <c r="L9" s="1183"/>
      <c r="M9" s="1183"/>
      <c r="N9" s="1183"/>
      <c r="O9" s="1183"/>
      <c r="P9" s="1183"/>
      <c r="Q9" s="1183"/>
      <c r="R9" s="1183"/>
      <c r="S9" s="1183"/>
      <c r="T9" s="1183"/>
      <c r="U9" s="1183"/>
      <c r="V9" s="1183"/>
      <c r="X9" s="1183"/>
      <c r="Y9" s="1183"/>
      <c r="Z9" s="1183"/>
      <c r="AA9" s="1183"/>
      <c r="AB9" s="1183"/>
      <c r="AC9" s="1183"/>
      <c r="AD9" s="1183"/>
      <c r="AE9" s="1183"/>
      <c r="AF9" s="1183"/>
      <c r="AG9" s="1183"/>
      <c r="AH9" s="1183"/>
    </row>
    <row r="10" spans="1:34" ht="19.75" customHeight="1">
      <c r="B10" s="1183"/>
      <c r="C10" s="1183"/>
      <c r="D10" s="1183"/>
      <c r="E10" s="1183"/>
      <c r="F10" s="1183"/>
      <c r="G10" s="1183"/>
      <c r="H10" s="1183"/>
      <c r="I10" s="1183"/>
      <c r="J10" s="1183"/>
      <c r="K10" s="1183" t="s">
        <v>1560</v>
      </c>
      <c r="L10" s="1183"/>
      <c r="M10" s="1183"/>
      <c r="N10" s="1183"/>
      <c r="O10" s="1183"/>
      <c r="P10" s="1183"/>
      <c r="Q10" s="1183"/>
      <c r="R10" s="1230"/>
      <c r="S10" s="1230"/>
      <c r="T10" s="1230"/>
      <c r="U10" s="1230"/>
      <c r="V10" s="1230"/>
      <c r="W10" s="1230"/>
      <c r="X10" s="1230"/>
      <c r="Y10" s="1230"/>
      <c r="Z10" s="1230"/>
      <c r="AA10" s="1230"/>
      <c r="AB10" s="1230"/>
      <c r="AC10" s="1230"/>
      <c r="AD10" s="1230"/>
      <c r="AE10" s="1230"/>
      <c r="AF10" s="1230"/>
      <c r="AG10" s="1230"/>
      <c r="AH10" s="1230"/>
    </row>
    <row r="11" spans="1:34" ht="19.75" customHeight="1">
      <c r="B11" s="1183"/>
      <c r="C11" s="1183"/>
      <c r="D11" s="1183"/>
      <c r="E11" s="1183"/>
      <c r="F11" s="1183"/>
      <c r="G11" s="1183"/>
      <c r="H11" s="1183"/>
      <c r="I11" s="1183"/>
      <c r="J11" s="1183"/>
      <c r="K11" s="1183" t="s">
        <v>1558</v>
      </c>
      <c r="L11" s="1183"/>
      <c r="M11" s="1183"/>
      <c r="N11" s="1183"/>
      <c r="O11" s="1230"/>
      <c r="P11" s="1230"/>
      <c r="Q11" s="1230"/>
      <c r="R11" s="1230"/>
      <c r="S11" s="1230"/>
      <c r="T11" s="1230"/>
      <c r="U11" s="1230"/>
      <c r="V11" s="1230"/>
      <c r="W11" s="1230"/>
      <c r="X11" s="1230"/>
      <c r="Y11" s="1230"/>
      <c r="Z11" s="1230"/>
      <c r="AA11" s="1230"/>
      <c r="AB11" s="1230"/>
      <c r="AC11" s="1230"/>
      <c r="AD11" s="1230"/>
      <c r="AE11" s="1230"/>
      <c r="AF11" s="1230"/>
      <c r="AG11" s="1230"/>
      <c r="AH11" s="1230"/>
    </row>
    <row r="12" spans="1:34" ht="19.75" customHeight="1">
      <c r="B12" s="1183"/>
      <c r="C12" s="1183"/>
      <c r="D12" s="1183"/>
      <c r="E12" s="1183"/>
      <c r="F12" s="1183"/>
      <c r="G12" s="1183"/>
      <c r="H12" s="1183"/>
      <c r="I12" s="1183"/>
      <c r="J12" s="1183"/>
      <c r="K12" s="1183" t="s">
        <v>1559</v>
      </c>
      <c r="L12" s="1183"/>
      <c r="M12" s="1183"/>
      <c r="N12" s="1183"/>
      <c r="O12" s="1230"/>
      <c r="P12" s="1230"/>
      <c r="Q12" s="1230"/>
      <c r="R12" s="1230"/>
      <c r="S12" s="1230"/>
      <c r="T12" s="1230"/>
      <c r="U12" s="1230"/>
      <c r="V12" s="1230"/>
      <c r="W12" s="1230"/>
      <c r="X12" s="1230"/>
      <c r="Y12" s="1230"/>
      <c r="Z12" s="1230"/>
      <c r="AA12" s="1230"/>
      <c r="AB12" s="1230"/>
      <c r="AC12" s="1230"/>
      <c r="AD12" s="1230"/>
      <c r="AE12" s="1230"/>
      <c r="AF12" s="1230"/>
      <c r="AG12" s="1230"/>
      <c r="AH12" s="1230"/>
    </row>
    <row r="13" spans="1:34" ht="19.75" customHeight="1">
      <c r="B13" s="1183"/>
      <c r="C13" s="1183"/>
      <c r="D13" s="1183"/>
      <c r="E13" s="1183"/>
      <c r="F13" s="1183"/>
      <c r="G13" s="1183"/>
      <c r="H13" s="1183"/>
      <c r="I13" s="1183"/>
      <c r="J13" s="1183"/>
      <c r="K13" s="1183" t="s">
        <v>1567</v>
      </c>
      <c r="L13" s="1183"/>
      <c r="M13" s="1183"/>
      <c r="N13" s="1183"/>
      <c r="O13" s="1183"/>
      <c r="P13" s="1183"/>
      <c r="Q13" s="1183"/>
      <c r="R13" s="1230"/>
      <c r="S13" s="1230"/>
      <c r="T13" s="1230"/>
      <c r="U13" s="1230"/>
      <c r="V13" s="1230"/>
      <c r="W13" s="1230"/>
      <c r="X13" s="1230"/>
      <c r="Y13" s="1230"/>
      <c r="Z13" s="1230"/>
      <c r="AA13" s="1230"/>
      <c r="AB13" s="1230"/>
      <c r="AC13" s="1230"/>
      <c r="AD13" s="1230"/>
      <c r="AE13" s="1230"/>
      <c r="AF13" s="1230"/>
      <c r="AG13" s="1230"/>
      <c r="AH13" s="1230"/>
    </row>
    <row r="14" spans="1:34" ht="19.75" customHeight="1">
      <c r="B14" s="1183"/>
      <c r="C14" s="1183"/>
      <c r="D14" s="1183"/>
      <c r="E14" s="1183"/>
      <c r="F14" s="1183"/>
      <c r="G14" s="1183"/>
      <c r="H14" s="1183"/>
      <c r="I14" s="1183"/>
      <c r="J14" s="1183"/>
      <c r="K14" s="1183"/>
      <c r="L14" s="1183"/>
      <c r="M14" s="1183"/>
      <c r="N14" s="1183"/>
      <c r="O14" s="1183"/>
      <c r="P14" s="1183"/>
      <c r="Q14" s="1183"/>
      <c r="R14" s="1183"/>
      <c r="S14" s="1183"/>
      <c r="T14" s="1183"/>
      <c r="U14" s="1183"/>
      <c r="V14" s="1183"/>
      <c r="X14" s="1183"/>
      <c r="Y14" s="1183"/>
      <c r="Z14" s="1183"/>
      <c r="AA14" s="1183"/>
      <c r="AB14" s="1183"/>
      <c r="AC14" s="1183"/>
      <c r="AD14" s="1183"/>
      <c r="AE14" s="1183"/>
      <c r="AF14" s="1183"/>
      <c r="AG14" s="1183"/>
      <c r="AH14" s="1183"/>
    </row>
    <row r="15" spans="1:34" ht="19.75" customHeight="1">
      <c r="A15" s="1183"/>
      <c r="B15" s="1183"/>
      <c r="C15" s="1183"/>
      <c r="D15" s="1183"/>
      <c r="E15" s="1183"/>
      <c r="F15" s="1183"/>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row>
    <row r="16" spans="1:34" ht="19.75" customHeight="1">
      <c r="A16" s="1234" t="s">
        <v>1568</v>
      </c>
      <c r="B16" s="1234"/>
      <c r="C16" s="1234"/>
      <c r="D16" s="1234"/>
      <c r="E16" s="1234"/>
      <c r="F16" s="1234"/>
      <c r="G16" s="1234"/>
      <c r="H16" s="1234"/>
      <c r="I16" s="1234"/>
      <c r="J16" s="1234"/>
      <c r="K16" s="1234"/>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row>
    <row r="17" spans="1:35" ht="19.75" customHeight="1">
      <c r="A17" s="1234" t="s">
        <v>1579</v>
      </c>
      <c r="B17" s="1234"/>
      <c r="C17" s="1234"/>
      <c r="D17" s="1234"/>
      <c r="E17" s="1234"/>
      <c r="F17" s="1234"/>
      <c r="G17" s="1234"/>
      <c r="H17" s="1234"/>
      <c r="I17" s="1234"/>
      <c r="J17" s="1234"/>
      <c r="K17" s="1234"/>
      <c r="L17" s="1234"/>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row>
    <row r="18" spans="1:35" ht="19.75" customHeight="1">
      <c r="B18" s="1183"/>
      <c r="C18" s="1183"/>
      <c r="D18" s="1183"/>
      <c r="E18" s="1183"/>
      <c r="F18" s="1183"/>
      <c r="G18" s="1183"/>
      <c r="H18" s="1183"/>
      <c r="I18" s="1183"/>
      <c r="J18" s="1183"/>
      <c r="K18" s="1183"/>
      <c r="L18" s="1183"/>
      <c r="M18" s="1183"/>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row>
    <row r="19" spans="1:35" ht="19.75" customHeight="1">
      <c r="A19" s="1194"/>
      <c r="B19" s="1195"/>
      <c r="C19" s="1195"/>
      <c r="D19" s="1195"/>
      <c r="E19" s="1196"/>
      <c r="F19" s="1231" t="s">
        <v>1569</v>
      </c>
      <c r="G19" s="1232"/>
      <c r="H19" s="1232"/>
      <c r="I19" s="1232"/>
      <c r="J19" s="1232"/>
      <c r="K19" s="1232"/>
      <c r="L19" s="1232"/>
      <c r="M19" s="1232"/>
      <c r="N19" s="1232"/>
      <c r="O19" s="1232"/>
      <c r="P19" s="1197"/>
      <c r="Q19" s="1195"/>
      <c r="R19" s="1195"/>
      <c r="S19" s="1195"/>
      <c r="T19" s="1195"/>
      <c r="U19" s="1195"/>
      <c r="V19" s="1195"/>
      <c r="W19" s="1195"/>
      <c r="X19" s="1195"/>
      <c r="Y19" s="1195"/>
      <c r="Z19" s="1195"/>
      <c r="AA19" s="1195"/>
      <c r="AB19" s="1195"/>
      <c r="AC19" s="1195"/>
      <c r="AD19" s="1195"/>
      <c r="AE19" s="1195"/>
      <c r="AF19" s="1195"/>
      <c r="AG19" s="1195"/>
      <c r="AH19" s="1196"/>
    </row>
    <row r="20" spans="1:35" ht="19.75" customHeight="1">
      <c r="A20" s="1221" t="s">
        <v>1570</v>
      </c>
      <c r="B20" s="1222"/>
      <c r="C20" s="1222"/>
      <c r="D20" s="1222"/>
      <c r="E20" s="1223"/>
      <c r="F20" s="1224" t="s">
        <v>1571</v>
      </c>
      <c r="G20" s="1225"/>
      <c r="H20" s="1225"/>
      <c r="I20" s="1225"/>
      <c r="J20" s="1225"/>
      <c r="K20" s="1225"/>
      <c r="L20" s="1225"/>
      <c r="M20" s="1225"/>
      <c r="N20" s="1225"/>
      <c r="O20" s="1225"/>
      <c r="P20" s="1226" t="s">
        <v>1572</v>
      </c>
      <c r="Q20" s="1227"/>
      <c r="R20" s="1227"/>
      <c r="S20" s="1227"/>
      <c r="T20" s="1227"/>
      <c r="U20" s="1227"/>
      <c r="V20" s="1227"/>
      <c r="W20" s="1227"/>
      <c r="X20" s="1227"/>
      <c r="Y20" s="1227"/>
      <c r="Z20" s="1227"/>
      <c r="AA20" s="1227"/>
      <c r="AB20" s="1227"/>
      <c r="AC20" s="1227"/>
      <c r="AD20" s="1227"/>
      <c r="AE20" s="1198"/>
      <c r="AF20" s="1198"/>
      <c r="AG20" s="1198"/>
      <c r="AH20" s="1199"/>
    </row>
    <row r="21" spans="1:35" ht="19.75" customHeight="1">
      <c r="A21" s="1200"/>
      <c r="B21" s="1201"/>
      <c r="C21" s="1201"/>
      <c r="D21" s="1201"/>
      <c r="E21" s="1202"/>
      <c r="F21" s="1228" t="s">
        <v>1573</v>
      </c>
      <c r="G21" s="1229"/>
      <c r="H21" s="1229"/>
      <c r="I21" s="1229"/>
      <c r="J21" s="1229"/>
      <c r="K21" s="1229"/>
      <c r="L21" s="1229"/>
      <c r="M21" s="1229"/>
      <c r="N21" s="1229"/>
      <c r="O21" s="1229"/>
      <c r="P21" s="1200"/>
      <c r="Q21" s="1201"/>
      <c r="R21" s="1201"/>
      <c r="S21" s="1201"/>
      <c r="T21" s="1201"/>
      <c r="U21" s="1201"/>
      <c r="V21" s="1201"/>
      <c r="W21" s="1201"/>
      <c r="X21" s="1201"/>
      <c r="Y21" s="1201"/>
      <c r="Z21" s="1201"/>
      <c r="AA21" s="1201"/>
      <c r="AB21" s="1201"/>
      <c r="AC21" s="1201"/>
      <c r="AD21" s="1201"/>
      <c r="AE21" s="1201"/>
      <c r="AF21" s="1201"/>
      <c r="AG21" s="1201"/>
      <c r="AH21" s="1202"/>
    </row>
    <row r="22" spans="1:35" ht="19.75" customHeight="1">
      <c r="A22" s="1227" t="s">
        <v>1580</v>
      </c>
      <c r="B22" s="1227"/>
      <c r="C22" s="122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row>
    <row r="23" spans="1:35" ht="19.75" customHeight="1">
      <c r="A23" s="1227"/>
      <c r="B23" s="1227"/>
      <c r="C23" s="122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row>
    <row r="24" spans="1:35" ht="19.75" customHeight="1">
      <c r="A24" s="1227"/>
      <c r="B24" s="1227"/>
      <c r="C24" s="122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186"/>
    </row>
    <row r="25" spans="1:35" ht="19.75" customHeight="1">
      <c r="A25" s="1198"/>
      <c r="B25" s="1198"/>
      <c r="C25" s="1198"/>
      <c r="D25" s="1198"/>
      <c r="E25" s="1198"/>
      <c r="F25" s="1198"/>
      <c r="G25" s="1198"/>
      <c r="H25" s="1198"/>
      <c r="I25" s="1198"/>
      <c r="J25" s="1198"/>
      <c r="K25" s="1198"/>
      <c r="L25" s="1198"/>
      <c r="M25" s="1198"/>
      <c r="N25" s="1198"/>
      <c r="O25" s="1198"/>
      <c r="P25" s="1198"/>
      <c r="Q25" s="1198"/>
      <c r="R25" s="1198"/>
      <c r="S25" s="1198"/>
      <c r="T25" s="1198"/>
      <c r="U25" s="1198"/>
      <c r="V25" s="1198"/>
      <c r="W25" s="1198"/>
      <c r="X25" s="1198"/>
      <c r="Y25" s="1198"/>
      <c r="Z25" s="1198"/>
      <c r="AA25" s="1198"/>
      <c r="AB25" s="1198"/>
      <c r="AC25" s="1198"/>
      <c r="AD25" s="1198"/>
      <c r="AE25" s="1198"/>
      <c r="AF25" s="1198"/>
      <c r="AG25" s="1198"/>
      <c r="AH25" s="1198"/>
      <c r="AI25" s="1186"/>
    </row>
    <row r="26" spans="1:35" ht="19.75" customHeight="1">
      <c r="B26" s="1183"/>
      <c r="C26" s="1183"/>
      <c r="D26" s="1183"/>
      <c r="E26" s="1183"/>
      <c r="F26" s="1183"/>
      <c r="G26" s="1183"/>
      <c r="H26" s="1183"/>
      <c r="I26" s="1183"/>
      <c r="J26" s="1183"/>
      <c r="K26" s="1183"/>
      <c r="L26" s="1183"/>
      <c r="M26" s="1183"/>
      <c r="N26" s="1183"/>
      <c r="O26" s="1183"/>
      <c r="P26" s="1183"/>
      <c r="Q26" s="1183"/>
      <c r="R26" s="1183"/>
      <c r="S26" s="1183"/>
      <c r="T26" s="1183"/>
      <c r="U26" s="1183"/>
      <c r="V26" s="1183"/>
      <c r="W26" s="1183"/>
      <c r="X26" s="1183"/>
      <c r="Y26" s="1183"/>
      <c r="Z26" s="1183"/>
      <c r="AA26" s="1183"/>
      <c r="AB26" s="1183"/>
      <c r="AC26" s="1183"/>
      <c r="AD26" s="1183"/>
      <c r="AE26" s="1183"/>
      <c r="AF26" s="1183"/>
      <c r="AG26" s="1183"/>
      <c r="AH26" s="1183"/>
      <c r="AI26" s="1186"/>
    </row>
    <row r="27" spans="1:35" ht="19.75" customHeight="1">
      <c r="B27" s="1183"/>
      <c r="C27" s="1183"/>
      <c r="D27" s="1183"/>
      <c r="E27" s="1183"/>
      <c r="F27" s="1183"/>
      <c r="G27" s="1183"/>
      <c r="H27" s="1183"/>
      <c r="I27" s="1183"/>
      <c r="J27" s="1183"/>
      <c r="K27" s="1183"/>
      <c r="L27" s="1183"/>
      <c r="M27" s="1183"/>
      <c r="N27" s="1183"/>
      <c r="O27" s="1183"/>
      <c r="P27" s="1183"/>
      <c r="Q27" s="1183"/>
      <c r="R27" s="1183"/>
      <c r="S27" s="1183"/>
      <c r="T27" s="1183"/>
      <c r="U27" s="1183"/>
      <c r="V27" s="1183"/>
      <c r="W27" s="1183"/>
      <c r="X27" s="1183"/>
      <c r="Y27" s="1183"/>
      <c r="Z27" s="1183"/>
      <c r="AA27" s="1183"/>
      <c r="AB27" s="1183"/>
      <c r="AC27" s="1183"/>
      <c r="AD27" s="1183"/>
      <c r="AE27" s="1183"/>
      <c r="AF27" s="1183"/>
      <c r="AG27" s="1183"/>
      <c r="AH27" s="1183"/>
      <c r="AI27" s="1186"/>
    </row>
    <row r="28" spans="1:35" ht="19.75" customHeight="1">
      <c r="A28" s="1183" t="s">
        <v>1574</v>
      </c>
      <c r="B28" s="1187"/>
      <c r="C28" s="1187"/>
      <c r="D28" s="1187"/>
      <c r="E28" s="1187"/>
      <c r="F28" s="1187"/>
      <c r="G28" s="1187"/>
      <c r="H28" s="1187"/>
      <c r="I28" s="1187"/>
      <c r="J28" s="1187"/>
      <c r="K28" s="1187"/>
      <c r="L28" s="1187"/>
      <c r="M28" s="1187"/>
      <c r="N28" s="1187"/>
      <c r="O28" s="1183"/>
      <c r="P28" s="1183"/>
      <c r="Q28" s="1183"/>
      <c r="R28" s="1183"/>
      <c r="S28" s="1183"/>
      <c r="T28" s="1183"/>
      <c r="U28" s="1183"/>
      <c r="V28" s="1183"/>
      <c r="W28" s="1183"/>
      <c r="X28" s="1183"/>
      <c r="Y28" s="1183"/>
      <c r="Z28" s="1183"/>
      <c r="AA28" s="1183"/>
      <c r="AB28" s="1183"/>
      <c r="AC28" s="1183"/>
      <c r="AD28" s="1183"/>
      <c r="AE28" s="1183"/>
      <c r="AF28" s="1183"/>
      <c r="AG28" s="1183"/>
      <c r="AH28" s="1183"/>
    </row>
    <row r="29" spans="1:35" ht="19.75" customHeight="1">
      <c r="A29" s="1183"/>
      <c r="B29" s="1230" t="s">
        <v>1575</v>
      </c>
      <c r="C29" s="1230"/>
      <c r="D29" s="1230"/>
      <c r="E29" s="1230"/>
      <c r="F29" s="1230"/>
      <c r="G29" s="1230"/>
      <c r="H29" s="1230"/>
      <c r="I29" s="1230"/>
      <c r="J29" s="1230"/>
      <c r="K29" s="1230"/>
      <c r="L29" s="1230"/>
      <c r="M29" s="1230"/>
      <c r="N29" s="1230"/>
      <c r="O29" s="1230"/>
      <c r="P29" s="1230"/>
      <c r="Q29" s="1230"/>
      <c r="R29" s="1230"/>
      <c r="S29" s="1230"/>
      <c r="T29" s="1230"/>
      <c r="U29" s="1230"/>
      <c r="V29" s="1230"/>
      <c r="W29" s="1183"/>
      <c r="X29" s="1183"/>
      <c r="Y29" s="1183"/>
      <c r="Z29" s="1183"/>
      <c r="AA29" s="1183"/>
      <c r="AB29" s="1183"/>
      <c r="AC29" s="1183"/>
      <c r="AD29" s="1183"/>
      <c r="AE29" s="1183"/>
      <c r="AF29" s="1183"/>
      <c r="AG29" s="1183"/>
      <c r="AH29" s="1183"/>
    </row>
    <row r="30" spans="1:35" ht="19.75" customHeight="1">
      <c r="A30" s="1183"/>
      <c r="B30" s="1183"/>
      <c r="C30" s="1183"/>
      <c r="D30" s="1183"/>
      <c r="E30" s="1183"/>
      <c r="F30" s="1183"/>
      <c r="G30" s="1183"/>
      <c r="H30" s="1183"/>
      <c r="I30" s="1183"/>
      <c r="J30" s="1183"/>
      <c r="K30" s="1183"/>
      <c r="L30" s="1183"/>
      <c r="M30" s="1183"/>
      <c r="N30" s="1183"/>
      <c r="O30" s="1183"/>
      <c r="P30" s="1183"/>
      <c r="Q30" s="1183"/>
      <c r="R30" s="1183"/>
      <c r="S30" s="1183"/>
      <c r="T30" s="1183"/>
      <c r="U30" s="1183"/>
      <c r="V30" s="1183"/>
      <c r="W30" s="1183"/>
      <c r="X30" s="1183"/>
      <c r="Y30" s="1183"/>
      <c r="Z30" s="1183"/>
      <c r="AA30" s="1183"/>
      <c r="AB30" s="1183"/>
      <c r="AC30" s="1183"/>
      <c r="AD30" s="1183"/>
      <c r="AE30" s="1183"/>
      <c r="AF30" s="1183"/>
      <c r="AG30" s="1183"/>
      <c r="AH30" s="1183"/>
    </row>
    <row r="31" spans="1:35" ht="19.75" customHeight="1">
      <c r="A31" s="1183" t="s">
        <v>1576</v>
      </c>
      <c r="B31" s="1183"/>
      <c r="C31" s="1183"/>
      <c r="D31" s="1183"/>
      <c r="E31" s="1183"/>
      <c r="F31" s="1183"/>
      <c r="G31" s="1183"/>
      <c r="H31" s="1183"/>
      <c r="I31" s="1183"/>
      <c r="J31" s="1183"/>
      <c r="K31" s="1183"/>
      <c r="L31" s="1183"/>
      <c r="M31" s="1183"/>
      <c r="N31" s="1183"/>
      <c r="O31" s="1183"/>
      <c r="P31" s="1183"/>
      <c r="Q31" s="1183"/>
      <c r="R31" s="1183"/>
      <c r="S31" s="1183"/>
      <c r="T31" s="1183"/>
      <c r="U31" s="1183"/>
      <c r="V31" s="1183"/>
      <c r="W31" s="1183"/>
      <c r="X31" s="1183"/>
      <c r="Y31" s="1183"/>
      <c r="Z31" s="1183"/>
      <c r="AA31" s="1183"/>
      <c r="AB31" s="1183"/>
      <c r="AC31" s="1183"/>
      <c r="AD31" s="1183"/>
      <c r="AE31" s="1183"/>
      <c r="AF31" s="1183"/>
      <c r="AG31" s="1183"/>
      <c r="AH31" s="1183"/>
    </row>
    <row r="32" spans="1:35" ht="19.75" customHeight="1">
      <c r="A32" s="1183"/>
      <c r="B32" s="1220"/>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row>
    <row r="33" spans="1:34" ht="19.75" customHeight="1">
      <c r="A33" s="1183"/>
      <c r="B33" s="1220"/>
      <c r="C33" s="1220"/>
      <c r="D33" s="1220"/>
      <c r="E33" s="1220"/>
      <c r="F33" s="1220"/>
      <c r="G33" s="1220"/>
      <c r="H33" s="1220"/>
      <c r="I33" s="1220"/>
      <c r="J33" s="1220"/>
      <c r="K33" s="1220"/>
      <c r="L33" s="1220"/>
      <c r="M33" s="1220"/>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row>
    <row r="34" spans="1:34" ht="19.75" customHeight="1">
      <c r="A34" s="1183" t="s">
        <v>1577</v>
      </c>
      <c r="B34" s="1183"/>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1183"/>
      <c r="AG34" s="1183"/>
      <c r="AH34" s="1183"/>
    </row>
    <row r="35" spans="1:34" ht="19.75" customHeight="1">
      <c r="A35" s="1183" t="s">
        <v>1578</v>
      </c>
      <c r="B35" s="1188"/>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row>
    <row r="36" spans="1:34" ht="19.75" customHeight="1">
      <c r="B36" s="1220"/>
      <c r="C36" s="1220"/>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row>
    <row r="37" spans="1:34" ht="19.75" customHeight="1">
      <c r="B37" s="1220"/>
      <c r="C37" s="1220"/>
      <c r="D37" s="1220"/>
      <c r="E37" s="1220"/>
      <c r="F37" s="1220"/>
      <c r="G37" s="1220"/>
      <c r="H37" s="1220"/>
      <c r="I37" s="1220"/>
      <c r="J37" s="1220"/>
      <c r="K37" s="1220"/>
      <c r="L37" s="1220"/>
      <c r="M37" s="1220"/>
      <c r="N37" s="1220"/>
      <c r="O37" s="1220"/>
      <c r="P37" s="1220"/>
      <c r="Q37" s="1220"/>
      <c r="R37" s="1220"/>
      <c r="S37" s="1220"/>
      <c r="T37" s="1220"/>
      <c r="U37" s="1220"/>
      <c r="V37" s="1220"/>
      <c r="W37" s="1220"/>
      <c r="X37" s="1220"/>
      <c r="Y37" s="1220"/>
      <c r="Z37" s="1220"/>
      <c r="AA37" s="1220"/>
      <c r="AB37" s="1220"/>
      <c r="AC37" s="1220"/>
      <c r="AD37" s="1220"/>
      <c r="AE37" s="1220"/>
      <c r="AF37" s="1220"/>
      <c r="AG37" s="1220"/>
      <c r="AH37" s="1220"/>
    </row>
    <row r="38" spans="1:34" ht="19.75" customHeight="1">
      <c r="A38" s="1183"/>
      <c r="B38" s="1220"/>
      <c r="C38" s="1220"/>
      <c r="D38" s="1220"/>
      <c r="E38" s="1220"/>
      <c r="F38" s="1220"/>
      <c r="G38" s="1220"/>
      <c r="H38" s="1220"/>
      <c r="I38" s="1220"/>
      <c r="J38" s="1220"/>
      <c r="K38" s="1220"/>
      <c r="L38" s="1220"/>
      <c r="M38" s="1220"/>
      <c r="N38" s="1220"/>
      <c r="O38" s="1220"/>
      <c r="P38" s="1220"/>
      <c r="Q38" s="1220"/>
      <c r="R38" s="1220"/>
      <c r="S38" s="1220"/>
      <c r="T38" s="1220"/>
      <c r="U38" s="1220"/>
      <c r="V38" s="1220"/>
      <c r="W38" s="1220"/>
      <c r="X38" s="1220"/>
      <c r="Y38" s="1220"/>
      <c r="Z38" s="1220"/>
      <c r="AA38" s="1220"/>
      <c r="AB38" s="1220"/>
      <c r="AC38" s="1220"/>
      <c r="AD38" s="1220"/>
      <c r="AE38" s="1220"/>
      <c r="AF38" s="1220"/>
      <c r="AG38" s="1220"/>
      <c r="AH38" s="1220"/>
    </row>
    <row r="39" spans="1:34" ht="19.75" customHeight="1">
      <c r="A39" s="1192"/>
      <c r="B39" s="1192"/>
      <c r="C39" s="1192"/>
      <c r="D39" s="1192"/>
      <c r="E39" s="1192"/>
      <c r="F39" s="1192"/>
      <c r="G39" s="1192"/>
      <c r="H39" s="1192"/>
      <c r="I39" s="1192"/>
      <c r="J39" s="1192"/>
      <c r="K39" s="1192"/>
      <c r="L39" s="1192"/>
      <c r="M39" s="1192"/>
      <c r="N39" s="1192"/>
      <c r="O39" s="1192"/>
      <c r="P39" s="1192"/>
      <c r="Q39" s="1192"/>
      <c r="R39" s="1192"/>
      <c r="S39" s="1192"/>
      <c r="T39" s="1192"/>
      <c r="U39" s="1192"/>
      <c r="V39" s="1192"/>
      <c r="W39" s="1192"/>
      <c r="X39" s="1192"/>
      <c r="Y39" s="1192"/>
      <c r="Z39" s="1192"/>
      <c r="AA39" s="1192"/>
      <c r="AB39" s="1192"/>
      <c r="AC39" s="1192"/>
      <c r="AD39" s="1192"/>
      <c r="AE39" s="1192"/>
      <c r="AF39" s="1192"/>
      <c r="AG39" s="1192"/>
      <c r="AH39" s="1192"/>
    </row>
    <row r="40" spans="1:34" ht="19.75" customHeight="1">
      <c r="A40" s="1192"/>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row>
    <row r="41" spans="1:34" ht="19.75" customHeight="1">
      <c r="A41" s="1192"/>
      <c r="B41" s="1192"/>
      <c r="C41" s="1192"/>
      <c r="D41" s="1192"/>
      <c r="E41" s="1192"/>
      <c r="F41" s="1192"/>
      <c r="G41" s="1192"/>
      <c r="H41" s="1192"/>
      <c r="I41" s="1192"/>
      <c r="J41" s="1192"/>
      <c r="K41" s="1192"/>
      <c r="L41" s="1192"/>
      <c r="M41" s="1192"/>
      <c r="N41" s="1192"/>
      <c r="O41" s="1192"/>
      <c r="P41" s="1192"/>
      <c r="Q41" s="1192"/>
      <c r="R41" s="1192"/>
      <c r="S41" s="1192"/>
      <c r="T41" s="1192"/>
      <c r="U41" s="1192"/>
      <c r="V41" s="1192"/>
      <c r="W41" s="1192"/>
      <c r="X41" s="1192"/>
      <c r="Y41" s="1192"/>
      <c r="Z41" s="1192"/>
      <c r="AA41" s="1192"/>
      <c r="AB41" s="1192"/>
      <c r="AC41" s="1192"/>
      <c r="AD41" s="1192"/>
      <c r="AE41" s="1192"/>
      <c r="AF41" s="1192"/>
      <c r="AG41" s="1192"/>
      <c r="AH41" s="1192"/>
    </row>
    <row r="42" spans="1:34" ht="19.75" customHeight="1">
      <c r="A42" s="1192"/>
      <c r="B42" s="1192"/>
      <c r="C42" s="1192"/>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2"/>
      <c r="AF42" s="1192"/>
      <c r="AG42" s="1192"/>
      <c r="AH42" s="1192"/>
    </row>
    <row r="43" spans="1:34" ht="19.75" customHeight="1">
      <c r="A43" s="1192"/>
      <c r="B43" s="1192"/>
      <c r="C43" s="1192"/>
      <c r="D43" s="1192"/>
      <c r="E43" s="1192"/>
      <c r="F43" s="1192"/>
      <c r="G43" s="1192"/>
      <c r="H43" s="1192"/>
      <c r="I43" s="1192"/>
      <c r="J43" s="1192"/>
      <c r="K43" s="1192"/>
      <c r="L43" s="1192"/>
      <c r="M43" s="1192"/>
      <c r="N43" s="1192"/>
      <c r="O43" s="1192"/>
      <c r="P43" s="1192"/>
      <c r="Q43" s="1192"/>
      <c r="R43" s="1192"/>
      <c r="S43" s="1192"/>
      <c r="T43" s="1192"/>
      <c r="U43" s="1192"/>
      <c r="V43" s="1192"/>
      <c r="W43" s="1192"/>
      <c r="X43" s="1192"/>
      <c r="Y43" s="1192"/>
      <c r="Z43" s="1192"/>
      <c r="AA43" s="1192"/>
      <c r="AB43" s="1192"/>
      <c r="AC43" s="1192"/>
      <c r="AD43" s="1192"/>
      <c r="AE43" s="1192"/>
      <c r="AF43" s="1192"/>
      <c r="AG43" s="1192"/>
      <c r="AH43" s="1192"/>
    </row>
    <row r="44" spans="1:34" ht="19.75" customHeight="1">
      <c r="A44" s="1192"/>
      <c r="B44" s="1192"/>
      <c r="C44" s="1192"/>
      <c r="D44" s="1192"/>
      <c r="E44" s="1192"/>
      <c r="F44" s="1192"/>
      <c r="G44" s="1192"/>
      <c r="H44" s="1192"/>
      <c r="I44" s="1192"/>
      <c r="J44" s="1192"/>
      <c r="K44" s="1192"/>
      <c r="L44" s="1192"/>
      <c r="M44" s="1192"/>
      <c r="N44" s="1192"/>
      <c r="O44" s="1192"/>
      <c r="P44" s="1192"/>
      <c r="Q44" s="1192"/>
      <c r="R44" s="1192"/>
      <c r="S44" s="1192"/>
      <c r="T44" s="1192"/>
      <c r="U44" s="1192"/>
      <c r="V44" s="1192"/>
      <c r="W44" s="1192"/>
      <c r="X44" s="1192"/>
      <c r="Y44" s="1192"/>
      <c r="Z44" s="1192"/>
      <c r="AA44" s="1192"/>
      <c r="AB44" s="1192"/>
      <c r="AC44" s="1192"/>
      <c r="AD44" s="1192"/>
      <c r="AE44" s="1192"/>
      <c r="AF44" s="1192"/>
      <c r="AG44" s="1192"/>
      <c r="AH44" s="1192"/>
    </row>
    <row r="45" spans="1:34" ht="19.75" customHeight="1">
      <c r="A45" s="1192"/>
      <c r="B45" s="1192"/>
      <c r="C45" s="1192"/>
      <c r="D45" s="1192"/>
      <c r="E45" s="1192"/>
      <c r="F45" s="1192"/>
      <c r="G45" s="1192"/>
      <c r="H45" s="1192"/>
      <c r="I45" s="1192"/>
      <c r="J45" s="1192"/>
      <c r="K45" s="1192"/>
      <c r="L45" s="1192"/>
      <c r="M45" s="1192"/>
      <c r="N45" s="1192"/>
      <c r="O45" s="1192"/>
      <c r="P45" s="1192"/>
      <c r="Q45" s="1192"/>
      <c r="R45" s="1192"/>
      <c r="S45" s="1192"/>
      <c r="T45" s="1192"/>
      <c r="U45" s="1192"/>
      <c r="V45" s="1192"/>
      <c r="W45" s="1192"/>
      <c r="X45" s="1192"/>
      <c r="Y45" s="1192"/>
      <c r="Z45" s="1192"/>
      <c r="AA45" s="1192"/>
      <c r="AB45" s="1192"/>
      <c r="AC45" s="1192"/>
      <c r="AD45" s="1192"/>
      <c r="AE45" s="1192"/>
      <c r="AF45" s="1192"/>
      <c r="AG45" s="1192"/>
      <c r="AH45" s="1192"/>
    </row>
    <row r="46" spans="1:34" ht="19.75" customHeight="1">
      <c r="A46" s="1192"/>
      <c r="B46" s="1192"/>
      <c r="C46" s="1192"/>
      <c r="D46" s="1192"/>
      <c r="E46" s="1192"/>
      <c r="F46" s="1192"/>
      <c r="G46" s="1192"/>
      <c r="H46" s="1192"/>
      <c r="I46" s="1192"/>
      <c r="J46" s="1192"/>
      <c r="K46" s="1192"/>
      <c r="L46" s="1192"/>
      <c r="M46" s="1192"/>
      <c r="N46" s="1192"/>
      <c r="O46" s="1192"/>
      <c r="P46" s="1192"/>
      <c r="Q46" s="1192"/>
      <c r="R46" s="1192"/>
      <c r="S46" s="1192"/>
      <c r="T46" s="1192"/>
      <c r="U46" s="1192"/>
      <c r="V46" s="1192"/>
      <c r="W46" s="1192"/>
      <c r="X46" s="1192"/>
      <c r="Y46" s="1192"/>
      <c r="Z46" s="1192"/>
      <c r="AA46" s="1192"/>
      <c r="AB46" s="1192"/>
      <c r="AC46" s="1192"/>
      <c r="AD46" s="1192"/>
      <c r="AE46" s="1192"/>
      <c r="AF46" s="1192"/>
      <c r="AG46" s="1192"/>
      <c r="AH46" s="1192"/>
    </row>
    <row r="47" spans="1:34" ht="19.75" customHeight="1">
      <c r="A47" s="1192"/>
      <c r="B47" s="1192"/>
      <c r="C47" s="1192"/>
      <c r="D47" s="1192"/>
      <c r="E47" s="1192"/>
      <c r="F47" s="1192"/>
      <c r="G47" s="1192"/>
      <c r="H47" s="1192"/>
      <c r="I47" s="1192"/>
      <c r="J47" s="1192"/>
      <c r="K47" s="1192"/>
      <c r="L47" s="1192"/>
      <c r="M47" s="1192"/>
      <c r="N47" s="1192"/>
      <c r="O47" s="1192"/>
      <c r="P47" s="1192"/>
      <c r="Q47" s="1192"/>
      <c r="R47" s="1192"/>
      <c r="S47" s="1192"/>
      <c r="T47" s="1192"/>
      <c r="U47" s="1192"/>
      <c r="V47" s="1192"/>
      <c r="W47" s="1192"/>
      <c r="X47" s="1192"/>
      <c r="Y47" s="1192"/>
      <c r="Z47" s="1192"/>
      <c r="AA47" s="1192"/>
      <c r="AB47" s="1192"/>
      <c r="AC47" s="1192"/>
      <c r="AD47" s="1192"/>
      <c r="AE47" s="1192"/>
      <c r="AF47" s="1192"/>
      <c r="AG47" s="1192"/>
      <c r="AH47" s="1192"/>
    </row>
    <row r="48" spans="1:34" ht="19.75" customHeight="1">
      <c r="A48" s="1192"/>
      <c r="B48" s="1192"/>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row>
    <row r="49" spans="1:34" ht="19.75" customHeight="1">
      <c r="A49" s="1192"/>
      <c r="B49" s="1192"/>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row>
    <row r="50" spans="1:34" ht="19.75" customHeight="1">
      <c r="A50" s="1192"/>
      <c r="B50" s="1192"/>
      <c r="C50" s="1192"/>
      <c r="D50" s="1192"/>
      <c r="E50" s="1192"/>
      <c r="F50" s="1192"/>
      <c r="G50" s="1192"/>
      <c r="H50" s="1192"/>
      <c r="I50" s="1192"/>
      <c r="J50" s="1192"/>
      <c r="K50" s="1192"/>
      <c r="L50" s="1192"/>
      <c r="M50" s="1192"/>
      <c r="N50" s="1192"/>
      <c r="O50" s="1192"/>
      <c r="P50" s="1192"/>
      <c r="Q50" s="1192"/>
      <c r="R50" s="1192"/>
      <c r="S50" s="1192"/>
      <c r="T50" s="1192"/>
      <c r="U50" s="1192"/>
      <c r="V50" s="1192"/>
      <c r="W50" s="1192"/>
      <c r="X50" s="1192"/>
      <c r="Y50" s="1192"/>
      <c r="Z50" s="1192"/>
      <c r="AA50" s="1192"/>
      <c r="AB50" s="1192"/>
      <c r="AC50" s="1192"/>
      <c r="AD50" s="1192"/>
      <c r="AE50" s="1192"/>
      <c r="AF50" s="1192"/>
      <c r="AG50" s="1192"/>
      <c r="AH50" s="1192"/>
    </row>
    <row r="51" spans="1:34" ht="19.75" customHeight="1">
      <c r="A51" s="1192"/>
      <c r="B51" s="1192"/>
      <c r="C51" s="1192"/>
      <c r="D51" s="1192"/>
      <c r="E51" s="1192"/>
      <c r="F51" s="1192"/>
      <c r="G51" s="1192"/>
      <c r="H51" s="1192"/>
      <c r="I51" s="1192"/>
      <c r="J51" s="1192"/>
      <c r="K51" s="1192"/>
      <c r="L51" s="1192"/>
      <c r="M51" s="1192"/>
      <c r="N51" s="1192"/>
      <c r="O51" s="1192"/>
      <c r="P51" s="1192"/>
      <c r="Q51" s="1192"/>
      <c r="R51" s="1192"/>
      <c r="S51" s="1192"/>
      <c r="T51" s="1192"/>
      <c r="U51" s="1192"/>
      <c r="V51" s="1192"/>
      <c r="W51" s="1192"/>
      <c r="X51" s="1192"/>
      <c r="Y51" s="1192"/>
      <c r="Z51" s="1192"/>
      <c r="AA51" s="1192"/>
      <c r="AB51" s="1192"/>
      <c r="AC51" s="1192"/>
      <c r="AD51" s="1192"/>
      <c r="AE51" s="1192"/>
      <c r="AF51" s="1192"/>
      <c r="AG51" s="1192"/>
      <c r="AH51" s="1192"/>
    </row>
    <row r="52" spans="1:34" ht="19.75" customHeight="1">
      <c r="A52" s="1192"/>
      <c r="B52" s="1192"/>
      <c r="C52" s="1192"/>
      <c r="D52" s="1192"/>
      <c r="E52" s="1192"/>
      <c r="F52" s="1192"/>
      <c r="G52" s="1192"/>
      <c r="H52" s="1192"/>
      <c r="I52" s="1192"/>
      <c r="J52" s="1192"/>
      <c r="K52" s="1192"/>
      <c r="L52" s="1192"/>
      <c r="M52" s="1192"/>
      <c r="N52" s="1192"/>
      <c r="O52" s="1192"/>
      <c r="P52" s="1192"/>
      <c r="Q52" s="1192"/>
      <c r="R52" s="1192"/>
      <c r="S52" s="1192"/>
      <c r="T52" s="1192"/>
      <c r="U52" s="1192"/>
      <c r="V52" s="1192"/>
      <c r="W52" s="1192"/>
      <c r="X52" s="1192"/>
      <c r="Y52" s="1192"/>
      <c r="Z52" s="1192"/>
      <c r="AA52" s="1192"/>
      <c r="AB52" s="1192"/>
      <c r="AC52" s="1192"/>
      <c r="AD52" s="1192"/>
      <c r="AE52" s="1192"/>
      <c r="AF52" s="1192"/>
      <c r="AG52" s="1192"/>
      <c r="AH52" s="1192"/>
    </row>
    <row r="53" spans="1:34" ht="19.75" customHeight="1">
      <c r="A53" s="1192"/>
      <c r="B53" s="1192"/>
      <c r="C53" s="1192"/>
      <c r="D53" s="1192"/>
      <c r="E53" s="1192"/>
      <c r="F53" s="1192"/>
      <c r="G53" s="1192"/>
      <c r="H53" s="1192"/>
      <c r="I53" s="1192"/>
      <c r="J53" s="1192"/>
      <c r="K53" s="1192"/>
      <c r="L53" s="1192"/>
      <c r="M53" s="1192"/>
      <c r="N53" s="1192"/>
      <c r="O53" s="1192"/>
      <c r="P53" s="1192"/>
      <c r="Q53" s="1192"/>
      <c r="R53" s="1192"/>
      <c r="S53" s="1192"/>
      <c r="T53" s="1192"/>
      <c r="U53" s="1192"/>
      <c r="V53" s="1192"/>
      <c r="W53" s="1192"/>
      <c r="X53" s="1192"/>
      <c r="Y53" s="1192"/>
      <c r="Z53" s="1192"/>
      <c r="AA53" s="1192"/>
      <c r="AB53" s="1192"/>
      <c r="AC53" s="1192"/>
      <c r="AD53" s="1192"/>
      <c r="AE53" s="1192"/>
      <c r="AF53" s="1192"/>
      <c r="AG53" s="1192"/>
      <c r="AH53" s="1192"/>
    </row>
    <row r="54" spans="1:34" ht="19.75" customHeight="1">
      <c r="A54" s="1192"/>
      <c r="B54" s="1192"/>
      <c r="C54" s="1192"/>
      <c r="D54" s="1192"/>
      <c r="E54" s="1192"/>
      <c r="F54" s="1192"/>
      <c r="G54" s="1192"/>
      <c r="H54" s="1192"/>
      <c r="I54" s="1192"/>
      <c r="J54" s="1192"/>
      <c r="K54" s="1192"/>
      <c r="L54" s="1192"/>
      <c r="M54" s="1192"/>
      <c r="N54" s="1192"/>
      <c r="O54" s="1192"/>
      <c r="P54" s="1192"/>
      <c r="Q54" s="1192"/>
      <c r="R54" s="1192"/>
      <c r="S54" s="1192"/>
      <c r="T54" s="1192"/>
      <c r="U54" s="1192"/>
      <c r="V54" s="1192"/>
      <c r="W54" s="1192"/>
      <c r="X54" s="1192"/>
      <c r="Y54" s="1192"/>
      <c r="Z54" s="1192"/>
      <c r="AA54" s="1192"/>
      <c r="AB54" s="1192"/>
      <c r="AC54" s="1192"/>
      <c r="AD54" s="1192"/>
      <c r="AE54" s="1192"/>
      <c r="AF54" s="1192"/>
      <c r="AG54" s="1192"/>
      <c r="AH54" s="1192"/>
    </row>
    <row r="55" spans="1:34" ht="19.75" customHeight="1">
      <c r="A55" s="1192"/>
      <c r="B55" s="1192"/>
      <c r="C55" s="1192"/>
      <c r="D55" s="1192"/>
      <c r="E55" s="1192"/>
      <c r="F55" s="1192"/>
      <c r="G55" s="1192"/>
      <c r="H55" s="1192"/>
      <c r="I55" s="1192"/>
      <c r="J55" s="1192"/>
      <c r="K55" s="1192"/>
      <c r="L55" s="1192"/>
      <c r="M55" s="1192"/>
      <c r="N55" s="1192"/>
      <c r="O55" s="1192"/>
      <c r="P55" s="1192"/>
      <c r="Q55" s="1192"/>
      <c r="R55" s="1192"/>
      <c r="S55" s="1192"/>
      <c r="T55" s="1192"/>
      <c r="U55" s="1192"/>
      <c r="V55" s="1192"/>
      <c r="W55" s="1192"/>
      <c r="X55" s="1192"/>
      <c r="Y55" s="1192"/>
      <c r="Z55" s="1192"/>
      <c r="AA55" s="1192"/>
      <c r="AB55" s="1192"/>
      <c r="AC55" s="1192"/>
      <c r="AD55" s="1192"/>
      <c r="AE55" s="1192"/>
      <c r="AF55" s="1192"/>
      <c r="AG55" s="1192"/>
      <c r="AH55" s="1192"/>
    </row>
    <row r="56" spans="1:34" ht="19.75" customHeight="1">
      <c r="A56" s="1192"/>
      <c r="B56" s="1192"/>
      <c r="C56" s="1192"/>
      <c r="D56" s="1192"/>
      <c r="E56" s="1192"/>
      <c r="F56" s="1192"/>
      <c r="G56" s="1192"/>
      <c r="H56" s="1192"/>
      <c r="I56" s="1192"/>
      <c r="J56" s="1192"/>
      <c r="K56" s="1192"/>
      <c r="L56" s="1192"/>
      <c r="M56" s="1192"/>
      <c r="N56" s="1192"/>
      <c r="O56" s="1192"/>
      <c r="P56" s="1192"/>
      <c r="Q56" s="1192"/>
      <c r="R56" s="1192"/>
      <c r="S56" s="1192"/>
      <c r="T56" s="1192"/>
      <c r="U56" s="1192"/>
      <c r="V56" s="1192"/>
      <c r="W56" s="1192"/>
      <c r="X56" s="1192"/>
      <c r="Y56" s="1192"/>
      <c r="Z56" s="1192"/>
      <c r="AA56" s="1192"/>
      <c r="AB56" s="1192"/>
      <c r="AC56" s="1192"/>
      <c r="AD56" s="1192"/>
      <c r="AE56" s="1192"/>
      <c r="AF56" s="1192"/>
      <c r="AG56" s="1192"/>
      <c r="AH56" s="1192"/>
    </row>
    <row r="59" spans="1:34" ht="19.75" customHeight="1">
      <c r="Q59" s="1189"/>
      <c r="R59" s="1189"/>
      <c r="S59" s="1189"/>
      <c r="T59" s="1189"/>
      <c r="AA59" s="1190"/>
      <c r="AB59" s="1191"/>
      <c r="AC59" s="1191"/>
      <c r="AD59" s="1191"/>
    </row>
    <row r="60" spans="1:34" ht="19.75" customHeight="1">
      <c r="G60" s="1189"/>
      <c r="H60" s="1191"/>
      <c r="I60" s="1191"/>
      <c r="J60" s="1191"/>
      <c r="Q60" s="1189"/>
      <c r="R60" s="1189"/>
      <c r="S60" s="1189"/>
      <c r="T60" s="1189"/>
      <c r="AA60" s="1190"/>
      <c r="AB60" s="1191"/>
      <c r="AC60" s="1191"/>
      <c r="AD60" s="1191"/>
    </row>
    <row r="61" spans="1:34" ht="19.75" customHeight="1">
      <c r="G61" s="1189"/>
      <c r="H61" s="1191"/>
      <c r="I61" s="1191"/>
      <c r="J61" s="1191"/>
      <c r="Q61" s="1189"/>
      <c r="R61" s="1189"/>
      <c r="S61" s="1189"/>
      <c r="T61" s="1189"/>
      <c r="AA61" s="1190"/>
      <c r="AB61" s="1191"/>
      <c r="AC61" s="1191"/>
      <c r="AD61" s="1191"/>
    </row>
    <row r="62" spans="1:34" ht="19.75" customHeight="1">
      <c r="G62" s="1189"/>
      <c r="H62" s="1191"/>
      <c r="I62" s="1191"/>
      <c r="J62" s="1191"/>
      <c r="Q62" s="1189"/>
      <c r="R62" s="1189"/>
      <c r="S62" s="1189"/>
      <c r="T62" s="1189"/>
      <c r="AA62" s="1190"/>
      <c r="AB62" s="1191"/>
      <c r="AC62" s="1191"/>
      <c r="AD62" s="1191"/>
    </row>
    <row r="63" spans="1:34" ht="19.75" customHeight="1">
      <c r="G63" s="1189"/>
      <c r="H63" s="1191"/>
      <c r="I63" s="1191"/>
      <c r="J63" s="1191"/>
      <c r="Q63" s="1189"/>
      <c r="R63" s="1189"/>
      <c r="S63" s="1189"/>
      <c r="T63" s="1189"/>
      <c r="AA63" s="1190"/>
      <c r="AB63" s="1191"/>
      <c r="AC63" s="1191"/>
      <c r="AD63" s="1191"/>
    </row>
    <row r="64" spans="1:34" ht="19.75" customHeight="1">
      <c r="G64" s="1189"/>
      <c r="H64" s="1191"/>
      <c r="I64" s="1191"/>
      <c r="J64" s="1191"/>
      <c r="Q64" s="1189"/>
      <c r="R64" s="1189"/>
      <c r="S64" s="1189"/>
      <c r="T64" s="1189"/>
      <c r="AA64" s="1190"/>
      <c r="AB64" s="1191"/>
      <c r="AC64" s="1191"/>
      <c r="AD64" s="1191"/>
    </row>
    <row r="65" spans="1:38" ht="19.75" customHeight="1">
      <c r="G65" s="1189"/>
      <c r="H65" s="1191"/>
      <c r="I65" s="1191"/>
      <c r="J65" s="1191"/>
      <c r="Q65" s="1189"/>
      <c r="R65" s="1189"/>
      <c r="S65" s="1189"/>
      <c r="T65" s="1189"/>
      <c r="AA65" s="1190"/>
      <c r="AB65" s="1191"/>
      <c r="AC65" s="1191"/>
      <c r="AD65" s="1191"/>
    </row>
    <row r="72" spans="1:38" s="1193" customFormat="1" ht="19.75" customHeight="1">
      <c r="A72" s="1192"/>
      <c r="B72" s="1192"/>
      <c r="C72" s="1192"/>
      <c r="D72" s="1192"/>
      <c r="E72" s="1192"/>
      <c r="F72" s="1192"/>
      <c r="G72" s="1192"/>
      <c r="H72" s="1192"/>
      <c r="I72" s="1192"/>
      <c r="J72" s="1192"/>
      <c r="K72" s="1192"/>
      <c r="L72" s="1192"/>
      <c r="M72" s="1192"/>
      <c r="N72" s="1192"/>
      <c r="O72" s="1192"/>
      <c r="P72" s="1192"/>
      <c r="Q72" s="1192"/>
      <c r="R72" s="1192"/>
      <c r="S72" s="1192"/>
      <c r="T72" s="1192"/>
      <c r="U72" s="1192"/>
      <c r="V72" s="1192"/>
      <c r="W72" s="1192"/>
      <c r="X72" s="1192"/>
      <c r="Y72" s="1192"/>
      <c r="Z72" s="1192"/>
      <c r="AA72" s="1192"/>
      <c r="AB72" s="1192"/>
      <c r="AC72" s="1192"/>
      <c r="AD72" s="1192"/>
      <c r="AE72" s="1192"/>
      <c r="AF72" s="1192"/>
      <c r="AG72" s="1192"/>
      <c r="AH72" s="1192"/>
      <c r="AI72" s="1192"/>
      <c r="AJ72" s="1192"/>
      <c r="AL72" s="1193" t="s">
        <v>1561</v>
      </c>
    </row>
    <row r="73" spans="1:38" ht="19.75" customHeight="1">
      <c r="A73" s="1192"/>
      <c r="B73" s="1192"/>
      <c r="C73" s="1192"/>
      <c r="D73" s="1192"/>
      <c r="E73" s="1192"/>
      <c r="F73" s="1192"/>
      <c r="G73" s="1192"/>
      <c r="H73" s="1192"/>
      <c r="I73" s="1192"/>
      <c r="J73" s="1192"/>
      <c r="K73" s="1192"/>
      <c r="L73" s="1192"/>
      <c r="M73" s="1192"/>
      <c r="N73" s="1192"/>
      <c r="O73" s="1192"/>
      <c r="P73" s="1192"/>
      <c r="Q73" s="1192"/>
      <c r="R73" s="1192"/>
      <c r="S73" s="1192"/>
      <c r="T73" s="1192"/>
      <c r="U73" s="1192"/>
      <c r="V73" s="1192"/>
      <c r="W73" s="1192"/>
      <c r="X73" s="1192"/>
      <c r="Y73" s="1192"/>
      <c r="Z73" s="1192"/>
      <c r="AA73" s="1192"/>
      <c r="AB73" s="1192"/>
      <c r="AC73" s="1192"/>
      <c r="AD73" s="1192"/>
      <c r="AE73" s="1192"/>
      <c r="AF73" s="1192"/>
      <c r="AG73" s="1192"/>
      <c r="AH73" s="1192"/>
      <c r="AI73" s="1192"/>
      <c r="AJ73" s="1192"/>
      <c r="AL73" s="571" t="s">
        <v>1562</v>
      </c>
    </row>
    <row r="74" spans="1:38" ht="19.75" customHeight="1">
      <c r="A74" s="1192"/>
      <c r="B74" s="1192"/>
      <c r="C74" s="1192"/>
      <c r="D74" s="1192"/>
      <c r="E74" s="1192"/>
      <c r="F74" s="1192"/>
      <c r="G74" s="1192"/>
      <c r="H74" s="1192"/>
      <c r="I74" s="1192"/>
      <c r="J74" s="1192"/>
      <c r="K74" s="1192"/>
      <c r="L74" s="1192"/>
      <c r="M74" s="1192"/>
      <c r="N74" s="1192"/>
      <c r="O74" s="1192"/>
      <c r="P74" s="1192"/>
      <c r="Q74" s="1192"/>
      <c r="R74" s="1192"/>
      <c r="S74" s="1192"/>
      <c r="T74" s="1192"/>
      <c r="U74" s="1192"/>
      <c r="V74" s="1192"/>
      <c r="W74" s="1192"/>
      <c r="X74" s="1192"/>
      <c r="Y74" s="1192"/>
      <c r="Z74" s="1192"/>
      <c r="AA74" s="1192"/>
      <c r="AB74" s="1192"/>
      <c r="AC74" s="1192"/>
      <c r="AD74" s="1192"/>
      <c r="AE74" s="1192"/>
      <c r="AF74" s="1192"/>
      <c r="AG74" s="1192"/>
      <c r="AH74" s="1192"/>
      <c r="AI74" s="1192"/>
      <c r="AJ74" s="1192"/>
      <c r="AL74" s="571" t="s">
        <v>1563</v>
      </c>
    </row>
    <row r="75" spans="1:38" ht="19.75" customHeight="1">
      <c r="A75" s="1192"/>
      <c r="B75" s="1192"/>
      <c r="C75" s="1192"/>
      <c r="D75" s="1192"/>
      <c r="E75" s="1192"/>
      <c r="F75" s="1192"/>
      <c r="G75" s="1192"/>
      <c r="H75" s="1192"/>
      <c r="I75" s="1192"/>
      <c r="J75" s="1192"/>
      <c r="K75" s="1192"/>
      <c r="L75" s="1192"/>
      <c r="M75" s="1192"/>
      <c r="N75" s="1192"/>
      <c r="O75" s="1192"/>
      <c r="P75" s="1192"/>
      <c r="Q75" s="1192"/>
      <c r="R75" s="1192"/>
      <c r="S75" s="1192"/>
      <c r="T75" s="1192"/>
      <c r="U75" s="1192"/>
      <c r="V75" s="1192"/>
      <c r="W75" s="1192"/>
      <c r="X75" s="1192"/>
      <c r="Y75" s="1192"/>
      <c r="Z75" s="1192"/>
      <c r="AA75" s="1192"/>
      <c r="AB75" s="1192"/>
      <c r="AC75" s="1192"/>
      <c r="AD75" s="1192"/>
      <c r="AE75" s="1192"/>
      <c r="AF75" s="1192"/>
      <c r="AG75" s="1192"/>
      <c r="AH75" s="1192"/>
      <c r="AI75" s="1192"/>
      <c r="AJ75" s="1192"/>
      <c r="AL75" s="571" t="s">
        <v>1564</v>
      </c>
    </row>
    <row r="76" spans="1:38" ht="19.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1192"/>
      <c r="AD76" s="1192"/>
      <c r="AE76" s="1192"/>
      <c r="AF76" s="1192"/>
      <c r="AG76" s="1192"/>
      <c r="AH76" s="1192"/>
      <c r="AI76" s="1192"/>
      <c r="AJ76" s="1192"/>
    </row>
    <row r="77" spans="1:38" ht="19.75" customHeigh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1192"/>
      <c r="AD77" s="1192"/>
      <c r="AE77" s="1192"/>
      <c r="AF77" s="1192"/>
      <c r="AG77" s="1192"/>
      <c r="AH77" s="1192"/>
      <c r="AI77" s="1192"/>
      <c r="AJ77" s="1192"/>
    </row>
    <row r="78" spans="1:38" ht="19.75" customHeight="1">
      <c r="A78" s="1192"/>
      <c r="B78" s="1192"/>
      <c r="C78" s="1192"/>
      <c r="D78" s="1192"/>
      <c r="E78" s="1192"/>
      <c r="F78" s="1192"/>
      <c r="G78" s="1192"/>
      <c r="H78" s="1192"/>
      <c r="I78" s="1192"/>
      <c r="J78" s="1192"/>
      <c r="K78" s="1192"/>
      <c r="L78" s="1192"/>
      <c r="M78" s="1192"/>
      <c r="N78" s="1192"/>
      <c r="O78" s="1192"/>
      <c r="P78" s="1192"/>
      <c r="Q78" s="1192"/>
      <c r="R78" s="1192"/>
      <c r="S78" s="1192"/>
      <c r="T78" s="1192"/>
      <c r="U78" s="1192"/>
      <c r="V78" s="1192"/>
      <c r="W78" s="1192"/>
      <c r="X78" s="1192"/>
      <c r="Y78" s="1192"/>
      <c r="Z78" s="1192"/>
      <c r="AA78" s="1192"/>
      <c r="AB78" s="1192"/>
      <c r="AC78" s="1192"/>
      <c r="AD78" s="1192"/>
      <c r="AE78" s="1192"/>
      <c r="AF78" s="1192"/>
      <c r="AG78" s="1192"/>
      <c r="AH78" s="1192"/>
      <c r="AI78" s="1192"/>
      <c r="AJ78" s="1192"/>
    </row>
    <row r="79" spans="1:38" ht="19.75" customHeight="1">
      <c r="A79" s="1192"/>
      <c r="B79" s="1192"/>
      <c r="C79" s="1192"/>
      <c r="D79" s="1192"/>
      <c r="E79" s="1192"/>
      <c r="F79" s="1192"/>
      <c r="G79" s="1192"/>
      <c r="H79" s="1192"/>
      <c r="I79" s="1192"/>
      <c r="J79" s="1192"/>
      <c r="K79" s="1192"/>
      <c r="L79" s="1192"/>
      <c r="M79" s="1192"/>
      <c r="N79" s="1192"/>
      <c r="O79" s="1192"/>
      <c r="P79" s="1192"/>
      <c r="Q79" s="1192"/>
      <c r="R79" s="1192"/>
      <c r="S79" s="1192"/>
      <c r="T79" s="1192"/>
      <c r="U79" s="1192"/>
      <c r="V79" s="1192"/>
      <c r="W79" s="1192"/>
      <c r="X79" s="1192"/>
      <c r="Y79" s="1192"/>
      <c r="Z79" s="1192"/>
      <c r="AA79" s="1192"/>
      <c r="AB79" s="1192"/>
      <c r="AC79" s="1192"/>
      <c r="AD79" s="1192"/>
      <c r="AE79" s="1192"/>
      <c r="AF79" s="1192"/>
      <c r="AG79" s="1192"/>
      <c r="AH79" s="1192"/>
      <c r="AI79" s="1192"/>
      <c r="AJ79" s="1192"/>
    </row>
    <row r="80" spans="1:38" ht="19.75" customHeight="1">
      <c r="A80" s="1192"/>
      <c r="B80" s="1192"/>
      <c r="C80" s="1192"/>
      <c r="D80" s="1192"/>
      <c r="E80" s="1192"/>
      <c r="F80" s="1192"/>
      <c r="G80" s="1192"/>
      <c r="H80" s="1192"/>
      <c r="I80" s="1192"/>
      <c r="J80" s="1192"/>
      <c r="K80" s="1192"/>
      <c r="L80" s="1192"/>
      <c r="M80" s="1192"/>
      <c r="N80" s="1192"/>
      <c r="O80" s="1192"/>
      <c r="P80" s="1192"/>
      <c r="Q80" s="1192"/>
      <c r="R80" s="1192"/>
      <c r="S80" s="1192"/>
      <c r="T80" s="1192"/>
      <c r="U80" s="1192"/>
      <c r="V80" s="1192"/>
      <c r="W80" s="1192"/>
      <c r="X80" s="1192"/>
      <c r="Y80" s="1192"/>
      <c r="Z80" s="1192"/>
      <c r="AA80" s="1192"/>
      <c r="AB80" s="1192"/>
      <c r="AC80" s="1192"/>
      <c r="AD80" s="1192"/>
      <c r="AE80" s="1192"/>
      <c r="AF80" s="1192"/>
      <c r="AG80" s="1192"/>
      <c r="AH80" s="1192"/>
      <c r="AI80" s="1192"/>
      <c r="AJ80" s="1192"/>
    </row>
    <row r="81" spans="1:36" ht="19.75" customHeight="1">
      <c r="A81" s="1192"/>
      <c r="B81" s="1192"/>
      <c r="C81" s="1192"/>
      <c r="D81" s="1192"/>
      <c r="E81" s="1192"/>
      <c r="F81" s="1192"/>
      <c r="G81" s="1192"/>
      <c r="H81" s="1192"/>
      <c r="I81" s="1192"/>
      <c r="J81" s="1192"/>
      <c r="K81" s="1192"/>
      <c r="L81" s="1192"/>
      <c r="M81" s="1192"/>
      <c r="N81" s="1192"/>
      <c r="O81" s="1192"/>
      <c r="P81" s="1192"/>
      <c r="Q81" s="1192"/>
      <c r="R81" s="1192"/>
      <c r="S81" s="1192"/>
      <c r="T81" s="1192"/>
      <c r="U81" s="1192"/>
      <c r="V81" s="1192"/>
      <c r="W81" s="1192"/>
      <c r="X81" s="1192"/>
      <c r="Y81" s="1192"/>
      <c r="Z81" s="1192"/>
      <c r="AA81" s="1192"/>
      <c r="AB81" s="1192"/>
      <c r="AC81" s="1192"/>
      <c r="AD81" s="1192"/>
      <c r="AE81" s="1192"/>
      <c r="AF81" s="1192"/>
      <c r="AG81" s="1192"/>
      <c r="AH81" s="1192"/>
      <c r="AI81" s="1192"/>
      <c r="AJ81" s="1192"/>
    </row>
    <row r="82" spans="1:36" ht="19.75" customHeigh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row>
    <row r="83" spans="1:36" ht="19.75" customHeight="1">
      <c r="A83" s="1192"/>
      <c r="B83" s="1192"/>
      <c r="C83" s="1192"/>
      <c r="D83" s="1192"/>
      <c r="E83" s="1192"/>
      <c r="F83" s="1192"/>
      <c r="G83" s="1192"/>
      <c r="H83" s="1192"/>
      <c r="I83" s="1192"/>
      <c r="J83" s="1192"/>
      <c r="K83" s="1192"/>
      <c r="L83" s="1192"/>
      <c r="M83" s="1192"/>
      <c r="N83" s="1192"/>
      <c r="O83" s="1192"/>
      <c r="P83" s="1192"/>
      <c r="Q83" s="1192"/>
      <c r="R83" s="1192"/>
      <c r="S83" s="1192"/>
      <c r="T83" s="1192"/>
      <c r="U83" s="1192"/>
      <c r="V83" s="1192"/>
      <c r="W83" s="1192"/>
      <c r="X83" s="1192"/>
      <c r="Y83" s="1192"/>
      <c r="Z83" s="1192"/>
      <c r="AA83" s="1192"/>
      <c r="AB83" s="1192"/>
      <c r="AC83" s="1192"/>
      <c r="AD83" s="1192"/>
      <c r="AE83" s="1192"/>
      <c r="AF83" s="1192"/>
      <c r="AG83" s="1192"/>
      <c r="AH83" s="1192"/>
      <c r="AI83" s="1192"/>
      <c r="AJ83" s="1192"/>
    </row>
    <row r="84" spans="1:36" ht="19.75" customHeight="1">
      <c r="A84" s="1192"/>
      <c r="B84" s="1192"/>
      <c r="C84" s="1192"/>
      <c r="D84" s="1192"/>
      <c r="E84" s="1192"/>
      <c r="F84" s="1192"/>
      <c r="G84" s="1192"/>
      <c r="H84" s="1192"/>
      <c r="I84" s="1192"/>
      <c r="J84" s="1192"/>
      <c r="K84" s="1192"/>
      <c r="L84" s="1192"/>
      <c r="M84" s="1192"/>
      <c r="N84" s="1192"/>
      <c r="O84" s="1192"/>
      <c r="P84" s="1192"/>
      <c r="Q84" s="1192"/>
      <c r="R84" s="1192"/>
      <c r="S84" s="1192"/>
      <c r="T84" s="1192"/>
      <c r="U84" s="1192"/>
      <c r="V84" s="1192"/>
      <c r="W84" s="1192"/>
      <c r="X84" s="1192"/>
      <c r="Y84" s="1192"/>
      <c r="Z84" s="1192"/>
      <c r="AA84" s="1192"/>
      <c r="AB84" s="1192"/>
      <c r="AC84" s="1192"/>
      <c r="AD84" s="1192"/>
      <c r="AE84" s="1192"/>
      <c r="AF84" s="1192"/>
      <c r="AG84" s="1192"/>
      <c r="AH84" s="1192"/>
      <c r="AI84" s="1192"/>
      <c r="AJ84" s="1192"/>
    </row>
    <row r="85" spans="1:36" ht="19.75" customHeight="1">
      <c r="A85" s="1192"/>
      <c r="B85" s="1192"/>
      <c r="C85" s="1192"/>
      <c r="D85" s="1192"/>
      <c r="E85" s="1192"/>
      <c r="F85" s="1192"/>
      <c r="G85" s="1192"/>
      <c r="H85" s="1192"/>
      <c r="I85" s="1192"/>
      <c r="J85" s="1192"/>
      <c r="K85" s="1192"/>
      <c r="L85" s="1192"/>
      <c r="M85" s="1192"/>
      <c r="N85" s="1192"/>
      <c r="O85" s="1192"/>
      <c r="P85" s="1192"/>
      <c r="Q85" s="1192"/>
      <c r="R85" s="1192"/>
      <c r="S85" s="1192"/>
      <c r="T85" s="1192"/>
      <c r="U85" s="1192"/>
      <c r="V85" s="1192"/>
      <c r="W85" s="1192"/>
      <c r="X85" s="1192"/>
      <c r="Y85" s="1192"/>
      <c r="Z85" s="1192"/>
      <c r="AA85" s="1192"/>
      <c r="AB85" s="1192"/>
      <c r="AC85" s="1192"/>
      <c r="AD85" s="1192"/>
      <c r="AE85" s="1192"/>
      <c r="AF85" s="1192"/>
      <c r="AG85" s="1192"/>
      <c r="AH85" s="1192"/>
      <c r="AI85" s="1192"/>
      <c r="AJ85" s="1192"/>
    </row>
    <row r="86" spans="1:36" ht="19.75" customHeight="1">
      <c r="A86" s="1192"/>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2"/>
      <c r="AE86" s="1192"/>
      <c r="AF86" s="1192"/>
      <c r="AG86" s="1192"/>
      <c r="AH86" s="1192"/>
      <c r="AI86" s="1192"/>
      <c r="AJ86" s="1192"/>
    </row>
    <row r="87" spans="1:36" ht="19.75" customHeight="1">
      <c r="A87" s="1192"/>
      <c r="B87" s="1192"/>
      <c r="C87" s="1192"/>
      <c r="D87" s="1192"/>
      <c r="E87" s="1192"/>
      <c r="F87" s="1192"/>
      <c r="G87" s="1192"/>
      <c r="H87" s="1192"/>
      <c r="I87" s="1192"/>
      <c r="J87" s="1192"/>
      <c r="K87" s="1192"/>
      <c r="L87" s="1192"/>
      <c r="M87" s="1192"/>
      <c r="N87" s="1192"/>
      <c r="O87" s="1192"/>
      <c r="P87" s="1192"/>
      <c r="Q87" s="1192"/>
      <c r="R87" s="1192"/>
      <c r="S87" s="1192"/>
      <c r="T87" s="1192"/>
      <c r="U87" s="1192"/>
      <c r="V87" s="1192"/>
      <c r="W87" s="1192"/>
      <c r="X87" s="1192"/>
      <c r="Y87" s="1192"/>
      <c r="Z87" s="1192"/>
      <c r="AA87" s="1192"/>
      <c r="AB87" s="1192"/>
      <c r="AC87" s="1192"/>
      <c r="AD87" s="1192"/>
      <c r="AE87" s="1192"/>
      <c r="AF87" s="1192"/>
      <c r="AG87" s="1192"/>
      <c r="AH87" s="1192"/>
      <c r="AI87" s="1192"/>
      <c r="AJ87" s="1192"/>
    </row>
    <row r="88" spans="1:36" ht="19.75" customHeight="1">
      <c r="A88" s="1192"/>
      <c r="B88" s="1192"/>
      <c r="C88" s="1192"/>
      <c r="D88" s="1192"/>
      <c r="E88" s="1192"/>
      <c r="F88" s="1192"/>
      <c r="G88" s="1192"/>
      <c r="H88" s="1192"/>
      <c r="I88" s="1192"/>
      <c r="J88" s="1192"/>
      <c r="K88" s="1192"/>
      <c r="L88" s="1192"/>
      <c r="M88" s="1192"/>
      <c r="N88" s="1192"/>
      <c r="O88" s="1192"/>
      <c r="P88" s="1192"/>
      <c r="Q88" s="1192"/>
      <c r="R88" s="1192"/>
      <c r="S88" s="1192"/>
      <c r="T88" s="1192"/>
      <c r="U88" s="1192"/>
      <c r="V88" s="1192"/>
      <c r="W88" s="1192"/>
      <c r="X88" s="1192"/>
      <c r="Y88" s="1192"/>
      <c r="Z88" s="1192"/>
      <c r="AA88" s="1192"/>
      <c r="AB88" s="1192"/>
      <c r="AC88" s="1192"/>
      <c r="AD88" s="1192"/>
      <c r="AE88" s="1192"/>
      <c r="AF88" s="1192"/>
      <c r="AG88" s="1192"/>
      <c r="AH88" s="1192"/>
      <c r="AI88" s="1192"/>
      <c r="AJ88" s="1192"/>
    </row>
    <row r="89" spans="1:36" ht="19.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row>
    <row r="90" spans="1:36" ht="19.75" customHeigh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row>
    <row r="91" spans="1:36" ht="19.75" customHeight="1">
      <c r="A91" s="1192"/>
      <c r="B91" s="1192"/>
      <c r="C91" s="1192"/>
      <c r="D91" s="1192"/>
      <c r="E91" s="1192"/>
      <c r="F91" s="1192"/>
      <c r="G91" s="1192"/>
      <c r="H91" s="1192"/>
      <c r="I91" s="1192"/>
      <c r="J91" s="1192"/>
      <c r="K91" s="1192"/>
      <c r="L91" s="1192"/>
      <c r="M91" s="1192"/>
      <c r="N91" s="1192"/>
      <c r="O91" s="1192"/>
      <c r="P91" s="1192"/>
      <c r="Q91" s="1192"/>
      <c r="R91" s="1192"/>
      <c r="S91" s="1192"/>
      <c r="T91" s="1192"/>
      <c r="U91" s="1192"/>
      <c r="V91" s="1192"/>
      <c r="W91" s="1192"/>
      <c r="X91" s="1192"/>
      <c r="Y91" s="1192"/>
      <c r="Z91" s="1192"/>
      <c r="AA91" s="1192"/>
      <c r="AB91" s="1192"/>
      <c r="AC91" s="1192"/>
      <c r="AD91" s="1192"/>
      <c r="AE91" s="1192"/>
      <c r="AF91" s="1192"/>
      <c r="AG91" s="1192"/>
      <c r="AH91" s="1192"/>
      <c r="AI91" s="1192"/>
      <c r="AJ91" s="1192"/>
    </row>
    <row r="92" spans="1:36" ht="19.75" customHeight="1">
      <c r="A92" s="1192"/>
      <c r="B92" s="1192"/>
      <c r="C92" s="1192"/>
      <c r="D92" s="1192"/>
      <c r="E92" s="1192"/>
      <c r="F92" s="1192"/>
      <c r="G92" s="1192"/>
      <c r="H92" s="1192"/>
      <c r="I92" s="1192"/>
      <c r="J92" s="1192"/>
      <c r="K92" s="1192"/>
      <c r="L92" s="1192"/>
      <c r="M92" s="1192"/>
      <c r="N92" s="1192"/>
      <c r="O92" s="1192"/>
      <c r="P92" s="1192"/>
      <c r="Q92" s="1192"/>
      <c r="R92" s="1192"/>
      <c r="S92" s="1192"/>
      <c r="T92" s="1192"/>
      <c r="U92" s="1192"/>
      <c r="V92" s="1192"/>
      <c r="W92" s="1192"/>
      <c r="X92" s="1192"/>
      <c r="Y92" s="1192"/>
      <c r="Z92" s="1192"/>
      <c r="AA92" s="1192"/>
      <c r="AB92" s="1192"/>
      <c r="AC92" s="1192"/>
      <c r="AD92" s="1192"/>
      <c r="AE92" s="1192"/>
      <c r="AF92" s="1192"/>
      <c r="AG92" s="1192"/>
      <c r="AH92" s="1192"/>
      <c r="AI92" s="1192"/>
      <c r="AJ92" s="1192"/>
    </row>
    <row r="93" spans="1:36" ht="19.75" customHeight="1">
      <c r="A93" s="1192"/>
      <c r="B93" s="1192"/>
      <c r="C93" s="1192"/>
      <c r="D93" s="1192"/>
      <c r="E93" s="1192"/>
      <c r="F93" s="1192"/>
      <c r="G93" s="1192"/>
      <c r="H93" s="1192"/>
      <c r="I93" s="1192"/>
      <c r="J93" s="1192"/>
      <c r="K93" s="1192"/>
      <c r="L93" s="1192"/>
      <c r="M93" s="1192"/>
      <c r="N93" s="1192"/>
      <c r="O93" s="1192"/>
      <c r="P93" s="1192"/>
      <c r="Q93" s="1192"/>
      <c r="R93" s="1192"/>
      <c r="S93" s="1192"/>
      <c r="T93" s="1192"/>
      <c r="U93" s="1192"/>
      <c r="V93" s="1192"/>
      <c r="W93" s="1192"/>
      <c r="X93" s="1192"/>
      <c r="Y93" s="1192"/>
      <c r="Z93" s="1192"/>
      <c r="AA93" s="1192"/>
      <c r="AB93" s="1192"/>
      <c r="AC93" s="1192"/>
      <c r="AD93" s="1192"/>
      <c r="AE93" s="1192"/>
      <c r="AF93" s="1192"/>
      <c r="AG93" s="1192"/>
      <c r="AH93" s="1192"/>
      <c r="AI93" s="1192"/>
      <c r="AJ93" s="1192"/>
    </row>
    <row r="94" spans="1:36" ht="19.75" customHeight="1">
      <c r="A94" s="1192"/>
      <c r="B94" s="1192"/>
      <c r="C94" s="1192"/>
      <c r="D94" s="1192"/>
      <c r="E94" s="1192"/>
      <c r="F94" s="1192"/>
      <c r="G94" s="1192"/>
      <c r="H94" s="1192"/>
      <c r="I94" s="1192"/>
      <c r="J94" s="1192"/>
      <c r="K94" s="1192"/>
      <c r="L94" s="1192"/>
      <c r="M94" s="1192"/>
      <c r="N94" s="1192"/>
      <c r="O94" s="1192"/>
      <c r="P94" s="1192"/>
      <c r="Q94" s="1192"/>
      <c r="R94" s="1192"/>
      <c r="S94" s="1192"/>
      <c r="T94" s="1192"/>
      <c r="U94" s="1192"/>
      <c r="V94" s="1192"/>
      <c r="W94" s="1192"/>
      <c r="X94" s="1192"/>
      <c r="Y94" s="1192"/>
      <c r="Z94" s="1192"/>
      <c r="AA94" s="1192"/>
      <c r="AB94" s="1192"/>
      <c r="AC94" s="1192"/>
      <c r="AD94" s="1192"/>
      <c r="AE94" s="1192"/>
      <c r="AF94" s="1192"/>
      <c r="AG94" s="1192"/>
      <c r="AH94" s="1192"/>
      <c r="AI94" s="1192"/>
      <c r="AJ94" s="1192"/>
    </row>
    <row r="95" spans="1:36" ht="19.75" customHeigh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row>
    <row r="96" spans="1:36" ht="19.75" customHeight="1">
      <c r="A96" s="1192"/>
      <c r="B96" s="1192"/>
      <c r="C96" s="1192"/>
      <c r="D96" s="1192"/>
      <c r="E96" s="1192"/>
      <c r="F96" s="1192"/>
      <c r="G96" s="1192"/>
      <c r="H96" s="1192"/>
      <c r="I96" s="1192"/>
      <c r="J96" s="1192"/>
      <c r="K96" s="1192"/>
      <c r="L96" s="1192"/>
      <c r="M96" s="1192"/>
      <c r="N96" s="1192"/>
      <c r="O96" s="1192"/>
      <c r="P96" s="1192"/>
      <c r="Q96" s="1192"/>
      <c r="R96" s="1192"/>
      <c r="S96" s="1192"/>
      <c r="T96" s="1192"/>
      <c r="U96" s="1192"/>
      <c r="V96" s="1192"/>
      <c r="W96" s="1192"/>
      <c r="X96" s="1192"/>
      <c r="Y96" s="1192"/>
      <c r="Z96" s="1192"/>
      <c r="AA96" s="1192"/>
      <c r="AB96" s="1192"/>
      <c r="AC96" s="1192"/>
      <c r="AD96" s="1192"/>
      <c r="AE96" s="1192"/>
      <c r="AF96" s="1192"/>
      <c r="AG96" s="1192"/>
      <c r="AH96" s="1192"/>
      <c r="AI96" s="1192"/>
      <c r="AJ96" s="1192"/>
    </row>
    <row r="97" spans="1:36" ht="19.75" customHeight="1">
      <c r="A97" s="1192"/>
      <c r="B97" s="1192"/>
      <c r="C97" s="1192"/>
      <c r="D97" s="1192"/>
      <c r="E97" s="1192"/>
      <c r="F97" s="1192"/>
      <c r="G97" s="1192"/>
      <c r="H97" s="1192"/>
      <c r="I97" s="1192"/>
      <c r="J97" s="1192"/>
      <c r="K97" s="1192"/>
      <c r="L97" s="1192"/>
      <c r="M97" s="1192"/>
      <c r="N97" s="1192"/>
      <c r="O97" s="1192"/>
      <c r="P97" s="1192"/>
      <c r="Q97" s="1192"/>
      <c r="R97" s="1192"/>
      <c r="S97" s="1192"/>
      <c r="T97" s="1192"/>
      <c r="U97" s="1192"/>
      <c r="V97" s="1192"/>
      <c r="W97" s="1192"/>
      <c r="X97" s="1192"/>
      <c r="Y97" s="1192"/>
      <c r="Z97" s="1192"/>
      <c r="AA97" s="1192"/>
      <c r="AB97" s="1192"/>
      <c r="AC97" s="1192"/>
      <c r="AD97" s="1192"/>
      <c r="AE97" s="1192"/>
      <c r="AF97" s="1192"/>
      <c r="AG97" s="1192"/>
      <c r="AH97" s="1192"/>
      <c r="AI97" s="1192"/>
      <c r="AJ97" s="1192"/>
    </row>
  </sheetData>
  <sheetProtection password="D73A" sheet="1" formatCells="0"/>
  <mergeCells count="20">
    <mergeCell ref="F19:O19"/>
    <mergeCell ref="W2:AH2"/>
    <mergeCell ref="Q5:AH5"/>
    <mergeCell ref="O6:AH6"/>
    <mergeCell ref="O7:AH7"/>
    <mergeCell ref="R8:AH8"/>
    <mergeCell ref="R10:AH10"/>
    <mergeCell ref="O11:AH11"/>
    <mergeCell ref="O12:AH12"/>
    <mergeCell ref="R13:AH13"/>
    <mergeCell ref="A16:AH16"/>
    <mergeCell ref="A17:AH17"/>
    <mergeCell ref="B32:AH33"/>
    <mergeCell ref="B36:AH38"/>
    <mergeCell ref="A20:E20"/>
    <mergeCell ref="F20:O20"/>
    <mergeCell ref="P20:AD20"/>
    <mergeCell ref="F21:O21"/>
    <mergeCell ref="A22:AH24"/>
    <mergeCell ref="B29:V29"/>
  </mergeCells>
  <phoneticPr fontId="2"/>
  <printOptions horizontalCentered="1"/>
  <pageMargins left="0.59055118110236227" right="0.59055118110236227" top="0.35433070866141736" bottom="0" header="0.31496062992125984" footer="0.31496062992125984"/>
  <pageSetup paperSize="9" scale="97" orientation="portrait" r:id="rId1"/>
  <headerFooter>
    <oddHeader>&amp;L様式第７号（第１３条関係）</oddHeader>
  </headerFooter>
  <rowBreaks count="1" manualBreakCount="1">
    <brk id="38" max="3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topLeftCell="K14"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さいたま市屋根遮熱</v>
      </c>
      <c r="F1" s="81"/>
      <c r="G1" s="81"/>
      <c r="H1" s="81"/>
      <c r="I1" s="81"/>
      <c r="J1" s="81"/>
      <c r="K1" s="81"/>
      <c r="L1" s="81"/>
      <c r="M1" s="81"/>
      <c r="N1" s="81"/>
      <c r="O1" s="81"/>
    </row>
    <row r="2" spans="2:17">
      <c r="B2" s="719"/>
      <c r="C2" s="720"/>
      <c r="D2" s="719"/>
      <c r="E2" s="721"/>
      <c r="F2" s="720"/>
      <c r="G2" s="720"/>
      <c r="H2" s="720"/>
      <c r="I2" s="81"/>
      <c r="J2" s="81"/>
      <c r="K2" s="81"/>
      <c r="L2" s="81"/>
      <c r="M2" s="81"/>
      <c r="N2" s="81"/>
      <c r="O2" s="81"/>
    </row>
    <row r="3" spans="2:17">
      <c r="B3" s="719"/>
      <c r="C3" s="720"/>
      <c r="D3" s="719"/>
      <c r="E3" s="721"/>
      <c r="F3" s="720"/>
      <c r="G3" s="720"/>
      <c r="H3" s="720"/>
      <c r="I3" s="81"/>
      <c r="J3" s="81"/>
      <c r="K3" s="81"/>
      <c r="L3" s="81"/>
      <c r="M3" s="81"/>
      <c r="N3" s="81"/>
      <c r="O3" s="81"/>
    </row>
    <row r="4" spans="2:17">
      <c r="B4" s="722" t="s">
        <v>1069</v>
      </c>
      <c r="C4" s="723"/>
      <c r="D4" s="724"/>
      <c r="E4" s="725"/>
      <c r="F4" s="723"/>
      <c r="G4" s="723"/>
      <c r="H4" s="723"/>
      <c r="I4" s="726"/>
      <c r="J4" s="726"/>
      <c r="K4" s="726"/>
      <c r="L4" s="726"/>
      <c r="M4" s="726"/>
      <c r="N4" s="726"/>
      <c r="O4" s="81"/>
    </row>
    <row r="5" spans="2:17">
      <c r="B5" s="2252" t="s">
        <v>1070</v>
      </c>
      <c r="C5" s="2252"/>
      <c r="D5" s="2252" t="s">
        <v>1071</v>
      </c>
      <c r="E5" s="2252"/>
      <c r="F5" s="2252"/>
      <c r="G5" s="2253" t="s">
        <v>1072</v>
      </c>
      <c r="H5" s="2252" t="s">
        <v>1073</v>
      </c>
      <c r="I5" s="2252"/>
      <c r="J5" s="2252"/>
      <c r="K5" s="2252"/>
      <c r="L5" s="2252"/>
      <c r="M5" s="2252"/>
      <c r="N5" s="2252"/>
      <c r="O5" s="81"/>
    </row>
    <row r="6" spans="2:17">
      <c r="B6" s="2252"/>
      <c r="C6" s="2252"/>
      <c r="D6" s="727" t="s">
        <v>1074</v>
      </c>
      <c r="E6" s="727" t="s">
        <v>1075</v>
      </c>
      <c r="F6" s="727" t="s">
        <v>1076</v>
      </c>
      <c r="G6" s="2252"/>
      <c r="H6" s="2252"/>
      <c r="I6" s="2252"/>
      <c r="J6" s="2252"/>
      <c r="K6" s="2252"/>
      <c r="L6" s="2252"/>
      <c r="M6" s="2252"/>
      <c r="N6" s="2252"/>
      <c r="O6" s="81"/>
    </row>
    <row r="7" spans="2:17">
      <c r="B7" s="728" t="s">
        <v>1077</v>
      </c>
      <c r="C7" s="909" t="s">
        <v>1078</v>
      </c>
      <c r="D7" s="905">
        <f>結果!H30</f>
        <v>0</v>
      </c>
      <c r="E7" s="905">
        <f>結果!J30</f>
        <v>0</v>
      </c>
      <c r="F7" s="905">
        <f>結果!L30</f>
        <v>0</v>
      </c>
      <c r="G7" s="730">
        <f>結果!Q30</f>
        <v>0</v>
      </c>
      <c r="H7" s="2254" t="s">
        <v>1079</v>
      </c>
      <c r="I7" s="2254"/>
      <c r="J7" s="2254"/>
      <c r="K7" s="2254"/>
      <c r="L7" s="2254"/>
      <c r="M7" s="2254"/>
      <c r="N7" s="2254"/>
      <c r="O7" s="81"/>
    </row>
    <row r="8" spans="2:17">
      <c r="B8" s="728" t="s">
        <v>1362</v>
      </c>
      <c r="C8" s="910"/>
      <c r="D8" s="907"/>
      <c r="E8" s="908">
        <f>MAX(D7:F7)</f>
        <v>0</v>
      </c>
      <c r="F8" s="904"/>
      <c r="G8" s="904">
        <f>G7</f>
        <v>0</v>
      </c>
      <c r="H8" s="2254"/>
      <c r="I8" s="2254"/>
      <c r="J8" s="2254"/>
      <c r="K8" s="2254"/>
      <c r="L8" s="2254"/>
      <c r="M8" s="2254"/>
      <c r="N8" s="2254"/>
      <c r="O8" s="81"/>
    </row>
    <row r="9" spans="2:17">
      <c r="B9" s="728" t="s">
        <v>1080</v>
      </c>
      <c r="C9" s="729" t="s">
        <v>1081</v>
      </c>
      <c r="D9" s="906">
        <f>結果!H70</f>
        <v>0</v>
      </c>
      <c r="E9" s="906">
        <f>結果!J70</f>
        <v>0</v>
      </c>
      <c r="F9" s="906">
        <f>結果!L70</f>
        <v>0</v>
      </c>
      <c r="G9" s="731">
        <f>結果!Q70</f>
        <v>0</v>
      </c>
      <c r="H9" s="2254"/>
      <c r="I9" s="2254"/>
      <c r="J9" s="2254"/>
      <c r="K9" s="2254"/>
      <c r="L9" s="2254"/>
      <c r="M9" s="2254"/>
      <c r="N9" s="2254"/>
      <c r="O9" s="81"/>
    </row>
    <row r="10" spans="2:17">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81"/>
    </row>
    <row r="11" spans="2:17" ht="36">
      <c r="B11" s="732" t="s">
        <v>1361</v>
      </c>
      <c r="C11" s="732" t="s">
        <v>1084</v>
      </c>
      <c r="D11" s="2255">
        <f>MAX(D10:F10)</f>
        <v>0</v>
      </c>
      <c r="E11" s="2255"/>
      <c r="F11" s="2255"/>
      <c r="G11" s="731">
        <f>MAX(G10)</f>
        <v>0</v>
      </c>
      <c r="H11" s="2254" t="s">
        <v>1085</v>
      </c>
      <c r="I11" s="2254"/>
      <c r="J11" s="2254"/>
      <c r="K11" s="2254"/>
      <c r="L11" s="2254"/>
      <c r="M11" s="2254"/>
      <c r="N11" s="2254"/>
      <c r="O11" s="81"/>
    </row>
    <row r="12" spans="2:17" ht="24">
      <c r="B12" s="732" t="s">
        <v>1086</v>
      </c>
      <c r="C12" s="732" t="s">
        <v>1087</v>
      </c>
      <c r="D12" s="2255">
        <f>温度条件他根拠!C29</f>
        <v>0</v>
      </c>
      <c r="E12" s="2255"/>
      <c r="F12" s="2255"/>
      <c r="G12" s="731">
        <v>0</v>
      </c>
      <c r="H12" s="2254" t="s">
        <v>1088</v>
      </c>
      <c r="I12" s="2254"/>
      <c r="J12" s="2254"/>
      <c r="K12" s="2254"/>
      <c r="L12" s="2254"/>
      <c r="M12" s="2254"/>
      <c r="N12" s="2254"/>
      <c r="O12" s="81"/>
    </row>
    <row r="13" spans="2:17" ht="60">
      <c r="B13" s="732" t="s">
        <v>1089</v>
      </c>
      <c r="C13" s="732" t="s">
        <v>1090</v>
      </c>
      <c r="D13" s="2256">
        <f>D12*D11</f>
        <v>0</v>
      </c>
      <c r="E13" s="2257"/>
      <c r="F13" s="2258"/>
      <c r="G13" s="731">
        <f>G12*G11</f>
        <v>0</v>
      </c>
      <c r="H13" s="2259"/>
      <c r="I13" s="2260"/>
      <c r="J13" s="2260"/>
      <c r="K13" s="2260"/>
      <c r="L13" s="2260"/>
      <c r="M13" s="2260"/>
      <c r="N13" s="2261"/>
      <c r="O13" s="81"/>
    </row>
    <row r="14" spans="2:17">
      <c r="B14" s="733"/>
      <c r="C14" s="734"/>
      <c r="D14" s="735"/>
      <c r="E14" s="735"/>
      <c r="F14" s="735"/>
      <c r="G14" s="735"/>
      <c r="H14" s="736"/>
      <c r="I14" s="81"/>
      <c r="J14" s="81"/>
      <c r="K14" s="81"/>
      <c r="L14" s="81"/>
      <c r="M14" s="81"/>
      <c r="N14" s="81"/>
      <c r="O14" s="81"/>
    </row>
    <row r="15" spans="2:17">
      <c r="B15" s="719"/>
      <c r="C15" s="720"/>
      <c r="D15" s="719"/>
      <c r="E15" s="721"/>
      <c r="F15" s="720"/>
      <c r="G15" s="720"/>
      <c r="H15" s="720"/>
      <c r="I15" s="81"/>
      <c r="J15" s="81"/>
      <c r="K15" s="81"/>
      <c r="L15" s="81"/>
      <c r="M15" s="81"/>
      <c r="N15" s="81"/>
      <c r="O15" s="81"/>
    </row>
    <row r="16" spans="2:17">
      <c r="B16" s="1205" t="s">
        <v>183</v>
      </c>
      <c r="C16" s="1205"/>
      <c r="D16" s="1205"/>
      <c r="E16" s="1205"/>
      <c r="F16" s="1205"/>
      <c r="G16" s="1205"/>
      <c r="H16" s="1205"/>
      <c r="I16" s="1205"/>
      <c r="J16" s="1205"/>
      <c r="K16" s="1205"/>
      <c r="L16" s="1205"/>
      <c r="M16" s="1205"/>
      <c r="N16" s="1205"/>
      <c r="O16" s="1205"/>
      <c r="Q16" s="1" t="s">
        <v>563</v>
      </c>
    </row>
    <row r="17" spans="2:30" ht="36">
      <c r="B17" s="554" t="s">
        <v>0</v>
      </c>
      <c r="C17" s="716" t="s">
        <v>1093</v>
      </c>
      <c r="D17" s="716" t="s">
        <v>1094</v>
      </c>
      <c r="E17" s="716" t="s">
        <v>1092</v>
      </c>
      <c r="F17" s="20" t="s">
        <v>42</v>
      </c>
      <c r="G17" s="20" t="s">
        <v>43</v>
      </c>
      <c r="H17" s="18" t="s">
        <v>35</v>
      </c>
      <c r="I17" s="20" t="s">
        <v>36</v>
      </c>
      <c r="J17" s="20" t="s">
        <v>2</v>
      </c>
      <c r="K17" s="20" t="s">
        <v>3</v>
      </c>
      <c r="L17" s="20" t="s">
        <v>39</v>
      </c>
      <c r="M17" s="20" t="s">
        <v>38</v>
      </c>
      <c r="N17" s="20" t="s">
        <v>45</v>
      </c>
      <c r="O17" s="20" t="s">
        <v>44</v>
      </c>
      <c r="Q17" s="554" t="s">
        <v>0</v>
      </c>
      <c r="R17" s="890" t="s">
        <v>1367</v>
      </c>
      <c r="S17" s="890" t="s">
        <v>1368</v>
      </c>
      <c r="T17" s="890" t="s">
        <v>1092</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06" t="s">
        <v>608</v>
      </c>
      <c r="M18" s="606" t="s">
        <v>607</v>
      </c>
      <c r="N18" s="555" t="s">
        <v>25</v>
      </c>
      <c r="O18" s="20" t="s">
        <v>32</v>
      </c>
      <c r="Q18" s="554" t="s">
        <v>14</v>
      </c>
      <c r="R18" s="916" t="s">
        <v>1363</v>
      </c>
      <c r="S18" s="916" t="s">
        <v>1364</v>
      </c>
      <c r="T18" s="20" t="s">
        <v>18</v>
      </c>
      <c r="U18" s="20" t="s">
        <v>19</v>
      </c>
      <c r="V18" s="20" t="s">
        <v>20</v>
      </c>
      <c r="W18" s="20" t="s">
        <v>30</v>
      </c>
      <c r="X18" s="20" t="s">
        <v>29</v>
      </c>
      <c r="Y18" s="20" t="s">
        <v>21</v>
      </c>
      <c r="Z18" s="20" t="s">
        <v>22</v>
      </c>
      <c r="AA18" s="606" t="s">
        <v>608</v>
      </c>
      <c r="AB18" s="606" t="s">
        <v>607</v>
      </c>
      <c r="AC18" s="555" t="s">
        <v>25</v>
      </c>
      <c r="AD18" s="20" t="s">
        <v>32</v>
      </c>
    </row>
    <row r="19" spans="2:30">
      <c r="B19" s="553" t="s">
        <v>15</v>
      </c>
      <c r="C19" s="737" t="s">
        <v>1091</v>
      </c>
      <c r="D19" s="737" t="s">
        <v>1091</v>
      </c>
      <c r="E19" s="737" t="s">
        <v>172</v>
      </c>
      <c r="F19" s="5" t="s">
        <v>10</v>
      </c>
      <c r="G19" s="5" t="s">
        <v>10</v>
      </c>
      <c r="H19" s="5" t="s">
        <v>11</v>
      </c>
      <c r="I19" s="5" t="s">
        <v>11</v>
      </c>
      <c r="J19" s="5" t="s">
        <v>10</v>
      </c>
      <c r="K19" s="5" t="s">
        <v>10</v>
      </c>
      <c r="L19" s="5" t="s">
        <v>11</v>
      </c>
      <c r="M19" s="5" t="s">
        <v>11</v>
      </c>
      <c r="N19" s="5" t="s">
        <v>11</v>
      </c>
      <c r="O19" s="553" t="s">
        <v>31</v>
      </c>
      <c r="Q19" s="553" t="s">
        <v>15</v>
      </c>
      <c r="R19" s="737" t="s">
        <v>1091</v>
      </c>
      <c r="S19" s="737" t="s">
        <v>1091</v>
      </c>
      <c r="T19" s="737" t="s">
        <v>172</v>
      </c>
      <c r="U19" s="5" t="s">
        <v>10</v>
      </c>
      <c r="V19" s="5" t="s">
        <v>10</v>
      </c>
      <c r="W19" s="5" t="s">
        <v>11</v>
      </c>
      <c r="X19" s="5" t="s">
        <v>11</v>
      </c>
      <c r="Y19" s="5" t="s">
        <v>10</v>
      </c>
      <c r="Z19" s="5" t="s">
        <v>10</v>
      </c>
      <c r="AA19" s="5" t="s">
        <v>11</v>
      </c>
      <c r="AB19" s="5" t="s">
        <v>11</v>
      </c>
      <c r="AC19" s="5" t="s">
        <v>11</v>
      </c>
      <c r="AD19" s="553" t="s">
        <v>31</v>
      </c>
    </row>
    <row r="20" spans="2:30">
      <c r="B20" s="553">
        <v>1</v>
      </c>
      <c r="C20" s="3"/>
      <c r="D20" s="738">
        <f>G13</f>
        <v>0</v>
      </c>
      <c r="E20" s="739">
        <f>温度条件他根拠!E21</f>
        <v>0</v>
      </c>
      <c r="F20" s="2">
        <v>0</v>
      </c>
      <c r="G20" s="741">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2">
        <v>0</v>
      </c>
      <c r="G21" s="741">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740">
        <f t="shared" ref="E22:E31" si="12">E21</f>
        <v>0</v>
      </c>
      <c r="F22" s="2">
        <v>0</v>
      </c>
      <c r="G22" s="741">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740">
        <f t="shared" ref="T22:T31" si="13">T21</f>
        <v>0</v>
      </c>
      <c r="U22" s="740">
        <f t="shared" si="9"/>
        <v>0</v>
      </c>
      <c r="V22" s="903">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740">
        <f t="shared" si="12"/>
        <v>0</v>
      </c>
      <c r="F23" s="2">
        <v>0</v>
      </c>
      <c r="G23" s="741">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740">
        <f t="shared" si="13"/>
        <v>0</v>
      </c>
      <c r="U23" s="740">
        <f t="shared" si="9"/>
        <v>0</v>
      </c>
      <c r="V23" s="903">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740">
        <f t="shared" si="12"/>
        <v>0</v>
      </c>
      <c r="F24" s="741">
        <f>0.175*(温度条件他根拠!$D$7-温度条件他根拠!$D$9)/(温度条件他根拠!$D$7-23.2)</f>
        <v>7.3795180722891554E-2</v>
      </c>
      <c r="G24" s="741">
        <f>0.2*(温度条件他根拠!$D$10-13.4)/(温度条件他根拠!$D$10-温度条件他根拠!$D$8)</f>
        <v>6.1395348837209304E-2</v>
      </c>
      <c r="H24" s="738">
        <f>$C$27*E24*F24/1000</f>
        <v>0</v>
      </c>
      <c r="I24" s="738">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740">
        <f t="shared" si="13"/>
        <v>0</v>
      </c>
      <c r="U24" s="903">
        <f t="shared" si="9"/>
        <v>7.3795180722891554E-2</v>
      </c>
      <c r="V24" s="903">
        <f t="shared" si="9"/>
        <v>6.1395348837209304E-2</v>
      </c>
      <c r="W24" s="738">
        <f t="shared" si="2"/>
        <v>0</v>
      </c>
      <c r="X24" s="738">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740">
        <f t="shared" si="12"/>
        <v>0</v>
      </c>
      <c r="F25" s="741">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740">
        <f t="shared" si="13"/>
        <v>0</v>
      </c>
      <c r="U25" s="903">
        <f t="shared" si="9"/>
        <v>0.44545454545454538</v>
      </c>
      <c r="V25" s="740">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740">
        <f t="shared" si="12"/>
        <v>0</v>
      </c>
      <c r="F26" s="741">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740">
        <f t="shared" si="13"/>
        <v>0</v>
      </c>
      <c r="U26" s="903">
        <f t="shared" si="9"/>
        <v>0.7</v>
      </c>
      <c r="V26" s="740">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738">
        <f>D13</f>
        <v>0</v>
      </c>
      <c r="D27" s="3"/>
      <c r="E27" s="740">
        <f t="shared" si="12"/>
        <v>0</v>
      </c>
      <c r="F27" s="741">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738">
        <f>E8*D12</f>
        <v>0</v>
      </c>
      <c r="S27" s="3"/>
      <c r="T27" s="740">
        <f t="shared" si="13"/>
        <v>0</v>
      </c>
      <c r="U27" s="903">
        <f t="shared" si="9"/>
        <v>0.7</v>
      </c>
      <c r="V27" s="740">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740">
        <f t="shared" si="12"/>
        <v>0</v>
      </c>
      <c r="F28" s="741">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740">
        <f t="shared" si="13"/>
        <v>0</v>
      </c>
      <c r="U28" s="903">
        <f t="shared" si="9"/>
        <v>0.55681818181818199</v>
      </c>
      <c r="V28" s="740">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740">
        <f t="shared" si="12"/>
        <v>0</v>
      </c>
      <c r="F29" s="741">
        <f>0.175*(温度条件他根拠!$D$7-温度条件他根拠!$D$9)/(温度条件他根拠!$D$7-21.6)</f>
        <v>6.1868686868686872E-2</v>
      </c>
      <c r="G29" s="741">
        <f>0.2*(温度条件他根拠!$D$10-12.8)/(温度条件他根拠!$D$10-温度条件他根拠!$D$8)</f>
        <v>6.6976744186046502E-2</v>
      </c>
      <c r="H29" s="738">
        <f>$C$27*E29*F29/1000</f>
        <v>0</v>
      </c>
      <c r="I29" s="738">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740">
        <f t="shared" si="13"/>
        <v>0</v>
      </c>
      <c r="U29" s="903">
        <f t="shared" si="9"/>
        <v>6.1868686868686872E-2</v>
      </c>
      <c r="V29" s="903">
        <f t="shared" si="9"/>
        <v>6.6976744186046502E-2</v>
      </c>
      <c r="W29" s="738">
        <f t="shared" si="2"/>
        <v>0</v>
      </c>
      <c r="X29" s="738">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740">
        <f t="shared" si="12"/>
        <v>0</v>
      </c>
      <c r="F30" s="2">
        <v>0</v>
      </c>
      <c r="G30" s="741">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740">
        <f t="shared" si="13"/>
        <v>0</v>
      </c>
      <c r="U30" s="740">
        <f t="shared" si="9"/>
        <v>0</v>
      </c>
      <c r="V30" s="903">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740">
        <f t="shared" si="12"/>
        <v>0</v>
      </c>
      <c r="F31" s="2">
        <v>0</v>
      </c>
      <c r="G31" s="741">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740">
        <f t="shared" si="13"/>
        <v>0</v>
      </c>
      <c r="U31" s="740">
        <f t="shared" si="9"/>
        <v>0</v>
      </c>
      <c r="V31" s="903">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1108</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1107</v>
      </c>
      <c r="Q35" s="8" t="s">
        <v>573</v>
      </c>
      <c r="R35" s="9"/>
      <c r="S35" s="9"/>
      <c r="T35" s="16">
        <f>T34*0.495/1000</f>
        <v>0</v>
      </c>
      <c r="U35" s="9" t="s">
        <v>7</v>
      </c>
      <c r="V35" s="8" t="s">
        <v>33</v>
      </c>
      <c r="W35" s="11"/>
      <c r="Y35" s="8" t="s">
        <v>575</v>
      </c>
      <c r="Z35" s="9"/>
      <c r="AA35" s="9"/>
      <c r="AB35" s="290">
        <f>T35-E35</f>
        <v>0</v>
      </c>
      <c r="AC35" s="11" t="s">
        <v>7</v>
      </c>
    </row>
    <row r="57" spans="2:3">
      <c r="B57" s="1" t="s">
        <v>1055</v>
      </c>
    </row>
    <row r="58" spans="2:3">
      <c r="B58" s="609">
        <v>43927</v>
      </c>
      <c r="C58" s="608" t="s">
        <v>852</v>
      </c>
    </row>
    <row r="59" spans="2:3">
      <c r="B59" s="609">
        <v>44634</v>
      </c>
      <c r="C59" s="608" t="s">
        <v>1095</v>
      </c>
    </row>
    <row r="60" spans="2:3">
      <c r="C60" s="608" t="s">
        <v>1096</v>
      </c>
    </row>
    <row r="61" spans="2:3">
      <c r="C61" s="1" t="s">
        <v>1097</v>
      </c>
    </row>
    <row r="62" spans="2:3">
      <c r="C62" s="1" t="s">
        <v>1109</v>
      </c>
    </row>
    <row r="63" spans="2:3">
      <c r="C63" s="1" t="s">
        <v>1110</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さいたま市屋根断熱</v>
      </c>
      <c r="F1" s="81"/>
      <c r="G1" s="81"/>
      <c r="H1" s="81"/>
      <c r="I1" s="81"/>
      <c r="J1" s="81"/>
      <c r="K1" s="81"/>
      <c r="L1" s="81"/>
      <c r="M1" s="81"/>
      <c r="N1" s="81"/>
      <c r="O1" s="81"/>
    </row>
    <row r="2" spans="2:17">
      <c r="B2" s="719"/>
      <c r="C2" s="720"/>
      <c r="D2" s="719"/>
      <c r="E2" s="721"/>
      <c r="F2" s="720"/>
      <c r="G2" s="720"/>
      <c r="H2" s="720"/>
      <c r="I2" s="81"/>
      <c r="J2" s="81"/>
      <c r="K2" s="81"/>
      <c r="L2" s="81"/>
      <c r="M2" s="81"/>
      <c r="N2" s="81"/>
      <c r="O2" s="81"/>
    </row>
    <row r="3" spans="2:17">
      <c r="B3" s="719"/>
      <c r="C3" s="720"/>
      <c r="D3" s="719"/>
      <c r="E3" s="721"/>
      <c r="F3" s="720"/>
      <c r="G3" s="720"/>
      <c r="H3" s="720"/>
      <c r="I3" s="81"/>
      <c r="J3" s="81"/>
      <c r="K3" s="81"/>
      <c r="L3" s="81"/>
      <c r="M3" s="81"/>
      <c r="N3" s="81"/>
      <c r="O3" s="81"/>
    </row>
    <row r="4" spans="2:17">
      <c r="B4" s="722" t="s">
        <v>1069</v>
      </c>
      <c r="C4" s="723"/>
      <c r="D4" s="724"/>
      <c r="E4" s="725"/>
      <c r="F4" s="723"/>
      <c r="G4" s="723"/>
      <c r="H4" s="723"/>
      <c r="I4" s="726"/>
      <c r="J4" s="726"/>
      <c r="K4" s="726"/>
      <c r="L4" s="726"/>
      <c r="M4" s="726"/>
      <c r="N4" s="726"/>
      <c r="O4" s="799"/>
      <c r="P4" s="799"/>
    </row>
    <row r="5" spans="2:17">
      <c r="B5" s="2252" t="s">
        <v>1070</v>
      </c>
      <c r="C5" s="2252"/>
      <c r="D5" s="2252" t="s">
        <v>1071</v>
      </c>
      <c r="E5" s="2252"/>
      <c r="F5" s="2252"/>
      <c r="G5" s="2253" t="s">
        <v>1072</v>
      </c>
      <c r="H5" s="2252" t="s">
        <v>1073</v>
      </c>
      <c r="I5" s="2252"/>
      <c r="J5" s="2252"/>
      <c r="K5" s="2252"/>
      <c r="L5" s="2252"/>
      <c r="M5" s="2252"/>
      <c r="N5" s="2252"/>
      <c r="O5" s="799"/>
      <c r="P5" s="799"/>
    </row>
    <row r="6" spans="2:17">
      <c r="B6" s="2252"/>
      <c r="C6" s="2252"/>
      <c r="D6" s="727" t="s">
        <v>1074</v>
      </c>
      <c r="E6" s="727" t="s">
        <v>1075</v>
      </c>
      <c r="F6" s="727" t="s">
        <v>1076</v>
      </c>
      <c r="G6" s="2252"/>
      <c r="H6" s="2252"/>
      <c r="I6" s="2252"/>
      <c r="J6" s="2252"/>
      <c r="K6" s="2252"/>
      <c r="L6" s="2252"/>
      <c r="M6" s="2252"/>
      <c r="N6" s="2252"/>
      <c r="O6" s="799"/>
      <c r="P6" s="799"/>
    </row>
    <row r="7" spans="2:17">
      <c r="B7" s="728" t="s">
        <v>1077</v>
      </c>
      <c r="C7" s="729" t="s">
        <v>1078</v>
      </c>
      <c r="D7" s="730">
        <f>結果!H30</f>
        <v>0</v>
      </c>
      <c r="E7" s="730">
        <f>結果!J30</f>
        <v>0</v>
      </c>
      <c r="F7" s="730">
        <f>結果!L30</f>
        <v>0</v>
      </c>
      <c r="G7" s="730">
        <f>結果!Q30</f>
        <v>0</v>
      </c>
      <c r="H7" s="2254" t="s">
        <v>1134</v>
      </c>
      <c r="I7" s="2254"/>
      <c r="J7" s="2254"/>
      <c r="K7" s="2254"/>
      <c r="L7" s="2254"/>
      <c r="M7" s="2254"/>
      <c r="N7" s="2254"/>
      <c r="O7" s="799"/>
      <c r="P7" s="799"/>
    </row>
    <row r="8" spans="2:17">
      <c r="B8" s="728" t="s">
        <v>1362</v>
      </c>
      <c r="C8" s="910"/>
      <c r="D8" s="907"/>
      <c r="E8" s="908">
        <f>MAX(D7:F7)</f>
        <v>0</v>
      </c>
      <c r="F8" s="904"/>
      <c r="G8" s="904">
        <f>G7</f>
        <v>0</v>
      </c>
      <c r="H8" s="2254"/>
      <c r="I8" s="2254"/>
      <c r="J8" s="2254"/>
      <c r="K8" s="2254"/>
      <c r="L8" s="2254"/>
      <c r="M8" s="2254"/>
      <c r="N8" s="2254"/>
      <c r="O8" s="799"/>
      <c r="P8" s="799"/>
    </row>
    <row r="9" spans="2:17">
      <c r="B9" s="728" t="s">
        <v>1080</v>
      </c>
      <c r="C9" s="729" t="s">
        <v>1081</v>
      </c>
      <c r="D9" s="730">
        <f>結果!H70</f>
        <v>0</v>
      </c>
      <c r="E9" s="730">
        <f>結果!J70</f>
        <v>0</v>
      </c>
      <c r="F9" s="730">
        <f>結果!L70</f>
        <v>0</v>
      </c>
      <c r="G9" s="731">
        <f>結果!Q70</f>
        <v>0</v>
      </c>
      <c r="H9" s="2254"/>
      <c r="I9" s="2254"/>
      <c r="J9" s="2254"/>
      <c r="K9" s="2254"/>
      <c r="L9" s="2254"/>
      <c r="M9" s="2254"/>
      <c r="N9" s="2254"/>
      <c r="O9" s="799"/>
      <c r="P9" s="799"/>
    </row>
    <row r="10" spans="2:17">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799"/>
      <c r="P10" s="799"/>
    </row>
    <row r="11" spans="2:17" ht="36">
      <c r="B11" s="891" t="s">
        <v>1361</v>
      </c>
      <c r="C11" s="732" t="s">
        <v>1084</v>
      </c>
      <c r="D11" s="2255">
        <f>MAX(D10:F10)</f>
        <v>0</v>
      </c>
      <c r="E11" s="2255"/>
      <c r="F11" s="2255"/>
      <c r="G11" s="731">
        <f>MAX(G10)</f>
        <v>0</v>
      </c>
      <c r="H11" s="2254" t="s">
        <v>1085</v>
      </c>
      <c r="I11" s="2254"/>
      <c r="J11" s="2254"/>
      <c r="K11" s="2254"/>
      <c r="L11" s="2254"/>
      <c r="M11" s="2254"/>
      <c r="N11" s="2254"/>
      <c r="O11" s="799"/>
      <c r="P11" s="799"/>
    </row>
    <row r="12" spans="2:17" ht="24" customHeight="1">
      <c r="B12" s="732" t="s">
        <v>1086</v>
      </c>
      <c r="C12" s="732" t="s">
        <v>1117</v>
      </c>
      <c r="D12" s="2255">
        <f>温度条件他根拠!E29</f>
        <v>0</v>
      </c>
      <c r="E12" s="2255"/>
      <c r="F12" s="2255"/>
      <c r="G12" s="731">
        <f>D12</f>
        <v>0</v>
      </c>
      <c r="H12" s="2262" t="s">
        <v>1111</v>
      </c>
      <c r="I12" s="2262"/>
      <c r="J12" s="2262"/>
      <c r="K12" s="2262"/>
      <c r="L12" s="2262"/>
      <c r="M12" s="2262"/>
      <c r="N12" s="2262"/>
      <c r="O12" s="799"/>
      <c r="P12" s="799"/>
    </row>
    <row r="13" spans="2:17" ht="60">
      <c r="B13" s="732" t="s">
        <v>1089</v>
      </c>
      <c r="C13" s="732" t="s">
        <v>1090</v>
      </c>
      <c r="D13" s="2256">
        <f>D12*D11</f>
        <v>0</v>
      </c>
      <c r="E13" s="2257"/>
      <c r="F13" s="2258"/>
      <c r="G13" s="731">
        <f>G12*G11</f>
        <v>0</v>
      </c>
      <c r="H13" s="2259"/>
      <c r="I13" s="2260"/>
      <c r="J13" s="2260"/>
      <c r="K13" s="2260"/>
      <c r="L13" s="2260"/>
      <c r="M13" s="2260"/>
      <c r="N13" s="2261"/>
      <c r="O13" s="81"/>
    </row>
    <row r="14" spans="2:17">
      <c r="B14" s="733"/>
      <c r="C14" s="734"/>
      <c r="D14" s="735"/>
      <c r="E14" s="735"/>
      <c r="F14" s="735"/>
      <c r="G14" s="735"/>
      <c r="H14" s="736"/>
      <c r="I14" s="81"/>
      <c r="J14" s="81"/>
      <c r="K14" s="81"/>
      <c r="L14" s="81"/>
      <c r="M14" s="81"/>
      <c r="N14" s="81"/>
      <c r="O14" s="81"/>
    </row>
    <row r="15" spans="2:17">
      <c r="B15" s="719"/>
      <c r="C15" s="720"/>
      <c r="D15" s="719"/>
      <c r="E15" s="721"/>
      <c r="F15" s="720"/>
      <c r="G15" s="720"/>
      <c r="H15" s="720"/>
      <c r="I15" s="81"/>
      <c r="J15" s="81"/>
      <c r="K15" s="81"/>
      <c r="L15" s="81"/>
      <c r="M15" s="81"/>
      <c r="N15" s="81"/>
      <c r="O15" s="81"/>
    </row>
    <row r="16" spans="2:17">
      <c r="B16" s="1205" t="s">
        <v>183</v>
      </c>
      <c r="C16" s="1205"/>
      <c r="D16" s="1205"/>
      <c r="E16" s="1205"/>
      <c r="F16" s="1205"/>
      <c r="G16" s="1205"/>
      <c r="H16" s="1205"/>
      <c r="I16" s="1205"/>
      <c r="J16" s="1205"/>
      <c r="K16" s="1205"/>
      <c r="L16" s="1205"/>
      <c r="M16" s="1205"/>
      <c r="N16" s="1205"/>
      <c r="O16" s="1205"/>
      <c r="Q16" s="1" t="s">
        <v>563</v>
      </c>
    </row>
    <row r="17" spans="2:30" ht="36">
      <c r="B17" s="703" t="s">
        <v>0</v>
      </c>
      <c r="C17" s="716" t="s">
        <v>1093</v>
      </c>
      <c r="D17" s="716" t="s">
        <v>1094</v>
      </c>
      <c r="E17" s="716" t="s">
        <v>1092</v>
      </c>
      <c r="F17" s="20" t="s">
        <v>42</v>
      </c>
      <c r="G17" s="20" t="s">
        <v>43</v>
      </c>
      <c r="H17" s="18" t="s">
        <v>35</v>
      </c>
      <c r="I17" s="20" t="s">
        <v>36</v>
      </c>
      <c r="J17" s="20" t="s">
        <v>2</v>
      </c>
      <c r="K17" s="20" t="s">
        <v>3</v>
      </c>
      <c r="L17" s="20" t="s">
        <v>39</v>
      </c>
      <c r="M17" s="20" t="s">
        <v>38</v>
      </c>
      <c r="N17" s="20" t="s">
        <v>45</v>
      </c>
      <c r="O17" s="20" t="s">
        <v>44</v>
      </c>
      <c r="Q17" s="703" t="s">
        <v>0</v>
      </c>
      <c r="R17" s="919" t="s">
        <v>1367</v>
      </c>
      <c r="S17" s="919" t="s">
        <v>1368</v>
      </c>
      <c r="T17" s="919" t="s">
        <v>1092</v>
      </c>
      <c r="U17" s="20" t="s">
        <v>42</v>
      </c>
      <c r="V17" s="20" t="s">
        <v>43</v>
      </c>
      <c r="W17" s="18" t="s">
        <v>566</v>
      </c>
      <c r="X17" s="20" t="s">
        <v>567</v>
      </c>
      <c r="Y17" s="20" t="s">
        <v>2</v>
      </c>
      <c r="Z17" s="20" t="s">
        <v>3</v>
      </c>
      <c r="AA17" s="20" t="s">
        <v>568</v>
      </c>
      <c r="AB17" s="20" t="s">
        <v>569</v>
      </c>
      <c r="AC17" s="20" t="s">
        <v>570</v>
      </c>
      <c r="AD17" s="20" t="s">
        <v>571</v>
      </c>
    </row>
    <row r="18" spans="2:30" ht="36">
      <c r="B18" s="703" t="s">
        <v>14</v>
      </c>
      <c r="C18" s="20" t="s">
        <v>16</v>
      </c>
      <c r="D18" s="20" t="s">
        <v>17</v>
      </c>
      <c r="E18" s="20" t="s">
        <v>18</v>
      </c>
      <c r="F18" s="20" t="s">
        <v>19</v>
      </c>
      <c r="G18" s="20" t="s">
        <v>20</v>
      </c>
      <c r="H18" s="20" t="s">
        <v>30</v>
      </c>
      <c r="I18" s="20" t="s">
        <v>29</v>
      </c>
      <c r="J18" s="20" t="s">
        <v>21</v>
      </c>
      <c r="K18" s="20" t="s">
        <v>22</v>
      </c>
      <c r="L18" s="606" t="s">
        <v>608</v>
      </c>
      <c r="M18" s="606" t="s">
        <v>607</v>
      </c>
      <c r="N18" s="704" t="s">
        <v>25</v>
      </c>
      <c r="O18" s="20" t="s">
        <v>32</v>
      </c>
      <c r="Q18" s="703" t="s">
        <v>14</v>
      </c>
      <c r="R18" s="20" t="s">
        <v>1363</v>
      </c>
      <c r="S18" s="20" t="s">
        <v>1364</v>
      </c>
      <c r="T18" s="20" t="s">
        <v>18</v>
      </c>
      <c r="U18" s="20" t="s">
        <v>19</v>
      </c>
      <c r="V18" s="20" t="s">
        <v>20</v>
      </c>
      <c r="W18" s="20" t="s">
        <v>30</v>
      </c>
      <c r="X18" s="20" t="s">
        <v>29</v>
      </c>
      <c r="Y18" s="20" t="s">
        <v>21</v>
      </c>
      <c r="Z18" s="20" t="s">
        <v>22</v>
      </c>
      <c r="AA18" s="606" t="s">
        <v>608</v>
      </c>
      <c r="AB18" s="606" t="s">
        <v>607</v>
      </c>
      <c r="AC18" s="704" t="s">
        <v>25</v>
      </c>
      <c r="AD18" s="20" t="s">
        <v>32</v>
      </c>
    </row>
    <row r="19" spans="2:30">
      <c r="B19" s="700" t="s">
        <v>15</v>
      </c>
      <c r="C19" s="737" t="s">
        <v>1091</v>
      </c>
      <c r="D19" s="737" t="s">
        <v>1091</v>
      </c>
      <c r="E19" s="737" t="s">
        <v>172</v>
      </c>
      <c r="F19" s="5" t="s">
        <v>10</v>
      </c>
      <c r="G19" s="5" t="s">
        <v>10</v>
      </c>
      <c r="H19" s="5" t="s">
        <v>11</v>
      </c>
      <c r="I19" s="5" t="s">
        <v>11</v>
      </c>
      <c r="J19" s="5" t="s">
        <v>10</v>
      </c>
      <c r="K19" s="5" t="s">
        <v>10</v>
      </c>
      <c r="L19" s="5" t="s">
        <v>11</v>
      </c>
      <c r="M19" s="5" t="s">
        <v>11</v>
      </c>
      <c r="N19" s="5" t="s">
        <v>11</v>
      </c>
      <c r="O19" s="700" t="s">
        <v>31</v>
      </c>
      <c r="Q19" s="700" t="s">
        <v>15</v>
      </c>
      <c r="R19" s="737" t="s">
        <v>1091</v>
      </c>
      <c r="S19" s="737" t="s">
        <v>1091</v>
      </c>
      <c r="T19" s="737" t="s">
        <v>172</v>
      </c>
      <c r="U19" s="5" t="s">
        <v>10</v>
      </c>
      <c r="V19" s="5" t="s">
        <v>10</v>
      </c>
      <c r="W19" s="5" t="s">
        <v>11</v>
      </c>
      <c r="X19" s="5" t="s">
        <v>11</v>
      </c>
      <c r="Y19" s="5" t="s">
        <v>10</v>
      </c>
      <c r="Z19" s="5" t="s">
        <v>10</v>
      </c>
      <c r="AA19" s="5" t="s">
        <v>11</v>
      </c>
      <c r="AB19" s="5" t="s">
        <v>11</v>
      </c>
      <c r="AC19" s="5" t="s">
        <v>11</v>
      </c>
      <c r="AD19" s="700" t="s">
        <v>31</v>
      </c>
    </row>
    <row r="20" spans="2:30">
      <c r="B20" s="700">
        <v>1</v>
      </c>
      <c r="C20" s="3"/>
      <c r="D20" s="738">
        <f>G13</f>
        <v>0</v>
      </c>
      <c r="E20" s="739">
        <f>温度条件他根拠!E21</f>
        <v>0</v>
      </c>
      <c r="F20" s="2">
        <v>0</v>
      </c>
      <c r="G20" s="741">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739">
        <f>温度条件他根拠!E21</f>
        <v>0</v>
      </c>
      <c r="U20" s="740">
        <f>F20</f>
        <v>0</v>
      </c>
      <c r="V20" s="741">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2">
        <v>0</v>
      </c>
      <c r="G21" s="741">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700">
        <v>2</v>
      </c>
      <c r="R21" s="3"/>
      <c r="S21" s="3"/>
      <c r="T21" s="740">
        <f>T20</f>
        <v>0</v>
      </c>
      <c r="U21" s="740">
        <f t="shared" ref="U21:U31" si="9">F21</f>
        <v>0</v>
      </c>
      <c r="V21" s="741">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700">
        <v>3</v>
      </c>
      <c r="C22" s="3"/>
      <c r="D22" s="3"/>
      <c r="E22" s="740">
        <f t="shared" ref="E22:E31" si="13">E21</f>
        <v>0</v>
      </c>
      <c r="F22" s="2">
        <v>0</v>
      </c>
      <c r="G22" s="741">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700">
        <v>3</v>
      </c>
      <c r="R22" s="3"/>
      <c r="S22" s="3"/>
      <c r="T22" s="740">
        <f t="shared" ref="T22:T31" si="14">T21</f>
        <v>0</v>
      </c>
      <c r="U22" s="740">
        <f t="shared" si="9"/>
        <v>0</v>
      </c>
      <c r="V22" s="741">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700">
        <v>4</v>
      </c>
      <c r="C23" s="3"/>
      <c r="D23" s="3"/>
      <c r="E23" s="740">
        <f t="shared" si="13"/>
        <v>0</v>
      </c>
      <c r="F23" s="2">
        <v>0</v>
      </c>
      <c r="G23" s="741">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700">
        <v>4</v>
      </c>
      <c r="R23" s="3"/>
      <c r="S23" s="3"/>
      <c r="T23" s="740">
        <f t="shared" si="14"/>
        <v>0</v>
      </c>
      <c r="U23" s="740">
        <f t="shared" si="9"/>
        <v>0</v>
      </c>
      <c r="V23" s="741">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700">
        <v>5</v>
      </c>
      <c r="C24" s="3"/>
      <c r="D24" s="3"/>
      <c r="E24" s="740">
        <f t="shared" si="13"/>
        <v>0</v>
      </c>
      <c r="F24" s="741">
        <f>0.175*(温度条件他根拠!$D$7-温度条件他根拠!$D$9)/(温度条件他根拠!$D$7-23.2)</f>
        <v>7.3795180722891554E-2</v>
      </c>
      <c r="G24" s="741">
        <f>0.2*(温度条件他根拠!$D$10-13.4)/(温度条件他根拠!$D$10-温度条件他根拠!$D$8)</f>
        <v>6.1395348837209304E-2</v>
      </c>
      <c r="H24" s="738">
        <f>$C$27*E24*F24/1000</f>
        <v>0</v>
      </c>
      <c r="I24" s="738">
        <f>G24*E24*$D$20/1000</f>
        <v>0</v>
      </c>
      <c r="J24" s="6">
        <f>温度条件他根拠!$C$61</f>
        <v>3.55</v>
      </c>
      <c r="K24" s="6">
        <f>温度条件他根拠!$C$62</f>
        <v>3.95</v>
      </c>
      <c r="L24" s="7">
        <f t="shared" si="1"/>
        <v>0</v>
      </c>
      <c r="M24" s="7">
        <f t="shared" si="1"/>
        <v>0</v>
      </c>
      <c r="N24" s="13">
        <f t="shared" si="7"/>
        <v>0</v>
      </c>
      <c r="O24" s="12">
        <f t="shared" si="8"/>
        <v>0</v>
      </c>
      <c r="Q24" s="700">
        <v>5</v>
      </c>
      <c r="R24" s="3"/>
      <c r="S24" s="3"/>
      <c r="T24" s="740">
        <f t="shared" si="14"/>
        <v>0</v>
      </c>
      <c r="U24" s="903">
        <f t="shared" si="9"/>
        <v>7.3795180722891554E-2</v>
      </c>
      <c r="V24" s="741">
        <f t="shared" si="10"/>
        <v>6.1395348837209304E-2</v>
      </c>
      <c r="W24" s="738">
        <f t="shared" si="2"/>
        <v>0</v>
      </c>
      <c r="X24" s="738">
        <f t="shared" si="3"/>
        <v>0</v>
      </c>
      <c r="Y24" s="6">
        <f>温度条件他根拠!$C$61</f>
        <v>3.55</v>
      </c>
      <c r="Z24" s="6">
        <f>温度条件他根拠!$C$62</f>
        <v>3.95</v>
      </c>
      <c r="AA24" s="7">
        <f t="shared" si="4"/>
        <v>0</v>
      </c>
      <c r="AB24" s="7">
        <f t="shared" si="4"/>
        <v>0</v>
      </c>
      <c r="AC24" s="13">
        <f t="shared" si="11"/>
        <v>0</v>
      </c>
      <c r="AD24" s="12">
        <f t="shared" si="12"/>
        <v>0</v>
      </c>
    </row>
    <row r="25" spans="2:30">
      <c r="B25" s="700">
        <v>6</v>
      </c>
      <c r="C25" s="3"/>
      <c r="D25" s="3"/>
      <c r="E25" s="740">
        <f t="shared" si="13"/>
        <v>0</v>
      </c>
      <c r="F25" s="741">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700">
        <v>6</v>
      </c>
      <c r="R25" s="3"/>
      <c r="S25" s="3"/>
      <c r="T25" s="740">
        <f t="shared" si="14"/>
        <v>0</v>
      </c>
      <c r="U25" s="903">
        <f t="shared" si="9"/>
        <v>0.44545454545454538</v>
      </c>
      <c r="V25" s="911">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700">
        <v>7</v>
      </c>
      <c r="C26" s="3"/>
      <c r="D26" s="3"/>
      <c r="E26" s="740">
        <f t="shared" si="13"/>
        <v>0</v>
      </c>
      <c r="F26" s="741">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700">
        <v>7</v>
      </c>
      <c r="R26" s="3"/>
      <c r="S26" s="3"/>
      <c r="T26" s="740">
        <f t="shared" si="14"/>
        <v>0</v>
      </c>
      <c r="U26" s="903">
        <f t="shared" si="9"/>
        <v>0.7</v>
      </c>
      <c r="V26" s="911">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700">
        <v>8</v>
      </c>
      <c r="C27" s="738">
        <f>D13</f>
        <v>0</v>
      </c>
      <c r="D27" s="3"/>
      <c r="E27" s="740">
        <f t="shared" si="13"/>
        <v>0</v>
      </c>
      <c r="F27" s="741">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700">
        <v>8</v>
      </c>
      <c r="R27" s="738">
        <f>E8*D12</f>
        <v>0</v>
      </c>
      <c r="S27" s="3"/>
      <c r="T27" s="740">
        <f t="shared" si="14"/>
        <v>0</v>
      </c>
      <c r="U27" s="903">
        <f t="shared" si="9"/>
        <v>0.7</v>
      </c>
      <c r="V27" s="911">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700">
        <v>9</v>
      </c>
      <c r="C28" s="3"/>
      <c r="D28" s="3"/>
      <c r="E28" s="740">
        <f t="shared" si="13"/>
        <v>0</v>
      </c>
      <c r="F28" s="741">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700">
        <v>9</v>
      </c>
      <c r="R28" s="3"/>
      <c r="S28" s="3"/>
      <c r="T28" s="740">
        <f t="shared" si="14"/>
        <v>0</v>
      </c>
      <c r="U28" s="903">
        <f t="shared" si="9"/>
        <v>0.55681818181818199</v>
      </c>
      <c r="V28" s="911">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700">
        <v>10</v>
      </c>
      <c r="C29" s="3"/>
      <c r="D29" s="3"/>
      <c r="E29" s="740">
        <f t="shared" si="13"/>
        <v>0</v>
      </c>
      <c r="F29" s="741">
        <f>0.175*(温度条件他根拠!$D$7-温度条件他根拠!$D$9)/(温度条件他根拠!$D$7-21.6)</f>
        <v>6.1868686868686872E-2</v>
      </c>
      <c r="G29" s="741">
        <f>0.2*(温度条件他根拠!$D$10-12.8)/(温度条件他根拠!$D$10-温度条件他根拠!$D$8)</f>
        <v>6.6976744186046502E-2</v>
      </c>
      <c r="H29" s="738">
        <f>$C$27*E29*F29/1000</f>
        <v>0</v>
      </c>
      <c r="I29" s="738">
        <f>G29*E29*$D$20/1000</f>
        <v>0</v>
      </c>
      <c r="J29" s="6">
        <f>温度条件他根拠!$C$61</f>
        <v>3.55</v>
      </c>
      <c r="K29" s="6">
        <f>温度条件他根拠!$C$62</f>
        <v>3.95</v>
      </c>
      <c r="L29" s="7">
        <f t="shared" si="1"/>
        <v>0</v>
      </c>
      <c r="M29" s="7">
        <f t="shared" si="1"/>
        <v>0</v>
      </c>
      <c r="N29" s="13">
        <f t="shared" si="7"/>
        <v>0</v>
      </c>
      <c r="O29" s="12">
        <f t="shared" si="8"/>
        <v>0</v>
      </c>
      <c r="Q29" s="700">
        <v>10</v>
      </c>
      <c r="R29" s="3"/>
      <c r="S29" s="3"/>
      <c r="T29" s="740">
        <f t="shared" si="14"/>
        <v>0</v>
      </c>
      <c r="U29" s="903">
        <f t="shared" si="9"/>
        <v>6.1868686868686872E-2</v>
      </c>
      <c r="V29" s="741">
        <f t="shared" si="10"/>
        <v>6.6976744186046502E-2</v>
      </c>
      <c r="W29" s="738">
        <f t="shared" si="2"/>
        <v>0</v>
      </c>
      <c r="X29" s="738">
        <f t="shared" si="3"/>
        <v>0</v>
      </c>
      <c r="Y29" s="6">
        <f>温度条件他根拠!$C$61</f>
        <v>3.55</v>
      </c>
      <c r="Z29" s="6">
        <f>温度条件他根拠!$C$62</f>
        <v>3.95</v>
      </c>
      <c r="AA29" s="7">
        <f t="shared" si="4"/>
        <v>0</v>
      </c>
      <c r="AB29" s="7">
        <f t="shared" si="4"/>
        <v>0</v>
      </c>
      <c r="AC29" s="13">
        <f t="shared" si="11"/>
        <v>0</v>
      </c>
      <c r="AD29" s="12">
        <f t="shared" si="12"/>
        <v>0</v>
      </c>
    </row>
    <row r="30" spans="2:30">
      <c r="B30" s="700">
        <v>11</v>
      </c>
      <c r="C30" s="3"/>
      <c r="D30" s="3"/>
      <c r="E30" s="740">
        <f t="shared" si="13"/>
        <v>0</v>
      </c>
      <c r="F30" s="2">
        <v>0</v>
      </c>
      <c r="G30" s="741">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700">
        <v>11</v>
      </c>
      <c r="R30" s="3"/>
      <c r="S30" s="3"/>
      <c r="T30" s="740">
        <f t="shared" si="14"/>
        <v>0</v>
      </c>
      <c r="U30" s="740">
        <f t="shared" si="9"/>
        <v>0</v>
      </c>
      <c r="V30" s="741">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700">
        <v>12</v>
      </c>
      <c r="C31" s="3"/>
      <c r="D31" s="3"/>
      <c r="E31" s="740">
        <f t="shared" si="13"/>
        <v>0</v>
      </c>
      <c r="F31" s="2">
        <v>0</v>
      </c>
      <c r="G31" s="741">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700">
        <v>12</v>
      </c>
      <c r="R31" s="3"/>
      <c r="S31" s="3"/>
      <c r="T31" s="740">
        <f t="shared" si="14"/>
        <v>0</v>
      </c>
      <c r="U31" s="740">
        <f t="shared" si="9"/>
        <v>0</v>
      </c>
      <c r="V31" s="741">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1055</v>
      </c>
    </row>
    <row r="58" spans="2:3">
      <c r="B58" s="609">
        <v>43927</v>
      </c>
      <c r="C58" s="608" t="s">
        <v>852</v>
      </c>
    </row>
    <row r="59" spans="2:3">
      <c r="B59" s="609">
        <v>44634</v>
      </c>
      <c r="C59" s="608" t="s">
        <v>1095</v>
      </c>
    </row>
    <row r="60" spans="2:3">
      <c r="C60" s="608" t="s">
        <v>1096</v>
      </c>
    </row>
    <row r="61" spans="2:3">
      <c r="C61" s="1" t="s">
        <v>1097</v>
      </c>
    </row>
    <row r="62" spans="2:3">
      <c r="C62" s="1" t="s">
        <v>1109</v>
      </c>
    </row>
    <row r="63" spans="2:3">
      <c r="C63" s="1" t="s">
        <v>1110</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E1" zoomScaleNormal="100"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さいたま市外壁遮熱</v>
      </c>
      <c r="E1" s="81"/>
      <c r="F1" s="81"/>
      <c r="G1" s="81"/>
      <c r="H1" s="81"/>
      <c r="I1" s="81"/>
      <c r="J1" s="81"/>
      <c r="K1" s="81"/>
      <c r="L1" s="81"/>
      <c r="M1" s="81"/>
      <c r="N1" s="81"/>
      <c r="O1" s="81"/>
    </row>
    <row r="2" spans="2:16" ht="13.5" thickBot="1">
      <c r="B2" s="790"/>
      <c r="C2" s="791"/>
      <c r="D2" s="789"/>
      <c r="E2" s="81"/>
      <c r="F2" s="81"/>
      <c r="G2" s="81"/>
      <c r="H2" s="81"/>
      <c r="I2" s="81"/>
      <c r="J2" s="81"/>
      <c r="K2" s="81"/>
      <c r="L2" s="81"/>
      <c r="M2" s="81"/>
      <c r="N2" s="81"/>
      <c r="O2" s="81"/>
    </row>
    <row r="3" spans="2:16" ht="13" customHeight="1"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customHeight="1" thickBot="1">
      <c r="B13" s="2282"/>
      <c r="C13" s="780" t="s">
        <v>1378</v>
      </c>
      <c r="D13" s="752">
        <f>結果!H38</f>
        <v>0</v>
      </c>
      <c r="E13" s="752">
        <f>結果!J38</f>
        <v>0</v>
      </c>
      <c r="F13" s="752">
        <f>結果!L38</f>
        <v>0</v>
      </c>
      <c r="G13" s="782">
        <f>結果!Q38</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282"/>
      <c r="C16" s="748" t="str">
        <f t="shared" ref="C16:C32" si="4">C7</f>
        <v>北東</v>
      </c>
      <c r="D16" s="749">
        <f>結果!H72</f>
        <v>0</v>
      </c>
      <c r="E16" s="749">
        <f>結果!J72</f>
        <v>0</v>
      </c>
      <c r="F16" s="749">
        <f>結果!L72</f>
        <v>0</v>
      </c>
      <c r="G16" s="750">
        <f>結果!Q72</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4"/>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4"/>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4"/>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4"/>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4"/>
        <v>北西</v>
      </c>
      <c r="D22" s="752">
        <f>結果!H78</f>
        <v>0</v>
      </c>
      <c r="E22" s="752">
        <f>結果!J78</f>
        <v>0</v>
      </c>
      <c r="F22" s="752">
        <f>結果!L78</f>
        <v>0</v>
      </c>
      <c r="G22" s="753">
        <f>結果!Q78</f>
        <v>0</v>
      </c>
      <c r="H22" s="912"/>
      <c r="I22" s="912"/>
      <c r="J22" s="2291"/>
      <c r="K22" s="2264"/>
      <c r="L22" s="2264"/>
      <c r="M22" s="798"/>
      <c r="N22" s="2264"/>
      <c r="O22" s="2264"/>
      <c r="P22" s="2264"/>
    </row>
    <row r="23" spans="2:16" ht="13" customHeight="1"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0"/>
      <c r="C34" s="791"/>
      <c r="D34" s="789"/>
      <c r="E34" s="81"/>
      <c r="F34" s="81"/>
      <c r="G34" s="81"/>
      <c r="H34" s="81"/>
      <c r="I34" s="81"/>
      <c r="J34" s="81"/>
      <c r="K34" s="81"/>
      <c r="L34" s="81"/>
      <c r="M34" s="81"/>
      <c r="N34" s="81"/>
      <c r="O34" s="81"/>
    </row>
    <row r="35" spans="2:30">
      <c r="B35" s="790"/>
      <c r="C35" s="791"/>
      <c r="D35" s="789"/>
      <c r="E35" s="81"/>
      <c r="F35" s="81"/>
      <c r="G35" s="81"/>
      <c r="H35" s="81"/>
      <c r="I35" s="81"/>
      <c r="J35" s="81"/>
      <c r="K35" s="81"/>
      <c r="L35" s="81"/>
      <c r="M35" s="81"/>
      <c r="N35" s="81"/>
      <c r="O35" s="81"/>
    </row>
    <row r="36" spans="2:30">
      <c r="B36" s="790"/>
      <c r="C36" s="791"/>
      <c r="D36" s="789"/>
      <c r="E36" s="81"/>
      <c r="F36" s="81"/>
      <c r="G36" s="81"/>
      <c r="H36" s="81"/>
      <c r="I36" s="81"/>
      <c r="J36" s="81"/>
      <c r="K36" s="81"/>
      <c r="L36" s="81"/>
      <c r="M36" s="81"/>
      <c r="N36" s="81"/>
      <c r="O36" s="81"/>
    </row>
    <row r="37" spans="2:30">
      <c r="B37" s="790"/>
      <c r="C37" s="791"/>
      <c r="D37" s="789"/>
      <c r="E37" s="81"/>
      <c r="F37" s="81"/>
      <c r="G37" s="81"/>
      <c r="H37" s="81"/>
      <c r="I37" s="81"/>
      <c r="J37" s="81"/>
      <c r="K37" s="81"/>
      <c r="L37" s="81"/>
      <c r="M37" s="81"/>
      <c r="N37" s="81"/>
      <c r="O37" s="81"/>
    </row>
    <row r="38" spans="2:30">
      <c r="B38" s="790"/>
      <c r="C38" s="791"/>
      <c r="D38" s="789"/>
      <c r="E38" s="81"/>
      <c r="F38" s="81"/>
      <c r="G38" s="81"/>
      <c r="H38" s="81"/>
      <c r="I38" s="81"/>
      <c r="J38" s="81"/>
      <c r="K38" s="81"/>
      <c r="L38" s="81"/>
      <c r="M38" s="81"/>
      <c r="N38" s="81"/>
      <c r="O38" s="81"/>
    </row>
    <row r="39" spans="2:30">
      <c r="B39" s="790"/>
      <c r="C39" s="791"/>
      <c r="D39" s="789"/>
      <c r="E39" s="81"/>
      <c r="F39" s="81"/>
      <c r="G39" s="81"/>
      <c r="H39" s="81"/>
      <c r="I39" s="81"/>
      <c r="J39" s="81"/>
      <c r="K39" s="81"/>
      <c r="L39" s="81"/>
      <c r="M39" s="81"/>
      <c r="N39" s="81"/>
      <c r="O39" s="81"/>
    </row>
    <row r="40" spans="2:30">
      <c r="B40" s="790"/>
      <c r="C40" s="791"/>
      <c r="D40" s="789"/>
      <c r="E40" s="81"/>
      <c r="F40" s="81"/>
      <c r="G40" s="81"/>
      <c r="H40" s="81"/>
      <c r="I40" s="81"/>
      <c r="J40" s="81"/>
      <c r="K40" s="81"/>
      <c r="L40" s="81"/>
      <c r="M40" s="81"/>
      <c r="N40" s="81"/>
      <c r="O40" s="81"/>
    </row>
    <row r="41" spans="2:30">
      <c r="B41" s="790"/>
      <c r="C41" s="791"/>
      <c r="D41" s="789"/>
      <c r="E41" s="81"/>
      <c r="F41" s="81"/>
      <c r="G41" s="81"/>
      <c r="H41" s="81"/>
      <c r="I41" s="81"/>
      <c r="J41" s="81"/>
      <c r="K41" s="81"/>
      <c r="L41" s="81"/>
      <c r="M41" s="81"/>
      <c r="N41" s="81"/>
      <c r="O41" s="81"/>
    </row>
    <row r="42" spans="2:30">
      <c r="B42" s="790"/>
      <c r="C42" s="791"/>
      <c r="D42" s="789"/>
      <c r="E42" s="81"/>
      <c r="F42" s="81"/>
      <c r="G42" s="81"/>
      <c r="H42" s="81"/>
      <c r="I42" s="81"/>
      <c r="J42" s="81"/>
      <c r="K42" s="81"/>
      <c r="L42" s="81"/>
      <c r="M42" s="81"/>
      <c r="N42" s="81"/>
      <c r="O42" s="81"/>
    </row>
    <row r="43" spans="2:30">
      <c r="B43" s="790"/>
      <c r="C43" s="791"/>
      <c r="D43" s="789"/>
      <c r="E43" s="81"/>
      <c r="F43" s="81"/>
      <c r="G43" s="81"/>
      <c r="H43" s="81"/>
      <c r="I43" s="81"/>
      <c r="J43" s="81"/>
      <c r="K43" s="81"/>
      <c r="L43" s="81"/>
      <c r="M43" s="81"/>
      <c r="N43" s="81"/>
      <c r="O43" s="81"/>
    </row>
    <row r="44" spans="2:30">
      <c r="B44" s="790"/>
      <c r="C44" s="791"/>
      <c r="D44" s="789"/>
      <c r="E44" s="81"/>
      <c r="F44" s="81"/>
      <c r="G44" s="81"/>
      <c r="H44" s="81"/>
      <c r="I44" s="81"/>
      <c r="J44" s="81"/>
      <c r="K44" s="81"/>
      <c r="L44" s="81"/>
      <c r="M44" s="81"/>
      <c r="N44" s="81"/>
      <c r="O44" s="81"/>
    </row>
    <row r="45" spans="2:30">
      <c r="B45" s="2287" t="s">
        <v>183</v>
      </c>
      <c r="C45" s="2287"/>
      <c r="D45" s="2287"/>
      <c r="E45" s="2287"/>
      <c r="F45" s="2287"/>
      <c r="G45" s="2287"/>
      <c r="H45" s="2287"/>
      <c r="I45" s="2287"/>
      <c r="J45" s="2287"/>
      <c r="K45" s="2287"/>
      <c r="L45" s="2287"/>
      <c r="M45" s="2287"/>
      <c r="N45" s="2287"/>
      <c r="O45" s="2287"/>
      <c r="Q45" s="1" t="s">
        <v>563</v>
      </c>
    </row>
    <row r="46" spans="2:30" ht="36">
      <c r="B46" s="703" t="s">
        <v>0</v>
      </c>
      <c r="C46" s="716" t="s">
        <v>1093</v>
      </c>
      <c r="D46" s="716" t="s">
        <v>1094</v>
      </c>
      <c r="E46" s="716" t="s">
        <v>1092</v>
      </c>
      <c r="F46" s="20" t="s">
        <v>42</v>
      </c>
      <c r="G46" s="20" t="s">
        <v>43</v>
      </c>
      <c r="H46" s="18" t="s">
        <v>35</v>
      </c>
      <c r="I46" s="20" t="s">
        <v>36</v>
      </c>
      <c r="J46" s="20" t="s">
        <v>2</v>
      </c>
      <c r="K46" s="20" t="s">
        <v>3</v>
      </c>
      <c r="L46" s="20" t="s">
        <v>39</v>
      </c>
      <c r="M46" s="20" t="s">
        <v>38</v>
      </c>
      <c r="N46" s="20" t="s">
        <v>45</v>
      </c>
      <c r="O46" s="20" t="s">
        <v>44</v>
      </c>
      <c r="Q46" s="554" t="s">
        <v>0</v>
      </c>
      <c r="R46" s="919" t="s">
        <v>1367</v>
      </c>
      <c r="S46" s="919" t="s">
        <v>1368</v>
      </c>
      <c r="T46" s="919" t="s">
        <v>1092</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06" t="s">
        <v>608</v>
      </c>
      <c r="M47" s="606" t="s">
        <v>607</v>
      </c>
      <c r="N47" s="555" t="s">
        <v>25</v>
      </c>
      <c r="O47" s="20" t="s">
        <v>32</v>
      </c>
      <c r="Q47" s="554" t="s">
        <v>14</v>
      </c>
      <c r="R47" s="20" t="s">
        <v>16</v>
      </c>
      <c r="S47" s="20" t="s">
        <v>17</v>
      </c>
      <c r="T47" s="20" t="s">
        <v>18</v>
      </c>
      <c r="U47" s="20" t="s">
        <v>19</v>
      </c>
      <c r="V47" s="20" t="s">
        <v>20</v>
      </c>
      <c r="W47" s="20" t="s">
        <v>30</v>
      </c>
      <c r="X47" s="20" t="s">
        <v>29</v>
      </c>
      <c r="Y47" s="20" t="s">
        <v>21</v>
      </c>
      <c r="Z47" s="20" t="s">
        <v>22</v>
      </c>
      <c r="AA47" s="606" t="s">
        <v>608</v>
      </c>
      <c r="AB47" s="606" t="s">
        <v>607</v>
      </c>
      <c r="AC47" s="555" t="s">
        <v>25</v>
      </c>
      <c r="AD47" s="20" t="s">
        <v>32</v>
      </c>
    </row>
    <row r="48" spans="2:30">
      <c r="B48" s="553" t="s">
        <v>15</v>
      </c>
      <c r="C48" s="737" t="s">
        <v>1091</v>
      </c>
      <c r="D48" s="737" t="s">
        <v>1091</v>
      </c>
      <c r="E48" s="737" t="s">
        <v>172</v>
      </c>
      <c r="F48" s="5" t="s">
        <v>10</v>
      </c>
      <c r="G48" s="5" t="s">
        <v>10</v>
      </c>
      <c r="H48" s="5" t="s">
        <v>11</v>
      </c>
      <c r="I48" s="5" t="s">
        <v>11</v>
      </c>
      <c r="J48" s="5" t="s">
        <v>10</v>
      </c>
      <c r="K48" s="5" t="s">
        <v>10</v>
      </c>
      <c r="L48" s="5" t="s">
        <v>11</v>
      </c>
      <c r="M48" s="5" t="s">
        <v>11</v>
      </c>
      <c r="N48" s="5" t="s">
        <v>11</v>
      </c>
      <c r="O48" s="553" t="s">
        <v>31</v>
      </c>
      <c r="Q48" s="553" t="s">
        <v>15</v>
      </c>
      <c r="R48" s="737" t="s">
        <v>1091</v>
      </c>
      <c r="S48" s="737" t="s">
        <v>1091</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03">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03">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740">
        <f t="shared" ref="E51:E60" si="24">E50</f>
        <v>0</v>
      </c>
      <c r="F51" s="740">
        <v>0</v>
      </c>
      <c r="G51" s="741">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740">
        <f t="shared" ref="T51:T60" si="25">T50</f>
        <v>0</v>
      </c>
      <c r="U51" s="740">
        <f t="shared" si="21"/>
        <v>0</v>
      </c>
      <c r="V51" s="903">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740">
        <f t="shared" si="24"/>
        <v>0</v>
      </c>
      <c r="F52" s="740">
        <v>0</v>
      </c>
      <c r="G52" s="741">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740">
        <f t="shared" si="25"/>
        <v>0</v>
      </c>
      <c r="U52" s="740">
        <f t="shared" si="21"/>
        <v>0</v>
      </c>
      <c r="V52" s="903">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740">
        <f t="shared" si="24"/>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740">
        <f t="shared" si="25"/>
        <v>0</v>
      </c>
      <c r="U53" s="903">
        <f t="shared" si="21"/>
        <v>7.3795180722891554E-2</v>
      </c>
      <c r="V53" s="903">
        <f t="shared" si="21"/>
        <v>6.1395348837209304E-2</v>
      </c>
      <c r="W53" s="738">
        <f t="shared" si="14"/>
        <v>0</v>
      </c>
      <c r="X53" s="738">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740">
        <f t="shared" si="24"/>
        <v>0</v>
      </c>
      <c r="F54" s="741">
        <f>0.7*(温度条件他根拠!$D$7-温度条件他根拠!$D$9)/(温度条件他根拠!$D$7-26)</f>
        <v>0.44545454545454538</v>
      </c>
      <c r="G54" s="740">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740">
        <f t="shared" si="25"/>
        <v>0</v>
      </c>
      <c r="U54" s="903">
        <f t="shared" si="21"/>
        <v>0.44545454545454538</v>
      </c>
      <c r="V54" s="740">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740">
        <f t="shared" si="24"/>
        <v>0</v>
      </c>
      <c r="F55" s="741">
        <f>0.7*(温度条件他根拠!$D$7-温度条件他根拠!$D$9)/(温度条件他根拠!$D$7-28)</f>
        <v>0.7</v>
      </c>
      <c r="G55" s="740">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740">
        <f t="shared" si="25"/>
        <v>0</v>
      </c>
      <c r="U55" s="903">
        <f t="shared" si="21"/>
        <v>0.7</v>
      </c>
      <c r="V55" s="740">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738">
        <f>L32</f>
        <v>0</v>
      </c>
      <c r="D56" s="3"/>
      <c r="E56" s="740">
        <f t="shared" si="24"/>
        <v>0</v>
      </c>
      <c r="F56" s="741">
        <f>0.7*(温度条件他根拠!$D$7-温度条件他根拠!$D$9)/(温度条件他根拠!$D$7-28)</f>
        <v>0.7</v>
      </c>
      <c r="G56" s="740">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738">
        <f>L14</f>
        <v>0</v>
      </c>
      <c r="S56" s="3"/>
      <c r="T56" s="740">
        <f t="shared" si="25"/>
        <v>0</v>
      </c>
      <c r="U56" s="903">
        <f t="shared" si="21"/>
        <v>0.7</v>
      </c>
      <c r="V56" s="740">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740">
        <f t="shared" si="24"/>
        <v>0</v>
      </c>
      <c r="F57" s="741">
        <f>0.7*(温度条件他根拠!$D$7-温度条件他根拠!$D$9)/(温度条件他根拠!$D$7-27.1)</f>
        <v>0.55681818181818199</v>
      </c>
      <c r="G57" s="740">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740">
        <f t="shared" si="25"/>
        <v>0</v>
      </c>
      <c r="U57" s="903">
        <f t="shared" si="21"/>
        <v>0.55681818181818199</v>
      </c>
      <c r="V57" s="740">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740">
        <f t="shared" si="24"/>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740">
        <f t="shared" si="25"/>
        <v>0</v>
      </c>
      <c r="U58" s="903">
        <f t="shared" si="21"/>
        <v>6.1868686868686872E-2</v>
      </c>
      <c r="V58" s="903">
        <f t="shared" si="21"/>
        <v>6.6976744186046502E-2</v>
      </c>
      <c r="W58" s="738">
        <f t="shared" si="14"/>
        <v>0</v>
      </c>
      <c r="X58" s="738">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740">
        <f t="shared" si="24"/>
        <v>0</v>
      </c>
      <c r="F59" s="740">
        <v>0</v>
      </c>
      <c r="G59" s="741">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740">
        <f t="shared" si="25"/>
        <v>0</v>
      </c>
      <c r="U59" s="740">
        <f t="shared" si="21"/>
        <v>0</v>
      </c>
      <c r="V59" s="903">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740">
        <f t="shared" si="24"/>
        <v>0</v>
      </c>
      <c r="F60" s="740">
        <v>0</v>
      </c>
      <c r="G60" s="741">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740">
        <f t="shared" si="25"/>
        <v>0</v>
      </c>
      <c r="U60" s="740">
        <f t="shared" si="21"/>
        <v>0</v>
      </c>
      <c r="V60" s="903">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0">
    <mergeCell ref="B24:B33"/>
    <mergeCell ref="B45:O45"/>
    <mergeCell ref="D33:F33"/>
    <mergeCell ref="J16:J22"/>
    <mergeCell ref="K16:K23"/>
    <mergeCell ref="L16:L23"/>
    <mergeCell ref="N16:N22"/>
    <mergeCell ref="O16:O23"/>
    <mergeCell ref="B4:C5"/>
    <mergeCell ref="D4:F4"/>
    <mergeCell ref="G4:G5"/>
    <mergeCell ref="B6:B14"/>
    <mergeCell ref="B15:B23"/>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さいたま市外壁断熱</v>
      </c>
      <c r="E1" s="81"/>
      <c r="F1" s="81"/>
      <c r="G1" s="81"/>
      <c r="H1" s="81"/>
      <c r="I1" s="81"/>
      <c r="J1" s="81"/>
      <c r="K1" s="81"/>
      <c r="L1" s="81"/>
      <c r="M1" s="81"/>
      <c r="N1" s="81"/>
      <c r="O1" s="81"/>
    </row>
    <row r="2" spans="2:16" ht="13.5" thickBot="1">
      <c r="B2" s="790"/>
      <c r="C2" s="791"/>
      <c r="D2" s="789"/>
      <c r="E2" s="81"/>
      <c r="F2" s="81"/>
      <c r="G2" s="81"/>
      <c r="H2" s="81"/>
      <c r="I2" s="81"/>
      <c r="J2" s="81"/>
      <c r="K2" s="81"/>
      <c r="L2" s="81"/>
      <c r="M2" s="81"/>
      <c r="N2" s="81"/>
      <c r="O2" s="81"/>
    </row>
    <row r="3" spans="2:16" ht="13" customHeight="1"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59">
        <f>K24</f>
        <v>0</v>
      </c>
      <c r="L6" s="761">
        <f>K6*J6</f>
        <v>0</v>
      </c>
      <c r="M6" s="798"/>
      <c r="N6" s="762">
        <f>G6</f>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4">
        <f>K25</f>
        <v>0</v>
      </c>
      <c r="L7" s="766">
        <f t="shared" ref="L7:L13" si="0">K7*J7</f>
        <v>0</v>
      </c>
      <c r="M7" s="798"/>
      <c r="N7" s="767">
        <f>G7</f>
        <v>0</v>
      </c>
      <c r="O7" s="765">
        <f>K7</f>
        <v>0</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4">
        <f t="shared" si="2"/>
        <v>0</v>
      </c>
      <c r="L9" s="766">
        <f t="shared" si="0"/>
        <v>0</v>
      </c>
      <c r="M9" s="798"/>
      <c r="N9" s="767">
        <f t="shared" si="3"/>
        <v>0</v>
      </c>
      <c r="O9" s="765">
        <f t="shared" si="4"/>
        <v>0</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4">
        <f t="shared" si="2"/>
        <v>0</v>
      </c>
      <c r="L10" s="766">
        <f t="shared" si="0"/>
        <v>0</v>
      </c>
      <c r="M10" s="798"/>
      <c r="N10" s="767">
        <f t="shared" si="3"/>
        <v>0</v>
      </c>
      <c r="O10" s="764">
        <f t="shared" si="4"/>
        <v>0</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4">
        <f t="shared" si="2"/>
        <v>0</v>
      </c>
      <c r="L11" s="766">
        <f t="shared" si="0"/>
        <v>0</v>
      </c>
      <c r="M11" s="798"/>
      <c r="N11" s="767">
        <f t="shared" si="3"/>
        <v>0</v>
      </c>
      <c r="O11" s="765">
        <f t="shared" si="4"/>
        <v>0</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4">
        <f t="shared" si="2"/>
        <v>0</v>
      </c>
      <c r="L12" s="766">
        <f t="shared" si="0"/>
        <v>0</v>
      </c>
      <c r="M12" s="798"/>
      <c r="N12" s="767">
        <f t="shared" si="3"/>
        <v>0</v>
      </c>
      <c r="O12" s="765">
        <f t="shared" si="4"/>
        <v>0</v>
      </c>
      <c r="P12" s="766">
        <f t="shared" si="1"/>
        <v>0</v>
      </c>
    </row>
    <row r="13" spans="2:16" ht="13.5" customHeight="1" thickBot="1">
      <c r="B13" s="2282"/>
      <c r="C13" s="780" t="s">
        <v>1378</v>
      </c>
      <c r="D13" s="752">
        <f>結果!H38</f>
        <v>0</v>
      </c>
      <c r="E13" s="752">
        <f>結果!J38</f>
        <v>0</v>
      </c>
      <c r="F13" s="752">
        <f>結果!L38</f>
        <v>0</v>
      </c>
      <c r="G13" s="782">
        <f>結果!Q38</f>
        <v>0</v>
      </c>
      <c r="H13" s="796"/>
      <c r="I13" s="796"/>
      <c r="J13" s="1023">
        <f>IF(D32&gt;=D33,D13,IF(E32&gt;=D33,E13,F13))</f>
        <v>0</v>
      </c>
      <c r="K13" s="764">
        <f t="shared" si="2"/>
        <v>0</v>
      </c>
      <c r="L13" s="772">
        <f t="shared" si="0"/>
        <v>0</v>
      </c>
      <c r="M13" s="798"/>
      <c r="N13" s="767">
        <f>G13</f>
        <v>0</v>
      </c>
      <c r="O13" s="765">
        <f t="shared" si="4"/>
        <v>0</v>
      </c>
      <c r="P13" s="772">
        <f t="shared" si="1"/>
        <v>0</v>
      </c>
    </row>
    <row r="14" spans="2:16" ht="13.5" customHeight="1" thickBot="1">
      <c r="B14" s="2283"/>
      <c r="C14" s="754" t="s">
        <v>1100</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275" t="s">
        <v>1104</v>
      </c>
      <c r="C15" s="800" t="str">
        <f>C6</f>
        <v>北</v>
      </c>
      <c r="D15" s="784">
        <f>結果!H71</f>
        <v>0</v>
      </c>
      <c r="E15" s="784">
        <f>結果!J71</f>
        <v>0</v>
      </c>
      <c r="F15" s="784">
        <f>結果!L71</f>
        <v>0</v>
      </c>
      <c r="G15" s="801">
        <f>結果!Q71</f>
        <v>0</v>
      </c>
      <c r="H15" s="912"/>
      <c r="I15" s="912"/>
      <c r="J15" s="796"/>
      <c r="K15" s="796"/>
      <c r="L15" s="796"/>
      <c r="M15" s="798"/>
      <c r="N15" s="798"/>
      <c r="O15" s="798"/>
      <c r="P15" s="799"/>
    </row>
    <row r="16" spans="2:16" ht="13" customHeight="1">
      <c r="B16" s="2282"/>
      <c r="C16" s="748" t="str">
        <f t="shared" ref="C16:C32" si="6">C7</f>
        <v>北東</v>
      </c>
      <c r="D16" s="749">
        <f>結果!H72</f>
        <v>0</v>
      </c>
      <c r="E16" s="749">
        <f>結果!J72</f>
        <v>0</v>
      </c>
      <c r="F16" s="749">
        <f>結果!L72</f>
        <v>0</v>
      </c>
      <c r="G16" s="750">
        <f>結果!Q72</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6"/>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6"/>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6"/>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6"/>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6"/>
        <v>北西</v>
      </c>
      <c r="D22" s="752">
        <f>結果!H78</f>
        <v>0</v>
      </c>
      <c r="E22" s="749">
        <f>結果!J78</f>
        <v>0</v>
      </c>
      <c r="F22" s="749">
        <f>結果!L78</f>
        <v>0</v>
      </c>
      <c r="G22" s="750">
        <f>結果!Q78</f>
        <v>0</v>
      </c>
      <c r="H22" s="912"/>
      <c r="I22" s="912"/>
      <c r="J22" s="2291"/>
      <c r="K22" s="2264"/>
      <c r="L22" s="2264"/>
      <c r="M22" s="798"/>
      <c r="N22" s="2264"/>
      <c r="O22" s="2264"/>
      <c r="P22" s="2264"/>
    </row>
    <row r="23" spans="2:16" ht="13" customHeight="1"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05">
        <f>温度条件他根拠!E29</f>
        <v>0</v>
      </c>
      <c r="L24" s="761">
        <f>K24*J24</f>
        <v>0</v>
      </c>
      <c r="M24" s="798"/>
      <c r="N24" s="762">
        <f>G24</f>
        <v>0</v>
      </c>
      <c r="O24" s="805">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06">
        <f>K24</f>
        <v>0</v>
      </c>
      <c r="L25" s="766">
        <f t="shared" ref="L25:L31" si="10">K25*J25</f>
        <v>0</v>
      </c>
      <c r="M25" s="798"/>
      <c r="N25" s="767">
        <f>G25</f>
        <v>0</v>
      </c>
      <c r="O25" s="806">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06">
        <f>K24</f>
        <v>0</v>
      </c>
      <c r="L26" s="766">
        <f t="shared" si="10"/>
        <v>0</v>
      </c>
      <c r="M26" s="798"/>
      <c r="N26" s="767">
        <f t="shared" ref="N26:N31" si="12">G26</f>
        <v>0</v>
      </c>
      <c r="O26" s="806">
        <f t="shared" ref="O26:O31" si="13">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06">
        <f t="shared" ref="K27:K31" si="14">K25</f>
        <v>0</v>
      </c>
      <c r="L27" s="766">
        <f t="shared" si="10"/>
        <v>0</v>
      </c>
      <c r="M27" s="798"/>
      <c r="N27" s="767">
        <f t="shared" si="12"/>
        <v>0</v>
      </c>
      <c r="O27" s="806">
        <f t="shared" si="13"/>
        <v>0</v>
      </c>
      <c r="P27" s="766">
        <f t="shared" si="11"/>
        <v>0</v>
      </c>
    </row>
    <row r="28" spans="2:16">
      <c r="B28" s="2282"/>
      <c r="C28" s="763" t="str">
        <f t="shared" si="6"/>
        <v>南</v>
      </c>
      <c r="D28" s="749">
        <f t="shared" si="9"/>
        <v>0</v>
      </c>
      <c r="E28" s="749">
        <f t="shared" si="9"/>
        <v>0</v>
      </c>
      <c r="F28" s="749">
        <f t="shared" si="9"/>
        <v>0</v>
      </c>
      <c r="G28" s="750">
        <f t="shared" si="9"/>
        <v>0</v>
      </c>
      <c r="H28" s="912"/>
      <c r="I28" s="912"/>
      <c r="J28" s="764">
        <f>IF(D32&gt;=D33,D28,IF(E32&gt;=D33,E28,F28))</f>
        <v>0</v>
      </c>
      <c r="K28" s="806">
        <f t="shared" si="14"/>
        <v>0</v>
      </c>
      <c r="L28" s="766">
        <f t="shared" si="10"/>
        <v>0</v>
      </c>
      <c r="M28" s="798"/>
      <c r="N28" s="767">
        <f t="shared" si="12"/>
        <v>0</v>
      </c>
      <c r="O28" s="806">
        <f t="shared" si="13"/>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06">
        <f t="shared" si="14"/>
        <v>0</v>
      </c>
      <c r="L29" s="766">
        <f t="shared" si="10"/>
        <v>0</v>
      </c>
      <c r="M29" s="798"/>
      <c r="N29" s="767">
        <f t="shared" si="12"/>
        <v>0</v>
      </c>
      <c r="O29" s="806">
        <f t="shared" si="13"/>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06">
        <f t="shared" si="14"/>
        <v>0</v>
      </c>
      <c r="L30" s="766">
        <f t="shared" si="10"/>
        <v>0</v>
      </c>
      <c r="M30" s="798"/>
      <c r="N30" s="767">
        <f t="shared" si="12"/>
        <v>0</v>
      </c>
      <c r="O30" s="806">
        <f t="shared" si="13"/>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06">
        <f t="shared" si="14"/>
        <v>0</v>
      </c>
      <c r="L31" s="772">
        <f t="shared" si="10"/>
        <v>0</v>
      </c>
      <c r="M31" s="798"/>
      <c r="N31" s="767">
        <f t="shared" si="12"/>
        <v>0</v>
      </c>
      <c r="O31" s="806">
        <f t="shared" si="13"/>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0"/>
      <c r="C34" s="791"/>
      <c r="D34" s="719"/>
      <c r="E34" s="81"/>
      <c r="F34" s="81"/>
      <c r="G34" s="81"/>
      <c r="H34" s="81"/>
      <c r="I34" s="81"/>
      <c r="J34" s="81"/>
      <c r="K34" s="81"/>
      <c r="L34" s="81"/>
      <c r="M34" s="81"/>
      <c r="N34" s="81"/>
      <c r="O34" s="81"/>
    </row>
    <row r="35" spans="2:30">
      <c r="B35" s="790"/>
      <c r="C35" s="791"/>
      <c r="D35" s="719"/>
      <c r="E35" s="81"/>
      <c r="F35" s="81"/>
      <c r="G35" s="81"/>
      <c r="H35" s="81"/>
      <c r="I35" s="81"/>
      <c r="J35" s="81"/>
      <c r="K35" s="81"/>
      <c r="L35" s="81"/>
      <c r="M35" s="81"/>
      <c r="N35" s="81"/>
      <c r="O35" s="81"/>
    </row>
    <row r="36" spans="2:30">
      <c r="B36" s="790"/>
      <c r="C36" s="791"/>
      <c r="D36" s="719"/>
      <c r="E36" s="81"/>
      <c r="F36" s="81"/>
      <c r="G36" s="81"/>
      <c r="H36" s="81"/>
      <c r="I36" s="81"/>
      <c r="J36" s="81"/>
      <c r="K36" s="81"/>
      <c r="L36" s="81"/>
      <c r="M36" s="81"/>
      <c r="N36" s="81"/>
      <c r="O36" s="81"/>
    </row>
    <row r="37" spans="2:30">
      <c r="B37" s="790"/>
      <c r="C37" s="791"/>
      <c r="D37" s="719"/>
      <c r="E37" s="81"/>
      <c r="F37" s="81"/>
      <c r="G37" s="81"/>
      <c r="H37" s="81"/>
      <c r="I37" s="81"/>
      <c r="J37" s="81"/>
      <c r="K37" s="81"/>
      <c r="L37" s="81"/>
      <c r="M37" s="81"/>
      <c r="N37" s="81"/>
      <c r="O37" s="81"/>
    </row>
    <row r="38" spans="2:30">
      <c r="B38" s="790"/>
      <c r="C38" s="791"/>
      <c r="D38" s="719"/>
      <c r="E38" s="81"/>
      <c r="F38" s="81"/>
      <c r="G38" s="81"/>
      <c r="H38" s="81"/>
      <c r="I38" s="81"/>
      <c r="J38" s="81"/>
      <c r="K38" s="81"/>
      <c r="L38" s="81"/>
      <c r="M38" s="81"/>
      <c r="N38" s="81"/>
      <c r="O38" s="81"/>
    </row>
    <row r="39" spans="2:30">
      <c r="B39" s="790"/>
      <c r="C39" s="791"/>
      <c r="D39" s="719"/>
      <c r="E39" s="81"/>
      <c r="F39" s="81"/>
      <c r="G39" s="81"/>
      <c r="H39" s="81"/>
      <c r="I39" s="81"/>
      <c r="J39" s="81"/>
      <c r="K39" s="81"/>
      <c r="L39" s="81"/>
      <c r="M39" s="81"/>
      <c r="N39" s="81"/>
      <c r="O39" s="81"/>
    </row>
    <row r="40" spans="2:30">
      <c r="B40" s="790"/>
      <c r="C40" s="791"/>
      <c r="D40" s="719"/>
      <c r="E40" s="81"/>
      <c r="F40" s="81"/>
      <c r="G40" s="81"/>
      <c r="H40" s="81"/>
      <c r="I40" s="81"/>
      <c r="J40" s="81"/>
      <c r="K40" s="81"/>
      <c r="L40" s="81"/>
      <c r="M40" s="81"/>
      <c r="N40" s="81"/>
      <c r="O40" s="81"/>
    </row>
    <row r="41" spans="2:30">
      <c r="B41" s="790"/>
      <c r="C41" s="791"/>
      <c r="D41" s="719"/>
      <c r="E41" s="81"/>
      <c r="F41" s="81"/>
      <c r="G41" s="81"/>
      <c r="H41" s="81"/>
      <c r="I41" s="81"/>
      <c r="J41" s="81"/>
      <c r="K41" s="81"/>
      <c r="L41" s="81"/>
      <c r="M41" s="81"/>
      <c r="N41" s="81"/>
      <c r="O41" s="81"/>
    </row>
    <row r="42" spans="2:30">
      <c r="B42" s="790"/>
      <c r="C42" s="791"/>
      <c r="D42" s="719"/>
      <c r="E42" s="81"/>
      <c r="F42" s="81"/>
      <c r="G42" s="81"/>
      <c r="H42" s="81"/>
      <c r="I42" s="81"/>
      <c r="J42" s="81"/>
      <c r="K42" s="81"/>
      <c r="L42" s="81"/>
      <c r="M42" s="81"/>
      <c r="N42" s="81"/>
      <c r="O42" s="81"/>
    </row>
    <row r="43" spans="2:30">
      <c r="B43" s="790"/>
      <c r="C43" s="791"/>
      <c r="D43" s="719"/>
      <c r="E43" s="81"/>
      <c r="F43" s="81"/>
      <c r="G43" s="81"/>
      <c r="H43" s="81"/>
      <c r="I43" s="81"/>
      <c r="J43" s="81"/>
      <c r="K43" s="81"/>
      <c r="L43" s="81"/>
      <c r="M43" s="81"/>
      <c r="N43" s="81"/>
      <c r="O43" s="81"/>
    </row>
    <row r="44" spans="2:30">
      <c r="B44" s="790"/>
      <c r="C44" s="791"/>
      <c r="D44" s="719"/>
      <c r="E44" s="81"/>
      <c r="F44" s="81"/>
      <c r="G44" s="81"/>
      <c r="H44" s="81"/>
      <c r="I44" s="81"/>
      <c r="J44" s="81"/>
      <c r="K44" s="81"/>
      <c r="L44" s="81"/>
      <c r="M44" s="81"/>
      <c r="N44" s="81"/>
      <c r="O44" s="81"/>
    </row>
    <row r="45" spans="2:30">
      <c r="B45" s="1205" t="s">
        <v>183</v>
      </c>
      <c r="C45" s="1205"/>
      <c r="D45" s="1205"/>
      <c r="E45" s="1205"/>
      <c r="F45" s="1205"/>
      <c r="G45" s="1205"/>
      <c r="H45" s="1205"/>
      <c r="I45" s="1205"/>
      <c r="J45" s="1205"/>
      <c r="K45" s="1205"/>
      <c r="L45" s="1205"/>
      <c r="M45" s="1205"/>
      <c r="N45" s="1205"/>
      <c r="O45" s="1205"/>
      <c r="Q45" s="1" t="s">
        <v>563</v>
      </c>
    </row>
    <row r="46" spans="2:30" ht="36">
      <c r="B46" s="703" t="s">
        <v>0</v>
      </c>
      <c r="C46" s="716" t="s">
        <v>1093</v>
      </c>
      <c r="D46" s="716" t="s">
        <v>1094</v>
      </c>
      <c r="E46" s="716" t="s">
        <v>1092</v>
      </c>
      <c r="F46" s="20" t="s">
        <v>42</v>
      </c>
      <c r="G46" s="20" t="s">
        <v>43</v>
      </c>
      <c r="H46" s="18" t="s">
        <v>35</v>
      </c>
      <c r="I46" s="20" t="s">
        <v>36</v>
      </c>
      <c r="J46" s="20" t="s">
        <v>2</v>
      </c>
      <c r="K46" s="20" t="s">
        <v>3</v>
      </c>
      <c r="L46" s="20" t="s">
        <v>39</v>
      </c>
      <c r="M46" s="20" t="s">
        <v>38</v>
      </c>
      <c r="N46" s="20" t="s">
        <v>45</v>
      </c>
      <c r="O46" s="20" t="s">
        <v>44</v>
      </c>
      <c r="Q46" s="703" t="s">
        <v>0</v>
      </c>
      <c r="R46" s="919" t="s">
        <v>1367</v>
      </c>
      <c r="S46" s="919" t="s">
        <v>1368</v>
      </c>
      <c r="T46" s="919" t="s">
        <v>1092</v>
      </c>
      <c r="U46" s="20" t="s">
        <v>42</v>
      </c>
      <c r="V46" s="20" t="s">
        <v>43</v>
      </c>
      <c r="W46" s="18" t="s">
        <v>566</v>
      </c>
      <c r="X46" s="20" t="s">
        <v>567</v>
      </c>
      <c r="Y46" s="20" t="s">
        <v>2</v>
      </c>
      <c r="Z46" s="20" t="s">
        <v>3</v>
      </c>
      <c r="AA46" s="20" t="s">
        <v>568</v>
      </c>
      <c r="AB46" s="20" t="s">
        <v>569</v>
      </c>
      <c r="AC46" s="20" t="s">
        <v>570</v>
      </c>
      <c r="AD46" s="20" t="s">
        <v>571</v>
      </c>
    </row>
    <row r="47" spans="2:30" ht="36">
      <c r="B47" s="703" t="s">
        <v>14</v>
      </c>
      <c r="C47" s="20" t="s">
        <v>16</v>
      </c>
      <c r="D47" s="20" t="s">
        <v>17</v>
      </c>
      <c r="E47" s="20" t="s">
        <v>18</v>
      </c>
      <c r="F47" s="20" t="s">
        <v>19</v>
      </c>
      <c r="G47" s="20" t="s">
        <v>20</v>
      </c>
      <c r="H47" s="20" t="s">
        <v>30</v>
      </c>
      <c r="I47" s="20" t="s">
        <v>29</v>
      </c>
      <c r="J47" s="20" t="s">
        <v>21</v>
      </c>
      <c r="K47" s="20" t="s">
        <v>22</v>
      </c>
      <c r="L47" s="606" t="s">
        <v>608</v>
      </c>
      <c r="M47" s="606" t="s">
        <v>607</v>
      </c>
      <c r="N47" s="704" t="s">
        <v>25</v>
      </c>
      <c r="O47" s="20" t="s">
        <v>32</v>
      </c>
      <c r="Q47" s="703" t="s">
        <v>14</v>
      </c>
      <c r="R47" s="20" t="s">
        <v>16</v>
      </c>
      <c r="S47" s="20" t="s">
        <v>17</v>
      </c>
      <c r="T47" s="20" t="s">
        <v>18</v>
      </c>
      <c r="U47" s="20" t="s">
        <v>19</v>
      </c>
      <c r="V47" s="20" t="s">
        <v>20</v>
      </c>
      <c r="W47" s="20" t="s">
        <v>30</v>
      </c>
      <c r="X47" s="20" t="s">
        <v>29</v>
      </c>
      <c r="Y47" s="20" t="s">
        <v>21</v>
      </c>
      <c r="Z47" s="20" t="s">
        <v>22</v>
      </c>
      <c r="AA47" s="606" t="s">
        <v>608</v>
      </c>
      <c r="AB47" s="606" t="s">
        <v>607</v>
      </c>
      <c r="AC47" s="704" t="s">
        <v>25</v>
      </c>
      <c r="AD47" s="20" t="s">
        <v>32</v>
      </c>
    </row>
    <row r="48" spans="2:30">
      <c r="B48" s="700" t="s">
        <v>15</v>
      </c>
      <c r="C48" s="737" t="s">
        <v>1091</v>
      </c>
      <c r="D48" s="737" t="s">
        <v>1091</v>
      </c>
      <c r="E48" s="737" t="s">
        <v>172</v>
      </c>
      <c r="F48" s="5" t="s">
        <v>10</v>
      </c>
      <c r="G48" s="5" t="s">
        <v>10</v>
      </c>
      <c r="H48" s="5" t="s">
        <v>11</v>
      </c>
      <c r="I48" s="5" t="s">
        <v>11</v>
      </c>
      <c r="J48" s="5" t="s">
        <v>10</v>
      </c>
      <c r="K48" s="5" t="s">
        <v>10</v>
      </c>
      <c r="L48" s="5" t="s">
        <v>11</v>
      </c>
      <c r="M48" s="5" t="s">
        <v>11</v>
      </c>
      <c r="N48" s="5" t="s">
        <v>11</v>
      </c>
      <c r="O48" s="700" t="s">
        <v>31</v>
      </c>
      <c r="Q48" s="700" t="s">
        <v>15</v>
      </c>
      <c r="R48" s="737" t="s">
        <v>1091</v>
      </c>
      <c r="S48" s="737" t="s">
        <v>1091</v>
      </c>
      <c r="T48" s="737" t="s">
        <v>172</v>
      </c>
      <c r="U48" s="5" t="s">
        <v>10</v>
      </c>
      <c r="V48" s="5" t="s">
        <v>10</v>
      </c>
      <c r="W48" s="5" t="s">
        <v>11</v>
      </c>
      <c r="X48" s="5" t="s">
        <v>11</v>
      </c>
      <c r="Y48" s="5" t="s">
        <v>10</v>
      </c>
      <c r="Z48" s="5" t="s">
        <v>10</v>
      </c>
      <c r="AA48" s="5" t="s">
        <v>11</v>
      </c>
      <c r="AB48" s="5" t="s">
        <v>11</v>
      </c>
      <c r="AC48" s="5" t="s">
        <v>11</v>
      </c>
      <c r="AD48" s="700" t="s">
        <v>31</v>
      </c>
    </row>
    <row r="49" spans="2:30">
      <c r="B49" s="700">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700">
        <v>3</v>
      </c>
      <c r="C51" s="3"/>
      <c r="D51" s="3"/>
      <c r="E51" s="740">
        <f t="shared" ref="E51:E60" si="27">E50</f>
        <v>0</v>
      </c>
      <c r="F51" s="740">
        <v>0</v>
      </c>
      <c r="G51" s="741">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700">
        <v>3</v>
      </c>
      <c r="R51" s="3"/>
      <c r="S51" s="3"/>
      <c r="T51" s="740">
        <f t="shared" ref="T51:T60" si="28">T50</f>
        <v>0</v>
      </c>
      <c r="U51" s="740">
        <f t="shared" si="24"/>
        <v>0</v>
      </c>
      <c r="V51" s="903">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700">
        <v>4</v>
      </c>
      <c r="C52" s="3"/>
      <c r="D52" s="3"/>
      <c r="E52" s="740">
        <f t="shared" si="27"/>
        <v>0</v>
      </c>
      <c r="F52" s="740">
        <v>0</v>
      </c>
      <c r="G52" s="741">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700">
        <v>4</v>
      </c>
      <c r="R52" s="3"/>
      <c r="S52" s="3"/>
      <c r="T52" s="740">
        <f t="shared" si="28"/>
        <v>0</v>
      </c>
      <c r="U52" s="740">
        <f t="shared" si="24"/>
        <v>0</v>
      </c>
      <c r="V52" s="903">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700">
        <v>5</v>
      </c>
      <c r="C53" s="3"/>
      <c r="D53" s="3"/>
      <c r="E53" s="740">
        <f t="shared" si="27"/>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6"/>
        <v>0</v>
      </c>
      <c r="M53" s="7">
        <f t="shared" si="16"/>
        <v>0</v>
      </c>
      <c r="N53" s="13">
        <f t="shared" si="22"/>
        <v>0</v>
      </c>
      <c r="O53" s="12">
        <f t="shared" si="23"/>
        <v>0</v>
      </c>
      <c r="Q53" s="700">
        <v>5</v>
      </c>
      <c r="R53" s="3"/>
      <c r="S53" s="3"/>
      <c r="T53" s="740">
        <f t="shared" si="28"/>
        <v>0</v>
      </c>
      <c r="U53" s="903">
        <f t="shared" si="24"/>
        <v>7.3795180722891554E-2</v>
      </c>
      <c r="V53" s="903">
        <f t="shared" si="24"/>
        <v>6.1395348837209304E-2</v>
      </c>
      <c r="W53" s="738">
        <f t="shared" si="17"/>
        <v>0</v>
      </c>
      <c r="X53" s="738">
        <f t="shared" si="18"/>
        <v>0</v>
      </c>
      <c r="Y53" s="6">
        <f>温度条件他根拠!$C$61</f>
        <v>3.55</v>
      </c>
      <c r="Z53" s="6">
        <f>温度条件他根拠!$C$62</f>
        <v>3.95</v>
      </c>
      <c r="AA53" s="7">
        <f t="shared" si="19"/>
        <v>0</v>
      </c>
      <c r="AB53" s="7">
        <f t="shared" si="19"/>
        <v>0</v>
      </c>
      <c r="AC53" s="13">
        <f t="shared" si="25"/>
        <v>0</v>
      </c>
      <c r="AD53" s="12">
        <f t="shared" si="26"/>
        <v>0</v>
      </c>
    </row>
    <row r="54" spans="2:30">
      <c r="B54" s="700">
        <v>6</v>
      </c>
      <c r="C54" s="3"/>
      <c r="D54" s="3"/>
      <c r="E54" s="740">
        <f t="shared" si="27"/>
        <v>0</v>
      </c>
      <c r="F54" s="741">
        <f>0.7*(温度条件他根拠!$D$7-温度条件他根拠!$D$9)/(温度条件他根拠!$D$7-26)</f>
        <v>0.44545454545454538</v>
      </c>
      <c r="G54" s="740">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700">
        <v>6</v>
      </c>
      <c r="R54" s="3"/>
      <c r="S54" s="3"/>
      <c r="T54" s="740">
        <f t="shared" si="28"/>
        <v>0</v>
      </c>
      <c r="U54" s="903">
        <f t="shared" si="24"/>
        <v>0.44545454545454538</v>
      </c>
      <c r="V54" s="740">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700">
        <v>7</v>
      </c>
      <c r="C55" s="3"/>
      <c r="D55" s="3"/>
      <c r="E55" s="740">
        <f t="shared" si="27"/>
        <v>0</v>
      </c>
      <c r="F55" s="741">
        <f>0.7*(温度条件他根拠!$D$7-温度条件他根拠!$D$9)/(温度条件他根拠!$D$7-28)</f>
        <v>0.7</v>
      </c>
      <c r="G55" s="740">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700">
        <v>7</v>
      </c>
      <c r="R55" s="3"/>
      <c r="S55" s="3"/>
      <c r="T55" s="740">
        <f t="shared" si="28"/>
        <v>0</v>
      </c>
      <c r="U55" s="903">
        <f t="shared" si="24"/>
        <v>0.7</v>
      </c>
      <c r="V55" s="740">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700">
        <v>8</v>
      </c>
      <c r="C56" s="738">
        <f>L32</f>
        <v>0</v>
      </c>
      <c r="D56" s="3"/>
      <c r="E56" s="740">
        <f t="shared" si="27"/>
        <v>0</v>
      </c>
      <c r="F56" s="741">
        <f>0.7*(温度条件他根拠!$D$7-温度条件他根拠!$D$9)/(温度条件他根拠!$D$7-28)</f>
        <v>0.7</v>
      </c>
      <c r="G56" s="740">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700">
        <v>8</v>
      </c>
      <c r="R56" s="738">
        <f>L14</f>
        <v>0</v>
      </c>
      <c r="S56" s="3"/>
      <c r="T56" s="740">
        <f t="shared" si="28"/>
        <v>0</v>
      </c>
      <c r="U56" s="903">
        <f t="shared" si="24"/>
        <v>0.7</v>
      </c>
      <c r="V56" s="740">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700">
        <v>9</v>
      </c>
      <c r="C57" s="3"/>
      <c r="D57" s="3"/>
      <c r="E57" s="740">
        <f t="shared" si="27"/>
        <v>0</v>
      </c>
      <c r="F57" s="741">
        <f>0.7*(温度条件他根拠!$D$7-温度条件他根拠!$D$9)/(温度条件他根拠!$D$7-27.1)</f>
        <v>0.55681818181818199</v>
      </c>
      <c r="G57" s="740">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700">
        <v>9</v>
      </c>
      <c r="R57" s="3"/>
      <c r="S57" s="3"/>
      <c r="T57" s="740">
        <f t="shared" si="28"/>
        <v>0</v>
      </c>
      <c r="U57" s="903">
        <f t="shared" si="24"/>
        <v>0.55681818181818199</v>
      </c>
      <c r="V57" s="740">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700">
        <v>10</v>
      </c>
      <c r="C58" s="3"/>
      <c r="D58" s="3"/>
      <c r="E58" s="740">
        <f t="shared" si="27"/>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6"/>
        <v>0</v>
      </c>
      <c r="M58" s="7">
        <f t="shared" si="16"/>
        <v>0</v>
      </c>
      <c r="N58" s="13">
        <f t="shared" si="22"/>
        <v>0</v>
      </c>
      <c r="O58" s="12">
        <f t="shared" si="23"/>
        <v>0</v>
      </c>
      <c r="Q58" s="700">
        <v>10</v>
      </c>
      <c r="R58" s="3"/>
      <c r="S58" s="3"/>
      <c r="T58" s="740">
        <f t="shared" si="28"/>
        <v>0</v>
      </c>
      <c r="U58" s="903">
        <f t="shared" si="24"/>
        <v>6.1868686868686872E-2</v>
      </c>
      <c r="V58" s="903">
        <f t="shared" si="24"/>
        <v>6.6976744186046502E-2</v>
      </c>
      <c r="W58" s="738">
        <f t="shared" si="17"/>
        <v>0</v>
      </c>
      <c r="X58" s="738">
        <f t="shared" si="18"/>
        <v>0</v>
      </c>
      <c r="Y58" s="6">
        <f>温度条件他根拠!$C$61</f>
        <v>3.55</v>
      </c>
      <c r="Z58" s="6">
        <f>温度条件他根拠!$C$62</f>
        <v>3.95</v>
      </c>
      <c r="AA58" s="7">
        <f t="shared" si="19"/>
        <v>0</v>
      </c>
      <c r="AB58" s="7">
        <f t="shared" si="19"/>
        <v>0</v>
      </c>
      <c r="AC58" s="13">
        <f t="shared" si="25"/>
        <v>0</v>
      </c>
      <c r="AD58" s="12">
        <f t="shared" si="26"/>
        <v>0</v>
      </c>
    </row>
    <row r="59" spans="2:30">
      <c r="B59" s="700">
        <v>11</v>
      </c>
      <c r="C59" s="3"/>
      <c r="D59" s="3"/>
      <c r="E59" s="740">
        <f t="shared" si="27"/>
        <v>0</v>
      </c>
      <c r="F59" s="740">
        <v>0</v>
      </c>
      <c r="G59" s="741">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700">
        <v>11</v>
      </c>
      <c r="R59" s="3"/>
      <c r="S59" s="3"/>
      <c r="T59" s="740">
        <f t="shared" si="28"/>
        <v>0</v>
      </c>
      <c r="U59" s="740">
        <f t="shared" si="24"/>
        <v>0</v>
      </c>
      <c r="V59" s="903">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700">
        <v>12</v>
      </c>
      <c r="C60" s="3"/>
      <c r="D60" s="3"/>
      <c r="E60" s="740">
        <f t="shared" si="27"/>
        <v>0</v>
      </c>
      <c r="F60" s="740">
        <v>0</v>
      </c>
      <c r="G60" s="741">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700">
        <v>12</v>
      </c>
      <c r="R60" s="3"/>
      <c r="S60" s="3"/>
      <c r="T60" s="740">
        <f t="shared" si="28"/>
        <v>0</v>
      </c>
      <c r="U60" s="740">
        <f t="shared" si="24"/>
        <v>0</v>
      </c>
      <c r="V60" s="903">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0">
    <mergeCell ref="P16:P23"/>
    <mergeCell ref="B4:C5"/>
    <mergeCell ref="D4:F4"/>
    <mergeCell ref="G4:G5"/>
    <mergeCell ref="B6:B14"/>
    <mergeCell ref="J3:J5"/>
    <mergeCell ref="K3:K5"/>
    <mergeCell ref="L3:L5"/>
    <mergeCell ref="N3:N5"/>
    <mergeCell ref="O3:O5"/>
    <mergeCell ref="P3:P5"/>
    <mergeCell ref="B45:O45"/>
    <mergeCell ref="B15:B23"/>
    <mergeCell ref="B24:B33"/>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topLeftCell="F1"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623" t="str">
        <f ca="1">RIGHT(CELL("filename",D1),LEN(CELL("filename",D1))-FIND("]",CELL("filename",D1)))</f>
        <v>さいたま市窓遮熱</v>
      </c>
      <c r="E1" s="81"/>
      <c r="F1" s="81"/>
      <c r="G1" s="81"/>
      <c r="H1" s="81"/>
      <c r="I1" s="81"/>
      <c r="J1" s="81"/>
      <c r="K1" s="81"/>
      <c r="L1" s="81"/>
      <c r="M1" s="81"/>
      <c r="N1" s="81"/>
      <c r="O1" s="81"/>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結果!H54</f>
        <v>0</v>
      </c>
      <c r="E6" s="784">
        <f>結果!J54</f>
        <v>0</v>
      </c>
      <c r="F6" s="784">
        <f>結果!L54</f>
        <v>0</v>
      </c>
      <c r="G6" s="785">
        <f>結果!Q54</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結果!H55</f>
        <v>0</v>
      </c>
      <c r="E7" s="749">
        <f>結果!J55</f>
        <v>0</v>
      </c>
      <c r="F7" s="749">
        <f>結果!L55</f>
        <v>0</v>
      </c>
      <c r="G7" s="781">
        <f>結果!Q55</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結果!H56</f>
        <v>0</v>
      </c>
      <c r="E8" s="749">
        <f>結果!J56</f>
        <v>0</v>
      </c>
      <c r="F8" s="749">
        <f>結果!L56</f>
        <v>0</v>
      </c>
      <c r="G8" s="781">
        <f>結果!Q56</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結果!H57</f>
        <v>0</v>
      </c>
      <c r="E9" s="749">
        <f>結果!J57</f>
        <v>0</v>
      </c>
      <c r="F9" s="749">
        <f>結果!L57</f>
        <v>0</v>
      </c>
      <c r="G9" s="781">
        <f>結果!Q57</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結果!H58</f>
        <v>0</v>
      </c>
      <c r="E10" s="749">
        <f>結果!J58</f>
        <v>0</v>
      </c>
      <c r="F10" s="749">
        <f>結果!L58</f>
        <v>0</v>
      </c>
      <c r="G10" s="781">
        <f>結果!Q58</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結果!H59</f>
        <v>0</v>
      </c>
      <c r="E11" s="749">
        <f>結果!J59</f>
        <v>0</v>
      </c>
      <c r="F11" s="749">
        <f>結果!L59</f>
        <v>0</v>
      </c>
      <c r="G11" s="781">
        <f>結果!Q59</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結果!H60</f>
        <v>0</v>
      </c>
      <c r="E12" s="749">
        <f>結果!J60</f>
        <v>0</v>
      </c>
      <c r="F12" s="749">
        <f>結果!L60</f>
        <v>0</v>
      </c>
      <c r="G12" s="781">
        <f>結果!Q60</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thickBot="1">
      <c r="B13" s="2282"/>
      <c r="C13" s="780" t="s">
        <v>1378</v>
      </c>
      <c r="D13" s="749">
        <f>結果!H61</f>
        <v>0</v>
      </c>
      <c r="E13" s="749">
        <f>結果!J61</f>
        <v>0</v>
      </c>
      <c r="F13" s="749">
        <f>結果!L61</f>
        <v>0</v>
      </c>
      <c r="G13" s="781">
        <f>結果!Q61</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ht="13" customHeight="1">
      <c r="B16" s="2282"/>
      <c r="C16" s="748" t="str">
        <f t="shared" ref="C16:C32" si="4">C7</f>
        <v>北東</v>
      </c>
      <c r="D16" s="749">
        <f>結果!H95</f>
        <v>0</v>
      </c>
      <c r="E16" s="749">
        <f>結果!J95</f>
        <v>0</v>
      </c>
      <c r="F16" s="749">
        <f>結果!L95</f>
        <v>0</v>
      </c>
      <c r="G16" s="750">
        <f>結果!Q95</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結果!H96</f>
        <v>0</v>
      </c>
      <c r="E17" s="749">
        <f>結果!J96</f>
        <v>0</v>
      </c>
      <c r="F17" s="749">
        <f>結果!L96</f>
        <v>0</v>
      </c>
      <c r="G17" s="750">
        <f>結果!Q96</f>
        <v>0</v>
      </c>
      <c r="H17" s="912"/>
      <c r="I17" s="912"/>
      <c r="J17" s="2264"/>
      <c r="K17" s="2264"/>
      <c r="L17" s="2264"/>
      <c r="M17" s="798"/>
      <c r="N17" s="2264"/>
      <c r="O17" s="2264"/>
      <c r="P17" s="2264"/>
    </row>
    <row r="18" spans="2:16">
      <c r="B18" s="2282"/>
      <c r="C18" s="748" t="str">
        <f t="shared" si="4"/>
        <v>南東</v>
      </c>
      <c r="D18" s="749">
        <f>結果!H97</f>
        <v>0</v>
      </c>
      <c r="E18" s="749">
        <f>結果!J97</f>
        <v>0</v>
      </c>
      <c r="F18" s="749">
        <f>結果!L97</f>
        <v>0</v>
      </c>
      <c r="G18" s="750">
        <f>結果!Q97</f>
        <v>0</v>
      </c>
      <c r="H18" s="912"/>
      <c r="I18" s="912"/>
      <c r="J18" s="2264"/>
      <c r="K18" s="2264"/>
      <c r="L18" s="2264"/>
      <c r="M18" s="798"/>
      <c r="N18" s="2264"/>
      <c r="O18" s="2264"/>
      <c r="P18" s="2264"/>
    </row>
    <row r="19" spans="2:16">
      <c r="B19" s="2282"/>
      <c r="C19" s="748" t="str">
        <f t="shared" si="4"/>
        <v>南</v>
      </c>
      <c r="D19" s="749">
        <f>結果!H98</f>
        <v>0</v>
      </c>
      <c r="E19" s="749">
        <f>結果!J98</f>
        <v>0</v>
      </c>
      <c r="F19" s="749">
        <f>結果!L98</f>
        <v>0</v>
      </c>
      <c r="G19" s="750">
        <f>結果!Q98</f>
        <v>0</v>
      </c>
      <c r="H19" s="912"/>
      <c r="I19" s="912"/>
      <c r="J19" s="2264"/>
      <c r="K19" s="2264"/>
      <c r="L19" s="2264"/>
      <c r="M19" s="798"/>
      <c r="N19" s="2264"/>
      <c r="O19" s="2264"/>
      <c r="P19" s="2264"/>
    </row>
    <row r="20" spans="2:16">
      <c r="B20" s="2282"/>
      <c r="C20" s="748" t="str">
        <f t="shared" si="4"/>
        <v>南西</v>
      </c>
      <c r="D20" s="749">
        <f>結果!H99</f>
        <v>0</v>
      </c>
      <c r="E20" s="749">
        <f>結果!J99</f>
        <v>0</v>
      </c>
      <c r="F20" s="749">
        <f>結果!L99</f>
        <v>0</v>
      </c>
      <c r="G20" s="750">
        <f>結果!Q99</f>
        <v>0</v>
      </c>
      <c r="H20" s="912"/>
      <c r="I20" s="912"/>
      <c r="J20" s="2264"/>
      <c r="K20" s="2264"/>
      <c r="L20" s="2264"/>
      <c r="M20" s="798"/>
      <c r="N20" s="2264"/>
      <c r="O20" s="2264"/>
      <c r="P20" s="2264"/>
    </row>
    <row r="21" spans="2:16">
      <c r="B21" s="2282"/>
      <c r="C21" s="748" t="str">
        <f t="shared" si="4"/>
        <v>西</v>
      </c>
      <c r="D21" s="749">
        <f>結果!H100</f>
        <v>0</v>
      </c>
      <c r="E21" s="749">
        <f>結果!J100</f>
        <v>0</v>
      </c>
      <c r="F21" s="749">
        <f>結果!L100</f>
        <v>0</v>
      </c>
      <c r="G21" s="750">
        <f>結果!Q100</f>
        <v>0</v>
      </c>
      <c r="H21" s="912"/>
      <c r="I21" s="912"/>
      <c r="J21" s="2264"/>
      <c r="K21" s="2264"/>
      <c r="L21" s="2264"/>
      <c r="M21" s="798"/>
      <c r="N21" s="2264"/>
      <c r="O21" s="2264"/>
      <c r="P21" s="2264"/>
    </row>
    <row r="22" spans="2:16" ht="13.5" thickBot="1">
      <c r="B22" s="2282"/>
      <c r="C22" s="751" t="str">
        <f t="shared" si="4"/>
        <v>北西</v>
      </c>
      <c r="D22" s="749">
        <f>結果!H101</f>
        <v>0</v>
      </c>
      <c r="E22" s="749">
        <f>結果!J101</f>
        <v>0</v>
      </c>
      <c r="F22" s="749">
        <f>結果!L101</f>
        <v>0</v>
      </c>
      <c r="G22" s="750">
        <f>結果!Q101</f>
        <v>0</v>
      </c>
      <c r="H22" s="912"/>
      <c r="I22" s="912"/>
      <c r="J22" s="2291"/>
      <c r="K22" s="2264"/>
      <c r="L22" s="2264"/>
      <c r="M22" s="798"/>
      <c r="N22" s="2264"/>
      <c r="O22" s="2264"/>
      <c r="P22" s="2264"/>
    </row>
    <row r="23" spans="2:16" ht="13.5"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4"/>
      <c r="C34" s="794"/>
      <c r="D34" s="794"/>
      <c r="E34" s="794"/>
      <c r="F34" s="794"/>
      <c r="G34" s="794"/>
      <c r="H34" s="794"/>
      <c r="I34" s="794"/>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2287" t="s">
        <v>183</v>
      </c>
      <c r="C45" s="2287"/>
      <c r="D45" s="2287"/>
      <c r="E45" s="2287"/>
      <c r="F45" s="2287"/>
      <c r="G45" s="2287"/>
      <c r="H45" s="2287"/>
      <c r="I45" s="2287"/>
      <c r="J45" s="2287"/>
      <c r="K45" s="2287"/>
      <c r="L45" s="2287"/>
      <c r="M45" s="2287"/>
      <c r="N45" s="2287"/>
      <c r="O45" s="2287"/>
      <c r="Q45" s="1" t="s">
        <v>563</v>
      </c>
    </row>
    <row r="46" spans="2:30" ht="36">
      <c r="B46" s="604" t="s">
        <v>0</v>
      </c>
      <c r="C46" s="716" t="s">
        <v>1093</v>
      </c>
      <c r="D46" s="716" t="s">
        <v>1094</v>
      </c>
      <c r="E46" s="716" t="s">
        <v>1092</v>
      </c>
      <c r="F46" s="20" t="s">
        <v>42</v>
      </c>
      <c r="G46" s="20" t="s">
        <v>43</v>
      </c>
      <c r="H46" s="18" t="s">
        <v>35</v>
      </c>
      <c r="I46" s="20" t="s">
        <v>36</v>
      </c>
      <c r="J46" s="20" t="s">
        <v>2</v>
      </c>
      <c r="K46" s="20" t="s">
        <v>3</v>
      </c>
      <c r="L46" s="20" t="s">
        <v>39</v>
      </c>
      <c r="M46" s="20" t="s">
        <v>38</v>
      </c>
      <c r="N46" s="20" t="s">
        <v>45</v>
      </c>
      <c r="O46" s="20" t="s">
        <v>44</v>
      </c>
      <c r="Q46" s="604" t="s">
        <v>0</v>
      </c>
      <c r="R46" s="919" t="s">
        <v>1367</v>
      </c>
      <c r="S46" s="919" t="s">
        <v>1368</v>
      </c>
      <c r="T46" s="919" t="s">
        <v>1092</v>
      </c>
      <c r="U46" s="20" t="s">
        <v>42</v>
      </c>
      <c r="V46" s="20" t="s">
        <v>43</v>
      </c>
      <c r="W46" s="18" t="s">
        <v>566</v>
      </c>
      <c r="X46" s="20" t="s">
        <v>567</v>
      </c>
      <c r="Y46" s="20" t="s">
        <v>2</v>
      </c>
      <c r="Z46" s="20" t="s">
        <v>3</v>
      </c>
      <c r="AA46" s="20" t="s">
        <v>568</v>
      </c>
      <c r="AB46" s="20" t="s">
        <v>569</v>
      </c>
      <c r="AC46" s="20" t="s">
        <v>570</v>
      </c>
      <c r="AD46" s="20" t="s">
        <v>571</v>
      </c>
    </row>
    <row r="47" spans="2:30" ht="36">
      <c r="B47" s="604" t="s">
        <v>14</v>
      </c>
      <c r="C47" s="20" t="s">
        <v>16</v>
      </c>
      <c r="D47" s="20" t="s">
        <v>17</v>
      </c>
      <c r="E47" s="622" t="s">
        <v>18</v>
      </c>
      <c r="F47" s="20" t="s">
        <v>19</v>
      </c>
      <c r="G47" s="20" t="s">
        <v>20</v>
      </c>
      <c r="H47" s="20" t="s">
        <v>30</v>
      </c>
      <c r="I47" s="20" t="s">
        <v>29</v>
      </c>
      <c r="J47" s="20" t="s">
        <v>21</v>
      </c>
      <c r="K47" s="20" t="s">
        <v>22</v>
      </c>
      <c r="L47" s="606" t="s">
        <v>608</v>
      </c>
      <c r="M47" s="606" t="s">
        <v>607</v>
      </c>
      <c r="N47" s="605" t="s">
        <v>25</v>
      </c>
      <c r="O47" s="20" t="s">
        <v>32</v>
      </c>
      <c r="Q47" s="604" t="s">
        <v>14</v>
      </c>
      <c r="R47" s="20" t="s">
        <v>16</v>
      </c>
      <c r="S47" s="20" t="s">
        <v>17</v>
      </c>
      <c r="T47" s="622" t="s">
        <v>18</v>
      </c>
      <c r="U47" s="20" t="s">
        <v>19</v>
      </c>
      <c r="V47" s="20" t="s">
        <v>20</v>
      </c>
      <c r="W47" s="20" t="s">
        <v>30</v>
      </c>
      <c r="X47" s="20" t="s">
        <v>29</v>
      </c>
      <c r="Y47" s="20" t="s">
        <v>21</v>
      </c>
      <c r="Z47" s="20" t="s">
        <v>22</v>
      </c>
      <c r="AA47" s="606" t="s">
        <v>608</v>
      </c>
      <c r="AB47" s="606" t="s">
        <v>607</v>
      </c>
      <c r="AC47" s="605" t="s">
        <v>25</v>
      </c>
      <c r="AD47" s="20" t="s">
        <v>32</v>
      </c>
    </row>
    <row r="48" spans="2:30">
      <c r="B48" s="602" t="s">
        <v>15</v>
      </c>
      <c r="C48" s="737" t="s">
        <v>1091</v>
      </c>
      <c r="D48" s="737" t="s">
        <v>1091</v>
      </c>
      <c r="E48" s="737" t="s">
        <v>172</v>
      </c>
      <c r="F48" s="5" t="s">
        <v>10</v>
      </c>
      <c r="G48" s="5" t="s">
        <v>10</v>
      </c>
      <c r="H48" s="5" t="s">
        <v>11</v>
      </c>
      <c r="I48" s="5" t="s">
        <v>11</v>
      </c>
      <c r="J48" s="5" t="s">
        <v>10</v>
      </c>
      <c r="K48" s="5" t="s">
        <v>10</v>
      </c>
      <c r="L48" s="5" t="s">
        <v>11</v>
      </c>
      <c r="M48" s="5" t="s">
        <v>11</v>
      </c>
      <c r="N48" s="5" t="s">
        <v>11</v>
      </c>
      <c r="O48" s="602" t="s">
        <v>31</v>
      </c>
      <c r="Q48" s="602" t="s">
        <v>15</v>
      </c>
      <c r="R48" s="737" t="s">
        <v>1091</v>
      </c>
      <c r="S48" s="737" t="s">
        <v>1091</v>
      </c>
      <c r="T48" s="737" t="s">
        <v>172</v>
      </c>
      <c r="U48" s="5" t="s">
        <v>10</v>
      </c>
      <c r="V48" s="5" t="s">
        <v>10</v>
      </c>
      <c r="W48" s="5" t="s">
        <v>11</v>
      </c>
      <c r="X48" s="5" t="s">
        <v>11</v>
      </c>
      <c r="Y48" s="5" t="s">
        <v>10</v>
      </c>
      <c r="Z48" s="5" t="s">
        <v>10</v>
      </c>
      <c r="AA48" s="5" t="s">
        <v>11</v>
      </c>
      <c r="AB48" s="5" t="s">
        <v>11</v>
      </c>
      <c r="AC48" s="5" t="s">
        <v>11</v>
      </c>
      <c r="AD48" s="602" t="s">
        <v>31</v>
      </c>
    </row>
    <row r="49" spans="2:30">
      <c r="B49" s="602">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899">
        <f>F49</f>
        <v>0</v>
      </c>
      <c r="V49" s="900">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02">
        <v>2</v>
      </c>
      <c r="C50" s="3"/>
      <c r="D50" s="3"/>
      <c r="E50" s="740">
        <f>E49</f>
        <v>0</v>
      </c>
      <c r="F50" s="740">
        <v>0</v>
      </c>
      <c r="G50" s="741">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02">
        <v>2</v>
      </c>
      <c r="R50" s="3"/>
      <c r="S50" s="3"/>
      <c r="T50" s="740">
        <f>T49</f>
        <v>0</v>
      </c>
      <c r="U50" s="899">
        <f t="shared" ref="U50:V60" si="21">F50</f>
        <v>0</v>
      </c>
      <c r="V50" s="900">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02">
        <v>3</v>
      </c>
      <c r="C51" s="3"/>
      <c r="D51" s="3"/>
      <c r="E51" s="740">
        <f t="shared" ref="E51:E60" si="24">E50</f>
        <v>0</v>
      </c>
      <c r="F51" s="740">
        <v>0</v>
      </c>
      <c r="G51" s="741">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02">
        <v>3</v>
      </c>
      <c r="R51" s="3"/>
      <c r="S51" s="3"/>
      <c r="T51" s="740">
        <f t="shared" ref="T51:T60" si="25">T50</f>
        <v>0</v>
      </c>
      <c r="U51" s="899">
        <f t="shared" si="21"/>
        <v>0</v>
      </c>
      <c r="V51" s="900">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02">
        <v>4</v>
      </c>
      <c r="C52" s="3"/>
      <c r="D52" s="3"/>
      <c r="E52" s="740">
        <f t="shared" si="24"/>
        <v>0</v>
      </c>
      <c r="F52" s="740">
        <v>0</v>
      </c>
      <c r="G52" s="741">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02">
        <v>4</v>
      </c>
      <c r="R52" s="3"/>
      <c r="S52" s="3"/>
      <c r="T52" s="740">
        <f t="shared" si="25"/>
        <v>0</v>
      </c>
      <c r="U52" s="899">
        <f t="shared" si="21"/>
        <v>0</v>
      </c>
      <c r="V52" s="900">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02">
        <v>5</v>
      </c>
      <c r="C53" s="3"/>
      <c r="D53" s="3"/>
      <c r="E53" s="740">
        <f t="shared" si="24"/>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3"/>
        <v>0</v>
      </c>
      <c r="M53" s="7">
        <f t="shared" si="13"/>
        <v>0</v>
      </c>
      <c r="N53" s="13">
        <f t="shared" si="19"/>
        <v>0</v>
      </c>
      <c r="O53" s="12">
        <f t="shared" si="20"/>
        <v>0</v>
      </c>
      <c r="Q53" s="602">
        <v>5</v>
      </c>
      <c r="R53" s="3"/>
      <c r="S53" s="3"/>
      <c r="T53" s="740">
        <f t="shared" si="25"/>
        <v>0</v>
      </c>
      <c r="U53" s="900">
        <f t="shared" si="21"/>
        <v>7.3795180722891554E-2</v>
      </c>
      <c r="V53" s="900">
        <f t="shared" si="21"/>
        <v>6.1395348837209304E-2</v>
      </c>
      <c r="W53" s="738">
        <f t="shared" si="14"/>
        <v>0</v>
      </c>
      <c r="X53" s="738">
        <f t="shared" si="15"/>
        <v>0</v>
      </c>
      <c r="Y53" s="6">
        <f>温度条件他根拠!$C$61</f>
        <v>3.55</v>
      </c>
      <c r="Z53" s="6">
        <f>温度条件他根拠!$C$62</f>
        <v>3.95</v>
      </c>
      <c r="AA53" s="7">
        <f t="shared" si="16"/>
        <v>0</v>
      </c>
      <c r="AB53" s="7">
        <f t="shared" si="16"/>
        <v>0</v>
      </c>
      <c r="AC53" s="13">
        <f t="shared" si="22"/>
        <v>0</v>
      </c>
      <c r="AD53" s="12">
        <f t="shared" si="23"/>
        <v>0</v>
      </c>
    </row>
    <row r="54" spans="2:30">
      <c r="B54" s="602">
        <v>6</v>
      </c>
      <c r="C54" s="3"/>
      <c r="D54" s="3"/>
      <c r="E54" s="740">
        <f t="shared" si="24"/>
        <v>0</v>
      </c>
      <c r="F54" s="741">
        <f>0.7*(温度条件他根拠!$D$7-温度条件他根拠!$D$9)/(温度条件他根拠!$D$7-26)</f>
        <v>0.44545454545454538</v>
      </c>
      <c r="G54" s="740">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02">
        <v>6</v>
      </c>
      <c r="R54" s="3"/>
      <c r="S54" s="3"/>
      <c r="T54" s="740">
        <f t="shared" si="25"/>
        <v>0</v>
      </c>
      <c r="U54" s="900">
        <f t="shared" si="21"/>
        <v>0.44545454545454538</v>
      </c>
      <c r="V54" s="899">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02">
        <v>7</v>
      </c>
      <c r="C55" s="3"/>
      <c r="D55" s="3"/>
      <c r="E55" s="740">
        <f t="shared" si="24"/>
        <v>0</v>
      </c>
      <c r="F55" s="741">
        <f>0.7*(温度条件他根拠!$D$7-温度条件他根拠!$D$9)/(温度条件他根拠!$D$7-28)</f>
        <v>0.7</v>
      </c>
      <c r="G55" s="740">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02">
        <v>7</v>
      </c>
      <c r="R55" s="3"/>
      <c r="S55" s="3"/>
      <c r="T55" s="740">
        <f t="shared" si="25"/>
        <v>0</v>
      </c>
      <c r="U55" s="900">
        <f t="shared" si="21"/>
        <v>0.7</v>
      </c>
      <c r="V55" s="899">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02">
        <v>8</v>
      </c>
      <c r="C56" s="738">
        <f>L32</f>
        <v>0</v>
      </c>
      <c r="D56" s="3"/>
      <c r="E56" s="740">
        <f t="shared" si="24"/>
        <v>0</v>
      </c>
      <c r="F56" s="741">
        <f>0.7*(温度条件他根拠!$D$7-温度条件他根拠!$D$9)/(温度条件他根拠!$D$7-28)</f>
        <v>0.7</v>
      </c>
      <c r="G56" s="740">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02">
        <v>8</v>
      </c>
      <c r="R56" s="738">
        <f>L14</f>
        <v>0</v>
      </c>
      <c r="S56" s="3"/>
      <c r="T56" s="740">
        <f t="shared" si="25"/>
        <v>0</v>
      </c>
      <c r="U56" s="900">
        <f t="shared" si="21"/>
        <v>0.7</v>
      </c>
      <c r="V56" s="899">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02">
        <v>9</v>
      </c>
      <c r="C57" s="3"/>
      <c r="D57" s="3"/>
      <c r="E57" s="740">
        <f t="shared" si="24"/>
        <v>0</v>
      </c>
      <c r="F57" s="741">
        <f>0.7*(温度条件他根拠!$D$7-温度条件他根拠!$D$9)/(温度条件他根拠!$D$7-27.1)</f>
        <v>0.55681818181818199</v>
      </c>
      <c r="G57" s="740">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02">
        <v>9</v>
      </c>
      <c r="R57" s="3"/>
      <c r="S57" s="3"/>
      <c r="T57" s="740">
        <f t="shared" si="25"/>
        <v>0</v>
      </c>
      <c r="U57" s="900">
        <f t="shared" si="21"/>
        <v>0.55681818181818199</v>
      </c>
      <c r="V57" s="899">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02">
        <v>10</v>
      </c>
      <c r="C58" s="3"/>
      <c r="D58" s="3"/>
      <c r="E58" s="740">
        <f t="shared" si="24"/>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3"/>
        <v>0</v>
      </c>
      <c r="M58" s="7">
        <f t="shared" si="13"/>
        <v>0</v>
      </c>
      <c r="N58" s="13">
        <f t="shared" si="19"/>
        <v>0</v>
      </c>
      <c r="O58" s="12">
        <f t="shared" si="20"/>
        <v>0</v>
      </c>
      <c r="Q58" s="602">
        <v>10</v>
      </c>
      <c r="R58" s="3"/>
      <c r="S58" s="3"/>
      <c r="T58" s="740">
        <f t="shared" si="25"/>
        <v>0</v>
      </c>
      <c r="U58" s="900">
        <f t="shared" si="21"/>
        <v>6.1868686868686872E-2</v>
      </c>
      <c r="V58" s="900">
        <f t="shared" si="21"/>
        <v>6.6976744186046502E-2</v>
      </c>
      <c r="W58" s="738">
        <f t="shared" si="14"/>
        <v>0</v>
      </c>
      <c r="X58" s="738">
        <f t="shared" si="15"/>
        <v>0</v>
      </c>
      <c r="Y58" s="6">
        <f>温度条件他根拠!$C$61</f>
        <v>3.55</v>
      </c>
      <c r="Z58" s="6">
        <f>温度条件他根拠!$C$62</f>
        <v>3.95</v>
      </c>
      <c r="AA58" s="7">
        <f t="shared" si="16"/>
        <v>0</v>
      </c>
      <c r="AB58" s="7">
        <f t="shared" si="16"/>
        <v>0</v>
      </c>
      <c r="AC58" s="13">
        <f t="shared" si="22"/>
        <v>0</v>
      </c>
      <c r="AD58" s="12">
        <f t="shared" si="23"/>
        <v>0</v>
      </c>
    </row>
    <row r="59" spans="2:30">
      <c r="B59" s="602">
        <v>11</v>
      </c>
      <c r="C59" s="3"/>
      <c r="D59" s="3"/>
      <c r="E59" s="740">
        <f t="shared" si="24"/>
        <v>0</v>
      </c>
      <c r="F59" s="740">
        <v>0</v>
      </c>
      <c r="G59" s="741">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02">
        <v>11</v>
      </c>
      <c r="R59" s="3"/>
      <c r="S59" s="3"/>
      <c r="T59" s="740">
        <f t="shared" si="25"/>
        <v>0</v>
      </c>
      <c r="U59" s="899">
        <f t="shared" si="21"/>
        <v>0</v>
      </c>
      <c r="V59" s="900">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02">
        <v>12</v>
      </c>
      <c r="C60" s="3"/>
      <c r="D60" s="3"/>
      <c r="E60" s="740">
        <f t="shared" si="24"/>
        <v>0</v>
      </c>
      <c r="F60" s="740">
        <v>0</v>
      </c>
      <c r="G60" s="741">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02">
        <v>12</v>
      </c>
      <c r="R60" s="3"/>
      <c r="S60" s="3"/>
      <c r="T60" s="740">
        <f t="shared" si="25"/>
        <v>0</v>
      </c>
      <c r="U60" s="899">
        <f t="shared" si="21"/>
        <v>0</v>
      </c>
      <c r="V60" s="900">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02">
        <f>T64-E64</f>
        <v>0</v>
      </c>
      <c r="AC64" s="11" t="s">
        <v>7</v>
      </c>
    </row>
    <row r="85" spans="2:3">
      <c r="B85" s="1" t="s">
        <v>1055</v>
      </c>
    </row>
    <row r="86" spans="2:3">
      <c r="B86" s="609">
        <v>43927</v>
      </c>
      <c r="C86" s="802" t="s">
        <v>851</v>
      </c>
    </row>
    <row r="87" spans="2:3">
      <c r="B87" s="609">
        <v>43927</v>
      </c>
      <c r="C87" s="608" t="s">
        <v>852</v>
      </c>
    </row>
    <row r="88" spans="2:3">
      <c r="B88" s="609">
        <v>44634</v>
      </c>
      <c r="C88" s="608" t="s">
        <v>1095</v>
      </c>
    </row>
    <row r="89" spans="2:3">
      <c r="C89" s="608" t="s">
        <v>1096</v>
      </c>
    </row>
    <row r="90" spans="2:3">
      <c r="C90" s="1" t="s">
        <v>1097</v>
      </c>
    </row>
    <row r="91" spans="2:3">
      <c r="C91" s="1" t="s">
        <v>1109</v>
      </c>
    </row>
    <row r="92" spans="2:3">
      <c r="C92" s="1" t="s">
        <v>1110</v>
      </c>
    </row>
  </sheetData>
  <mergeCells count="21">
    <mergeCell ref="B45:O45"/>
    <mergeCell ref="B4:C5"/>
    <mergeCell ref="D4:F4"/>
    <mergeCell ref="G4:G5"/>
    <mergeCell ref="B6:B14"/>
    <mergeCell ref="J16:J22"/>
    <mergeCell ref="K16:K23"/>
    <mergeCell ref="L16:L23"/>
    <mergeCell ref="N16:N22"/>
    <mergeCell ref="O16:O23"/>
    <mergeCell ref="B15:B23"/>
    <mergeCell ref="B24:B33"/>
    <mergeCell ref="D33:F33"/>
    <mergeCell ref="B2:O2"/>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D1"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623"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7">
      <c r="B4" s="2275" t="s">
        <v>1070</v>
      </c>
      <c r="C4" s="2276"/>
      <c r="D4" s="2276" t="s">
        <v>1071</v>
      </c>
      <c r="E4" s="2276"/>
      <c r="F4" s="2276"/>
      <c r="G4" s="2279" t="s">
        <v>1098</v>
      </c>
      <c r="H4" s="796"/>
      <c r="I4" s="796"/>
      <c r="J4" s="2267"/>
      <c r="K4" s="2270"/>
      <c r="L4" s="2273"/>
      <c r="M4" s="798"/>
      <c r="N4" s="2267"/>
      <c r="O4" s="2270"/>
      <c r="P4" s="2273"/>
    </row>
    <row r="5" spans="2:17" ht="13.5" thickBot="1">
      <c r="B5" s="2277"/>
      <c r="C5" s="2278"/>
      <c r="D5" s="744" t="s">
        <v>1074</v>
      </c>
      <c r="E5" s="744" t="s">
        <v>1075</v>
      </c>
      <c r="F5" s="744" t="s">
        <v>1076</v>
      </c>
      <c r="G5" s="2280"/>
      <c r="H5" s="796"/>
      <c r="I5" s="796"/>
      <c r="J5" s="2268"/>
      <c r="K5" s="2271"/>
      <c r="L5" s="2274"/>
      <c r="M5" s="798"/>
      <c r="N5" s="2268"/>
      <c r="O5" s="2271"/>
      <c r="P5" s="2274"/>
    </row>
    <row r="6" spans="2:17">
      <c r="B6" s="2281" t="s">
        <v>1099</v>
      </c>
      <c r="C6" s="783" t="s">
        <v>1371</v>
      </c>
      <c r="D6" s="784">
        <f>結果!H40+結果!H54</f>
        <v>0</v>
      </c>
      <c r="E6" s="784">
        <f>結果!J40+結果!J54</f>
        <v>0</v>
      </c>
      <c r="F6" s="784">
        <f>結果!L40+結果!L54</f>
        <v>0</v>
      </c>
      <c r="G6" s="785">
        <f>結果!Q40</f>
        <v>0</v>
      </c>
      <c r="H6" s="796"/>
      <c r="I6" s="796"/>
      <c r="J6" s="1021">
        <f>IF(D32&gt;=D33,D6,IF(E32&gt;=D33,E6,F6))</f>
        <v>0</v>
      </c>
      <c r="K6" s="759">
        <f>K24</f>
        <v>0</v>
      </c>
      <c r="L6" s="761">
        <f>K6*J6</f>
        <v>0</v>
      </c>
      <c r="M6" s="798"/>
      <c r="N6" s="762">
        <f>G6</f>
        <v>0</v>
      </c>
      <c r="O6" s="760">
        <f>K6</f>
        <v>0</v>
      </c>
      <c r="P6" s="761">
        <f>O6*N6</f>
        <v>0</v>
      </c>
    </row>
    <row r="7" spans="2:17">
      <c r="B7" s="2282"/>
      <c r="C7" s="779" t="s">
        <v>1372</v>
      </c>
      <c r="D7" s="784">
        <f>結果!H41+結果!H55</f>
        <v>0</v>
      </c>
      <c r="E7" s="784">
        <f>結果!J41+結果!J55</f>
        <v>0</v>
      </c>
      <c r="F7" s="784">
        <f>結果!L41+結果!L55</f>
        <v>0</v>
      </c>
      <c r="G7" s="781">
        <f>結果!Q41</f>
        <v>0</v>
      </c>
      <c r="H7" s="796"/>
      <c r="I7" s="796"/>
      <c r="J7" s="1022">
        <f>IF(D32&gt;=D33,D7,IF(E32&gt;=D33,E7,F7))</f>
        <v>0</v>
      </c>
      <c r="K7" s="764">
        <f>K25</f>
        <v>0</v>
      </c>
      <c r="L7" s="766">
        <f t="shared" ref="L7:L13" si="0">K7*J7</f>
        <v>0</v>
      </c>
      <c r="M7" s="798"/>
      <c r="N7" s="767">
        <f>G7</f>
        <v>0</v>
      </c>
      <c r="O7" s="765">
        <f>K7</f>
        <v>0</v>
      </c>
      <c r="P7" s="766">
        <f t="shared" ref="P7:P13" si="1">O7*N7</f>
        <v>0</v>
      </c>
    </row>
    <row r="8" spans="2:17">
      <c r="B8" s="2282"/>
      <c r="C8" s="779" t="s">
        <v>1373</v>
      </c>
      <c r="D8" s="784">
        <f>結果!H42+結果!H56</f>
        <v>0</v>
      </c>
      <c r="E8" s="784">
        <f>結果!J42+結果!J56</f>
        <v>0</v>
      </c>
      <c r="F8" s="784">
        <f>結果!L42+結果!L56</f>
        <v>0</v>
      </c>
      <c r="G8" s="781">
        <f>結果!Q42</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7">
      <c r="B9" s="2282"/>
      <c r="C9" s="779" t="s">
        <v>1374</v>
      </c>
      <c r="D9" s="784">
        <f>結果!H43+結果!H57</f>
        <v>0</v>
      </c>
      <c r="E9" s="784">
        <f>結果!J43+結果!J57</f>
        <v>0</v>
      </c>
      <c r="F9" s="784">
        <f>結果!L43+結果!L57</f>
        <v>0</v>
      </c>
      <c r="G9" s="781">
        <f>結果!Q43</f>
        <v>0</v>
      </c>
      <c r="H9" s="796"/>
      <c r="I9" s="796"/>
      <c r="J9" s="1022">
        <f>IF(D32&gt;=D33,D9,IF(E32&gt;=D33,E9,F9))</f>
        <v>0</v>
      </c>
      <c r="K9" s="764">
        <f t="shared" si="2"/>
        <v>0</v>
      </c>
      <c r="L9" s="766">
        <f t="shared" si="0"/>
        <v>0</v>
      </c>
      <c r="M9" s="798"/>
      <c r="N9" s="767">
        <f t="shared" si="3"/>
        <v>0</v>
      </c>
      <c r="O9" s="765">
        <f t="shared" si="4"/>
        <v>0</v>
      </c>
      <c r="P9" s="766">
        <f t="shared" si="1"/>
        <v>0</v>
      </c>
    </row>
    <row r="10" spans="2:17">
      <c r="B10" s="2282"/>
      <c r="C10" s="779" t="s">
        <v>1375</v>
      </c>
      <c r="D10" s="784">
        <f>結果!H44+結果!H58</f>
        <v>0</v>
      </c>
      <c r="E10" s="784">
        <f>結果!J44+結果!J58</f>
        <v>0</v>
      </c>
      <c r="F10" s="784">
        <f>結果!L44+結果!L58</f>
        <v>0</v>
      </c>
      <c r="G10" s="781">
        <f>結果!Q44</f>
        <v>0</v>
      </c>
      <c r="H10" s="797"/>
      <c r="I10" s="796"/>
      <c r="J10" s="1022">
        <f>IF(D32&gt;=D33,D10,IF(E32&gt;=D33,E10,F10))</f>
        <v>0</v>
      </c>
      <c r="K10" s="764">
        <f t="shared" si="2"/>
        <v>0</v>
      </c>
      <c r="L10" s="766">
        <f t="shared" si="0"/>
        <v>0</v>
      </c>
      <c r="M10" s="798"/>
      <c r="N10" s="767">
        <f t="shared" si="3"/>
        <v>0</v>
      </c>
      <c r="O10" s="764">
        <f t="shared" si="4"/>
        <v>0</v>
      </c>
      <c r="P10" s="766">
        <f t="shared" si="1"/>
        <v>0</v>
      </c>
    </row>
    <row r="11" spans="2:17">
      <c r="B11" s="2282"/>
      <c r="C11" s="779" t="s">
        <v>1376</v>
      </c>
      <c r="D11" s="784">
        <f>結果!H45+結果!H59</f>
        <v>0</v>
      </c>
      <c r="E11" s="784">
        <f>結果!J45+結果!J59</f>
        <v>0</v>
      </c>
      <c r="F11" s="784">
        <f>結果!L45+結果!L59</f>
        <v>0</v>
      </c>
      <c r="G11" s="781">
        <f>結果!Q45</f>
        <v>0</v>
      </c>
      <c r="H11" s="796"/>
      <c r="I11" s="796"/>
      <c r="J11" s="1022">
        <f>IF(D32&gt;=D33,D11,IF(E32&gt;=D33,E11,F11))</f>
        <v>0</v>
      </c>
      <c r="K11" s="764">
        <f t="shared" si="2"/>
        <v>0</v>
      </c>
      <c r="L11" s="766">
        <f t="shared" si="0"/>
        <v>0</v>
      </c>
      <c r="M11" s="798"/>
      <c r="N11" s="767">
        <f t="shared" si="3"/>
        <v>0</v>
      </c>
      <c r="O11" s="765">
        <f t="shared" si="4"/>
        <v>0</v>
      </c>
      <c r="P11" s="766">
        <f t="shared" si="1"/>
        <v>0</v>
      </c>
    </row>
    <row r="12" spans="2:17">
      <c r="B12" s="2282"/>
      <c r="C12" s="779" t="s">
        <v>1377</v>
      </c>
      <c r="D12" s="784">
        <f>結果!H46+結果!H60</f>
        <v>0</v>
      </c>
      <c r="E12" s="784">
        <f>結果!J46+結果!J60</f>
        <v>0</v>
      </c>
      <c r="F12" s="784">
        <f>結果!L46+結果!L60</f>
        <v>0</v>
      </c>
      <c r="G12" s="781">
        <f>結果!Q46</f>
        <v>0</v>
      </c>
      <c r="H12" s="796"/>
      <c r="I12" s="796"/>
      <c r="J12" s="1022">
        <f>IF(D32&gt;=D33,D12,IF(E32&gt;=D33,E12,F12))</f>
        <v>0</v>
      </c>
      <c r="K12" s="764">
        <f t="shared" si="2"/>
        <v>0</v>
      </c>
      <c r="L12" s="766">
        <f t="shared" si="0"/>
        <v>0</v>
      </c>
      <c r="M12" s="798"/>
      <c r="N12" s="767">
        <f t="shared" si="3"/>
        <v>0</v>
      </c>
      <c r="O12" s="765">
        <f t="shared" si="4"/>
        <v>0</v>
      </c>
      <c r="P12" s="766">
        <f t="shared" si="1"/>
        <v>0</v>
      </c>
    </row>
    <row r="13" spans="2:17" ht="13.5" thickBot="1">
      <c r="B13" s="2282"/>
      <c r="C13" s="780" t="s">
        <v>1378</v>
      </c>
      <c r="D13" s="784">
        <f>結果!H47+結果!H61</f>
        <v>0</v>
      </c>
      <c r="E13" s="784">
        <f>結果!J47+結果!J61</f>
        <v>0</v>
      </c>
      <c r="F13" s="784">
        <f>結果!L47+結果!L61</f>
        <v>0</v>
      </c>
      <c r="G13" s="781">
        <f>結果!Q47</f>
        <v>0</v>
      </c>
      <c r="H13" s="796"/>
      <c r="I13" s="796"/>
      <c r="J13" s="1023">
        <f>IF(D32&gt;=D33,D13,IF(E32&gt;=D33,E13,F13))</f>
        <v>0</v>
      </c>
      <c r="K13" s="764">
        <f t="shared" si="2"/>
        <v>0</v>
      </c>
      <c r="L13" s="772">
        <f t="shared" si="0"/>
        <v>0</v>
      </c>
      <c r="M13" s="798"/>
      <c r="N13" s="767">
        <f>G13</f>
        <v>0</v>
      </c>
      <c r="O13" s="765">
        <f t="shared" si="4"/>
        <v>0</v>
      </c>
      <c r="P13" s="772">
        <f t="shared" si="1"/>
        <v>0</v>
      </c>
    </row>
    <row r="14" spans="2:17" ht="13.5" customHeight="1" thickBot="1">
      <c r="B14" s="2283"/>
      <c r="C14" s="754" t="s">
        <v>1100</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7" ht="13.5" thickBot="1">
      <c r="B15" s="2275" t="s">
        <v>1104</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7" ht="13" customHeight="1">
      <c r="B16" s="2282"/>
      <c r="C16" s="748" t="str">
        <f t="shared" ref="C16:C32" si="6">C7</f>
        <v>北東</v>
      </c>
      <c r="D16" s="749">
        <f>結果!H81+結果!H95</f>
        <v>0</v>
      </c>
      <c r="E16" s="784">
        <f>結果!J81+結果!J95</f>
        <v>0</v>
      </c>
      <c r="F16" s="784">
        <f>結果!L81+結果!L95</f>
        <v>0</v>
      </c>
      <c r="G16" s="750">
        <f>結果!Q81</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結果!H82+結果!H96</f>
        <v>0</v>
      </c>
      <c r="E17" s="784">
        <f>結果!J82+結果!J96</f>
        <v>0</v>
      </c>
      <c r="F17" s="784">
        <f>結果!L82+結果!L96</f>
        <v>0</v>
      </c>
      <c r="G17" s="750">
        <f>結果!Q82</f>
        <v>0</v>
      </c>
      <c r="H17" s="912"/>
      <c r="I17" s="912"/>
      <c r="J17" s="2264"/>
      <c r="K17" s="2264"/>
      <c r="L17" s="2264"/>
      <c r="M17" s="798"/>
      <c r="N17" s="2264"/>
      <c r="O17" s="2264"/>
      <c r="P17" s="2264"/>
    </row>
    <row r="18" spans="2:16">
      <c r="B18" s="2282"/>
      <c r="C18" s="748" t="str">
        <f t="shared" si="6"/>
        <v>南東</v>
      </c>
      <c r="D18" s="749">
        <f>結果!H83+結果!H97</f>
        <v>0</v>
      </c>
      <c r="E18" s="784">
        <f>結果!J83+結果!J97</f>
        <v>0</v>
      </c>
      <c r="F18" s="784">
        <f>結果!L83+結果!L97</f>
        <v>0</v>
      </c>
      <c r="G18" s="750">
        <f>結果!Q83</f>
        <v>0</v>
      </c>
      <c r="H18" s="912"/>
      <c r="I18" s="912"/>
      <c r="J18" s="2264"/>
      <c r="K18" s="2264"/>
      <c r="L18" s="2264"/>
      <c r="M18" s="798"/>
      <c r="N18" s="2264"/>
      <c r="O18" s="2264"/>
      <c r="P18" s="2264"/>
    </row>
    <row r="19" spans="2:16">
      <c r="B19" s="2282"/>
      <c r="C19" s="748" t="str">
        <f t="shared" si="6"/>
        <v>南</v>
      </c>
      <c r="D19" s="749">
        <f>結果!H84+結果!H98</f>
        <v>0</v>
      </c>
      <c r="E19" s="784">
        <f>結果!J84+結果!J98</f>
        <v>0</v>
      </c>
      <c r="F19" s="784">
        <f>結果!L84+結果!L98</f>
        <v>0</v>
      </c>
      <c r="G19" s="750">
        <f>結果!Q84</f>
        <v>0</v>
      </c>
      <c r="H19" s="912"/>
      <c r="I19" s="912"/>
      <c r="J19" s="2264"/>
      <c r="K19" s="2264"/>
      <c r="L19" s="2264"/>
      <c r="M19" s="798"/>
      <c r="N19" s="2264"/>
      <c r="O19" s="2264"/>
      <c r="P19" s="2264"/>
    </row>
    <row r="20" spans="2:16">
      <c r="B20" s="2282"/>
      <c r="C20" s="748" t="str">
        <f t="shared" si="6"/>
        <v>南西</v>
      </c>
      <c r="D20" s="749">
        <f>結果!H85+結果!H99</f>
        <v>0</v>
      </c>
      <c r="E20" s="784">
        <f>結果!J85+結果!J99</f>
        <v>0</v>
      </c>
      <c r="F20" s="784">
        <f>結果!L85+結果!L99</f>
        <v>0</v>
      </c>
      <c r="G20" s="750">
        <f>結果!Q85</f>
        <v>0</v>
      </c>
      <c r="H20" s="912"/>
      <c r="I20" s="912"/>
      <c r="J20" s="2264"/>
      <c r="K20" s="2264"/>
      <c r="L20" s="2264"/>
      <c r="M20" s="798"/>
      <c r="N20" s="2264"/>
      <c r="O20" s="2264"/>
      <c r="P20" s="2264"/>
    </row>
    <row r="21" spans="2:16">
      <c r="B21" s="2282"/>
      <c r="C21" s="748" t="str">
        <f t="shared" si="6"/>
        <v>西</v>
      </c>
      <c r="D21" s="749">
        <f>結果!H86+結果!H100</f>
        <v>0</v>
      </c>
      <c r="E21" s="784">
        <f>結果!J86+結果!J100</f>
        <v>0</v>
      </c>
      <c r="F21" s="784">
        <f>結果!L86+結果!L100</f>
        <v>0</v>
      </c>
      <c r="G21" s="750">
        <f>結果!Q86</f>
        <v>0</v>
      </c>
      <c r="H21" s="912"/>
      <c r="I21" s="912"/>
      <c r="J21" s="2264"/>
      <c r="K21" s="2264"/>
      <c r="L21" s="2264"/>
      <c r="M21" s="798"/>
      <c r="N21" s="2264"/>
      <c r="O21" s="2264"/>
      <c r="P21" s="2264"/>
    </row>
    <row r="22" spans="2:16" ht="13.5" thickBot="1">
      <c r="B22" s="2282"/>
      <c r="C22" s="751" t="str">
        <f t="shared" si="6"/>
        <v>北西</v>
      </c>
      <c r="D22" s="752">
        <f>結果!H87+結果!H101</f>
        <v>0</v>
      </c>
      <c r="E22" s="784">
        <f>結果!J87+結果!J101</f>
        <v>0</v>
      </c>
      <c r="F22" s="784">
        <f>結果!L87+結果!L101</f>
        <v>0</v>
      </c>
      <c r="G22" s="753">
        <f>結果!Q87</f>
        <v>0</v>
      </c>
      <c r="H22" s="912"/>
      <c r="I22" s="912"/>
      <c r="J22" s="2291"/>
      <c r="K22" s="2264"/>
      <c r="L22" s="2264"/>
      <c r="M22" s="798"/>
      <c r="N22" s="2264"/>
      <c r="O22" s="2264"/>
      <c r="P22" s="2264"/>
    </row>
    <row r="23" spans="2:16" ht="13.5"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282"/>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4">
        <f t="shared" si="14"/>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2287" t="s">
        <v>183</v>
      </c>
      <c r="C45" s="2287"/>
      <c r="D45" s="2287"/>
      <c r="E45" s="2287"/>
      <c r="F45" s="2287"/>
      <c r="G45" s="2287"/>
      <c r="H45" s="2287"/>
      <c r="I45" s="2287"/>
      <c r="J45" s="2287"/>
      <c r="K45" s="2287"/>
      <c r="L45" s="2287"/>
      <c r="M45" s="2287"/>
      <c r="N45" s="2287"/>
      <c r="O45" s="2287"/>
    </row>
    <row r="46" spans="2:30" ht="36">
      <c r="B46" s="554" t="s">
        <v>0</v>
      </c>
      <c r="C46" s="716" t="s">
        <v>1093</v>
      </c>
      <c r="D46" s="716" t="s">
        <v>1094</v>
      </c>
      <c r="E46" s="716" t="s">
        <v>1092</v>
      </c>
      <c r="F46" s="20" t="s">
        <v>42</v>
      </c>
      <c r="G46" s="20" t="s">
        <v>43</v>
      </c>
      <c r="H46" s="18" t="s">
        <v>35</v>
      </c>
      <c r="I46" s="20" t="s">
        <v>36</v>
      </c>
      <c r="J46" s="20" t="s">
        <v>2</v>
      </c>
      <c r="K46" s="20" t="s">
        <v>3</v>
      </c>
      <c r="L46" s="20" t="s">
        <v>39</v>
      </c>
      <c r="M46" s="20" t="s">
        <v>38</v>
      </c>
      <c r="N46" s="20" t="s">
        <v>45</v>
      </c>
      <c r="O46" s="20" t="s">
        <v>44</v>
      </c>
      <c r="Q46" s="554" t="s">
        <v>0</v>
      </c>
      <c r="R46" s="919" t="s">
        <v>1367</v>
      </c>
      <c r="S46" s="919" t="s">
        <v>1368</v>
      </c>
      <c r="T46" s="919" t="s">
        <v>1092</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2" t="s">
        <v>18</v>
      </c>
      <c r="F47" s="20" t="s">
        <v>19</v>
      </c>
      <c r="G47" s="20" t="s">
        <v>20</v>
      </c>
      <c r="H47" s="20" t="s">
        <v>30</v>
      </c>
      <c r="I47" s="20" t="s">
        <v>29</v>
      </c>
      <c r="J47" s="20" t="s">
        <v>21</v>
      </c>
      <c r="K47" s="20" t="s">
        <v>22</v>
      </c>
      <c r="L47" s="606" t="s">
        <v>608</v>
      </c>
      <c r="M47" s="606" t="s">
        <v>607</v>
      </c>
      <c r="N47" s="555" t="s">
        <v>25</v>
      </c>
      <c r="O47" s="20" t="s">
        <v>32</v>
      </c>
      <c r="Q47" s="554" t="s">
        <v>14</v>
      </c>
      <c r="R47" s="20" t="s">
        <v>16</v>
      </c>
      <c r="S47" s="20" t="s">
        <v>17</v>
      </c>
      <c r="T47" s="622" t="s">
        <v>18</v>
      </c>
      <c r="U47" s="20" t="s">
        <v>19</v>
      </c>
      <c r="V47" s="20" t="s">
        <v>20</v>
      </c>
      <c r="W47" s="20" t="s">
        <v>30</v>
      </c>
      <c r="X47" s="20" t="s">
        <v>29</v>
      </c>
      <c r="Y47" s="20" t="s">
        <v>21</v>
      </c>
      <c r="Z47" s="20" t="s">
        <v>22</v>
      </c>
      <c r="AA47" s="606" t="s">
        <v>608</v>
      </c>
      <c r="AB47" s="606" t="s">
        <v>607</v>
      </c>
      <c r="AC47" s="555" t="s">
        <v>25</v>
      </c>
      <c r="AD47" s="20" t="s">
        <v>32</v>
      </c>
    </row>
    <row r="48" spans="2:30">
      <c r="B48" s="553" t="s">
        <v>15</v>
      </c>
      <c r="C48" s="737" t="s">
        <v>1091</v>
      </c>
      <c r="D48" s="737" t="s">
        <v>1091</v>
      </c>
      <c r="E48" s="737" t="s">
        <v>172</v>
      </c>
      <c r="F48" s="5" t="s">
        <v>10</v>
      </c>
      <c r="G48" s="5" t="s">
        <v>10</v>
      </c>
      <c r="H48" s="5" t="s">
        <v>11</v>
      </c>
      <c r="I48" s="5" t="s">
        <v>11</v>
      </c>
      <c r="J48" s="5" t="s">
        <v>10</v>
      </c>
      <c r="K48" s="5" t="s">
        <v>10</v>
      </c>
      <c r="L48" s="5" t="s">
        <v>11</v>
      </c>
      <c r="M48" s="5" t="s">
        <v>11</v>
      </c>
      <c r="N48" s="5" t="s">
        <v>11</v>
      </c>
      <c r="O48" s="553" t="s">
        <v>31</v>
      </c>
      <c r="Q48" s="553" t="s">
        <v>15</v>
      </c>
      <c r="R48" s="737" t="s">
        <v>1091</v>
      </c>
      <c r="S48" s="737" t="s">
        <v>1091</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740">
        <f>E49</f>
        <v>0</v>
      </c>
      <c r="F50" s="740">
        <v>0</v>
      </c>
      <c r="G50" s="741">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740">
        <f t="shared" ref="E51:E60" si="27">E50</f>
        <v>0</v>
      </c>
      <c r="F51" s="740">
        <v>0</v>
      </c>
      <c r="G51" s="741">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740">
        <f t="shared" ref="T51:T60" si="28">T50</f>
        <v>0</v>
      </c>
      <c r="U51" s="740">
        <f t="shared" si="24"/>
        <v>0</v>
      </c>
      <c r="V51" s="903">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740">
        <f t="shared" si="27"/>
        <v>0</v>
      </c>
      <c r="F52" s="740">
        <v>0</v>
      </c>
      <c r="G52" s="741">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740">
        <f t="shared" si="28"/>
        <v>0</v>
      </c>
      <c r="U52" s="740">
        <f t="shared" si="24"/>
        <v>0</v>
      </c>
      <c r="V52" s="903">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740">
        <f t="shared" si="27"/>
        <v>0</v>
      </c>
      <c r="F53" s="741">
        <f>0.175*(温度条件他根拠!$D$7-温度条件他根拠!$D$9)/(温度条件他根拠!$D$7-23.2)</f>
        <v>7.3795180722891554E-2</v>
      </c>
      <c r="G53" s="741">
        <f>0.2*(温度条件他根拠!$D$10-13.4)/(温度条件他根拠!$D$10-温度条件他根拠!$D$8)</f>
        <v>6.1395348837209304E-2</v>
      </c>
      <c r="H53" s="738">
        <f>$C$56*E53*F53/1000</f>
        <v>0</v>
      </c>
      <c r="I53" s="738">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740">
        <f t="shared" si="28"/>
        <v>0</v>
      </c>
      <c r="U53" s="903">
        <f t="shared" si="24"/>
        <v>7.3795180722891554E-2</v>
      </c>
      <c r="V53" s="903">
        <f t="shared" si="24"/>
        <v>6.1395348837209304E-2</v>
      </c>
      <c r="W53" s="738">
        <f t="shared" si="17"/>
        <v>0</v>
      </c>
      <c r="X53" s="738">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740">
        <f t="shared" si="27"/>
        <v>0</v>
      </c>
      <c r="F54" s="741">
        <f>0.7*(温度条件他根拠!$D$7-温度条件他根拠!$D$9)/(温度条件他根拠!$D$7-26)</f>
        <v>0.44545454545454538</v>
      </c>
      <c r="G54" s="740">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740">
        <f t="shared" si="28"/>
        <v>0</v>
      </c>
      <c r="U54" s="903">
        <f t="shared" si="24"/>
        <v>0.44545454545454538</v>
      </c>
      <c r="V54" s="740">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740">
        <f t="shared" si="27"/>
        <v>0</v>
      </c>
      <c r="F55" s="741">
        <f>0.7*(温度条件他根拠!$D$7-温度条件他根拠!$D$9)/(温度条件他根拠!$D$7-28)</f>
        <v>0.7</v>
      </c>
      <c r="G55" s="740">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740">
        <f t="shared" si="28"/>
        <v>0</v>
      </c>
      <c r="U55" s="903">
        <f t="shared" si="24"/>
        <v>0.7</v>
      </c>
      <c r="V55" s="740">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738">
        <f>L32</f>
        <v>0</v>
      </c>
      <c r="D56" s="3"/>
      <c r="E56" s="740">
        <f t="shared" si="27"/>
        <v>0</v>
      </c>
      <c r="F56" s="741">
        <f>0.7*(温度条件他根拠!$D$7-温度条件他根拠!$D$9)/(温度条件他根拠!$D$7-28)</f>
        <v>0.7</v>
      </c>
      <c r="G56" s="740">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738">
        <f>L14</f>
        <v>0</v>
      </c>
      <c r="S56" s="3"/>
      <c r="T56" s="740">
        <f t="shared" si="28"/>
        <v>0</v>
      </c>
      <c r="U56" s="903">
        <f t="shared" si="24"/>
        <v>0.7</v>
      </c>
      <c r="V56" s="740">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740">
        <f t="shared" si="27"/>
        <v>0</v>
      </c>
      <c r="F57" s="741">
        <f>0.7*(温度条件他根拠!$D$7-温度条件他根拠!$D$9)/(温度条件他根拠!$D$7-27.1)</f>
        <v>0.55681818181818199</v>
      </c>
      <c r="G57" s="740">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740">
        <f t="shared" si="28"/>
        <v>0</v>
      </c>
      <c r="U57" s="903">
        <f t="shared" si="24"/>
        <v>0.55681818181818199</v>
      </c>
      <c r="V57" s="740">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740">
        <f t="shared" si="27"/>
        <v>0</v>
      </c>
      <c r="F58" s="741">
        <f>0.175*(温度条件他根拠!$D$7-温度条件他根拠!$D$9)/(温度条件他根拠!$D$7-21.6)</f>
        <v>6.1868686868686872E-2</v>
      </c>
      <c r="G58" s="741">
        <f>0.2*(温度条件他根拠!$D$10-12.8)/(温度条件他根拠!$D$10-温度条件他根拠!$D$8)</f>
        <v>6.6976744186046502E-2</v>
      </c>
      <c r="H58" s="738">
        <f>$C$56*E58*F58/1000</f>
        <v>0</v>
      </c>
      <c r="I58" s="738">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740">
        <f t="shared" si="28"/>
        <v>0</v>
      </c>
      <c r="U58" s="903">
        <f t="shared" si="24"/>
        <v>6.1868686868686872E-2</v>
      </c>
      <c r="V58" s="903">
        <f t="shared" si="24"/>
        <v>6.6976744186046502E-2</v>
      </c>
      <c r="W58" s="738">
        <f t="shared" si="17"/>
        <v>0</v>
      </c>
      <c r="X58" s="738">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740">
        <f t="shared" si="27"/>
        <v>0</v>
      </c>
      <c r="F59" s="740">
        <v>0</v>
      </c>
      <c r="G59" s="741">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740">
        <f t="shared" si="28"/>
        <v>0</v>
      </c>
      <c r="U59" s="740">
        <f t="shared" si="24"/>
        <v>0</v>
      </c>
      <c r="V59" s="903">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740">
        <f t="shared" si="27"/>
        <v>0</v>
      </c>
      <c r="F60" s="740">
        <v>0</v>
      </c>
      <c r="G60" s="741">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740">
        <f t="shared" si="28"/>
        <v>0</v>
      </c>
      <c r="U60" s="740">
        <f t="shared" si="24"/>
        <v>0</v>
      </c>
      <c r="V60" s="903">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802" t="s">
        <v>851</v>
      </c>
    </row>
    <row r="87" spans="2:3">
      <c r="B87" s="609">
        <v>43927</v>
      </c>
      <c r="C87" s="608" t="s">
        <v>852</v>
      </c>
    </row>
    <row r="88" spans="2:3">
      <c r="B88" s="609">
        <v>44634</v>
      </c>
      <c r="C88" s="608" t="s">
        <v>1095</v>
      </c>
    </row>
    <row r="89" spans="2:3">
      <c r="C89" s="608" t="s">
        <v>1096</v>
      </c>
    </row>
    <row r="90" spans="2:3">
      <c r="C90" s="1" t="s">
        <v>1097</v>
      </c>
    </row>
    <row r="91" spans="2:3">
      <c r="C91" s="1" t="s">
        <v>1109</v>
      </c>
    </row>
    <row r="92" spans="2:3">
      <c r="C92" s="1" t="s">
        <v>1110</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205" t="s">
        <v>183</v>
      </c>
      <c r="C2" s="1205"/>
      <c r="D2" s="1205"/>
      <c r="E2" s="1205"/>
      <c r="F2" s="1205"/>
      <c r="G2" s="1205"/>
      <c r="H2" s="1205"/>
      <c r="I2" s="1205"/>
      <c r="J2" s="1205"/>
      <c r="K2" s="1205"/>
      <c r="L2" s="1205"/>
      <c r="M2" s="1205"/>
      <c r="N2" s="1205"/>
      <c r="O2" s="1205"/>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07">
        <f>0.25*$C$13*E10*F10/1000</f>
        <v>0</v>
      </c>
      <c r="I10" s="607">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07">
        <f>0.25*$R$13*T10*U10/1000</f>
        <v>0</v>
      </c>
      <c r="X10" s="607">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07">
        <f>($C$13*E15*F15/1000)*0.25</f>
        <v>0</v>
      </c>
      <c r="I15" s="607">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07">
        <f>($R$13*T15*U15/1000)*0.25</f>
        <v>0</v>
      </c>
      <c r="X15" s="607">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9">
        <v>43927</v>
      </c>
      <c r="C43" s="608" t="s">
        <v>852</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3" t="str">
        <f ca="1">RIGHT(CELL("filename",C1),LEN(CELL("filename",C1))-FIND("]",CELL("filename",C1)))</f>
        <v>熊谷市屋根遮熱</v>
      </c>
      <c r="D1" s="81"/>
      <c r="E1" s="81"/>
      <c r="F1" s="81"/>
      <c r="G1" s="81"/>
      <c r="H1" s="81"/>
      <c r="I1" s="81"/>
      <c r="J1" s="81"/>
      <c r="K1" s="81"/>
      <c r="L1" s="81"/>
      <c r="M1" s="81"/>
      <c r="N1" s="81"/>
      <c r="O1" s="81"/>
    </row>
    <row r="2" spans="2:15">
      <c r="B2" s="2287"/>
      <c r="C2" s="2287"/>
      <c r="D2" s="2287"/>
      <c r="E2" s="2287"/>
      <c r="F2" s="2287"/>
      <c r="G2" s="2287"/>
      <c r="H2" s="2287"/>
      <c r="I2" s="2287"/>
      <c r="J2" s="2287"/>
      <c r="K2" s="2287"/>
      <c r="L2" s="2287"/>
      <c r="M2" s="2287"/>
      <c r="N2" s="2287"/>
      <c r="O2" s="2287"/>
    </row>
    <row r="3" spans="2:15">
      <c r="B3" s="794"/>
      <c r="C3" s="794"/>
      <c r="D3" s="794"/>
      <c r="E3" s="794"/>
      <c r="F3" s="794"/>
      <c r="G3" s="794"/>
      <c r="H3" s="794"/>
      <c r="I3" s="794"/>
      <c r="J3" s="794"/>
      <c r="K3" s="794"/>
      <c r="L3" s="794"/>
      <c r="M3" s="794"/>
      <c r="N3" s="794"/>
      <c r="O3" s="794"/>
    </row>
    <row r="4" spans="2:15">
      <c r="B4" s="722" t="s">
        <v>1069</v>
      </c>
      <c r="C4" s="723"/>
      <c r="D4" s="724"/>
      <c r="E4" s="725"/>
      <c r="F4" s="723"/>
      <c r="G4" s="723"/>
      <c r="H4" s="723"/>
      <c r="I4" s="726"/>
      <c r="J4" s="726"/>
      <c r="K4" s="726"/>
      <c r="L4" s="726"/>
      <c r="M4" s="726"/>
      <c r="N4" s="726"/>
      <c r="O4" s="794"/>
    </row>
    <row r="5" spans="2:15">
      <c r="B5" s="2252" t="s">
        <v>1070</v>
      </c>
      <c r="C5" s="2252"/>
      <c r="D5" s="2252" t="s">
        <v>1071</v>
      </c>
      <c r="E5" s="2252"/>
      <c r="F5" s="2252"/>
      <c r="G5" s="2253" t="s">
        <v>1072</v>
      </c>
      <c r="H5" s="2252" t="s">
        <v>1073</v>
      </c>
      <c r="I5" s="2252"/>
      <c r="J5" s="2252"/>
      <c r="K5" s="2252"/>
      <c r="L5" s="2252"/>
      <c r="M5" s="2252"/>
      <c r="N5" s="2252"/>
      <c r="O5" s="794"/>
    </row>
    <row r="6" spans="2:15">
      <c r="B6" s="2252"/>
      <c r="C6" s="2252"/>
      <c r="D6" s="727" t="s">
        <v>1074</v>
      </c>
      <c r="E6" s="727" t="s">
        <v>1075</v>
      </c>
      <c r="F6" s="727" t="s">
        <v>1076</v>
      </c>
      <c r="G6" s="2252"/>
      <c r="H6" s="2252"/>
      <c r="I6" s="2252"/>
      <c r="J6" s="2252"/>
      <c r="K6" s="2252"/>
      <c r="L6" s="2252"/>
      <c r="M6" s="2252"/>
      <c r="N6" s="2252"/>
      <c r="O6" s="794"/>
    </row>
    <row r="7" spans="2:15">
      <c r="B7" s="728" t="s">
        <v>1077</v>
      </c>
      <c r="C7" s="729" t="s">
        <v>1078</v>
      </c>
      <c r="D7" s="730">
        <f>結果!H30</f>
        <v>0</v>
      </c>
      <c r="E7" s="730">
        <f>結果!J30</f>
        <v>0</v>
      </c>
      <c r="F7" s="730">
        <f>結果!L30</f>
        <v>0</v>
      </c>
      <c r="G7" s="730">
        <f>結果!Q30</f>
        <v>0</v>
      </c>
      <c r="H7" s="2254" t="s">
        <v>1079</v>
      </c>
      <c r="I7" s="2254"/>
      <c r="J7" s="2254"/>
      <c r="K7" s="2254"/>
      <c r="L7" s="2254"/>
      <c r="M7" s="2254"/>
      <c r="N7" s="2254"/>
      <c r="O7" s="794"/>
    </row>
    <row r="8" spans="2:15">
      <c r="B8" s="728" t="s">
        <v>1362</v>
      </c>
      <c r="C8" s="910"/>
      <c r="D8" s="907"/>
      <c r="E8" s="908">
        <f>MAX(D7:F7)</f>
        <v>0</v>
      </c>
      <c r="F8" s="904"/>
      <c r="G8" s="904">
        <f>G7</f>
        <v>0</v>
      </c>
      <c r="H8" s="2254"/>
      <c r="I8" s="2254"/>
      <c r="J8" s="2254"/>
      <c r="K8" s="2254"/>
      <c r="L8" s="2254"/>
      <c r="M8" s="2254"/>
      <c r="N8" s="2254"/>
      <c r="O8" s="897"/>
    </row>
    <row r="9" spans="2:15">
      <c r="B9" s="728" t="s">
        <v>1080</v>
      </c>
      <c r="C9" s="729" t="s">
        <v>1081</v>
      </c>
      <c r="D9" s="730">
        <f>結果!H70</f>
        <v>0</v>
      </c>
      <c r="E9" s="730">
        <f>結果!J70</f>
        <v>0</v>
      </c>
      <c r="F9" s="730">
        <f>結果!L70</f>
        <v>0</v>
      </c>
      <c r="G9" s="731">
        <f>結果!Q70</f>
        <v>0</v>
      </c>
      <c r="H9" s="2254"/>
      <c r="I9" s="2254"/>
      <c r="J9" s="2254"/>
      <c r="K9" s="2254"/>
      <c r="L9" s="2254"/>
      <c r="M9" s="2254"/>
      <c r="N9" s="2254"/>
      <c r="O9" s="794"/>
    </row>
    <row r="10" spans="2:15">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794"/>
    </row>
    <row r="11" spans="2:15" ht="36">
      <c r="B11" s="896" t="s">
        <v>1361</v>
      </c>
      <c r="C11" s="732" t="s">
        <v>1084</v>
      </c>
      <c r="D11" s="2255">
        <f>MAX(D10:F10)</f>
        <v>0</v>
      </c>
      <c r="E11" s="2255"/>
      <c r="F11" s="2255"/>
      <c r="G11" s="731">
        <f>MAX(G10)</f>
        <v>0</v>
      </c>
      <c r="H11" s="2254" t="s">
        <v>1085</v>
      </c>
      <c r="I11" s="2254"/>
      <c r="J11" s="2254"/>
      <c r="K11" s="2254"/>
      <c r="L11" s="2254"/>
      <c r="M11" s="2254"/>
      <c r="N11" s="2254"/>
      <c r="O11" s="794"/>
    </row>
    <row r="12" spans="2:15" ht="24">
      <c r="B12" s="732" t="s">
        <v>1086</v>
      </c>
      <c r="C12" s="732" t="s">
        <v>1087</v>
      </c>
      <c r="D12" s="2255">
        <f>温度条件他根拠!C29</f>
        <v>0</v>
      </c>
      <c r="E12" s="2255"/>
      <c r="F12" s="2255"/>
      <c r="G12" s="731">
        <v>0</v>
      </c>
      <c r="H12" s="2254" t="s">
        <v>1088</v>
      </c>
      <c r="I12" s="2254"/>
      <c r="J12" s="2254"/>
      <c r="K12" s="2254"/>
      <c r="L12" s="2254"/>
      <c r="M12" s="2254"/>
      <c r="N12" s="2254"/>
      <c r="O12" s="794"/>
    </row>
    <row r="13" spans="2:15" ht="60">
      <c r="B13" s="732" t="s">
        <v>1089</v>
      </c>
      <c r="C13" s="732" t="s">
        <v>1090</v>
      </c>
      <c r="D13" s="2256">
        <f>D12*D11</f>
        <v>0</v>
      </c>
      <c r="E13" s="2257"/>
      <c r="F13" s="2258"/>
      <c r="G13" s="731">
        <f>G12*G11</f>
        <v>0</v>
      </c>
      <c r="H13" s="2259"/>
      <c r="I13" s="2260"/>
      <c r="J13" s="2260"/>
      <c r="K13" s="2260"/>
      <c r="L13" s="2260"/>
      <c r="M13" s="2260"/>
      <c r="N13" s="2261"/>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05" t="s">
        <v>183</v>
      </c>
      <c r="C16" s="1205"/>
      <c r="D16" s="1205"/>
      <c r="E16" s="1205"/>
      <c r="F16" s="1205"/>
      <c r="G16" s="1205"/>
      <c r="H16" s="1205"/>
      <c r="I16" s="1205"/>
      <c r="J16" s="1205"/>
      <c r="K16" s="1205"/>
      <c r="L16" s="1205"/>
      <c r="M16" s="1205"/>
      <c r="N16" s="1205"/>
      <c r="O16" s="1205"/>
    </row>
    <row r="17" spans="2:30" ht="36">
      <c r="B17" s="554" t="s">
        <v>0</v>
      </c>
      <c r="C17" s="716" t="s">
        <v>1093</v>
      </c>
      <c r="D17" s="716" t="s">
        <v>1094</v>
      </c>
      <c r="E17" s="716" t="s">
        <v>1092</v>
      </c>
      <c r="F17" s="20" t="s">
        <v>42</v>
      </c>
      <c r="G17" s="20" t="s">
        <v>43</v>
      </c>
      <c r="H17" s="18" t="s">
        <v>35</v>
      </c>
      <c r="I17" s="18" t="s">
        <v>36</v>
      </c>
      <c r="J17" s="20" t="s">
        <v>2</v>
      </c>
      <c r="K17" s="20" t="s">
        <v>3</v>
      </c>
      <c r="L17" s="20" t="s">
        <v>39</v>
      </c>
      <c r="M17" s="20" t="s">
        <v>38</v>
      </c>
      <c r="N17" s="20" t="s">
        <v>45</v>
      </c>
      <c r="O17" s="20" t="s">
        <v>44</v>
      </c>
      <c r="Q17" s="554" t="s">
        <v>0</v>
      </c>
      <c r="R17" s="919" t="s">
        <v>1367</v>
      </c>
      <c r="S17" s="919" t="s">
        <v>1368</v>
      </c>
      <c r="T17" s="895" t="s">
        <v>1092</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622" t="s">
        <v>18</v>
      </c>
      <c r="F18" s="20" t="s">
        <v>19</v>
      </c>
      <c r="G18" s="20" t="s">
        <v>20</v>
      </c>
      <c r="H18" s="20" t="s">
        <v>30</v>
      </c>
      <c r="I18" s="20" t="s">
        <v>29</v>
      </c>
      <c r="J18" s="20" t="s">
        <v>21</v>
      </c>
      <c r="K18" s="20" t="s">
        <v>22</v>
      </c>
      <c r="L18" s="20" t="s">
        <v>608</v>
      </c>
      <c r="M18" s="20" t="s">
        <v>607</v>
      </c>
      <c r="N18" s="555" t="s">
        <v>25</v>
      </c>
      <c r="O18" s="20" t="s">
        <v>32</v>
      </c>
      <c r="Q18" s="554" t="s">
        <v>14</v>
      </c>
      <c r="R18" s="916" t="s">
        <v>1363</v>
      </c>
      <c r="S18" s="916" t="s">
        <v>1364</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7" t="s">
        <v>1091</v>
      </c>
      <c r="D19" s="737" t="s">
        <v>1091</v>
      </c>
      <c r="E19" s="737" t="s">
        <v>172</v>
      </c>
      <c r="F19" s="5" t="s">
        <v>10</v>
      </c>
      <c r="G19" s="5" t="s">
        <v>10</v>
      </c>
      <c r="H19" s="5" t="s">
        <v>11</v>
      </c>
      <c r="I19" s="5" t="s">
        <v>11</v>
      </c>
      <c r="J19" s="5" t="s">
        <v>10</v>
      </c>
      <c r="K19" s="5" t="s">
        <v>10</v>
      </c>
      <c r="L19" s="5" t="s">
        <v>11</v>
      </c>
      <c r="M19" s="5" t="s">
        <v>11</v>
      </c>
      <c r="N19" s="5" t="s">
        <v>11</v>
      </c>
      <c r="O19" s="553" t="s">
        <v>31</v>
      </c>
      <c r="Q19" s="553" t="s">
        <v>15</v>
      </c>
      <c r="R19" s="737" t="s">
        <v>1091</v>
      </c>
      <c r="S19" s="737" t="s">
        <v>1091</v>
      </c>
      <c r="T19" s="737" t="s">
        <v>172</v>
      </c>
      <c r="U19" s="5" t="s">
        <v>10</v>
      </c>
      <c r="V19" s="5" t="s">
        <v>10</v>
      </c>
      <c r="W19" s="5" t="s">
        <v>11</v>
      </c>
      <c r="X19" s="5" t="s">
        <v>11</v>
      </c>
      <c r="Y19" s="5" t="s">
        <v>10</v>
      </c>
      <c r="Z19" s="5" t="s">
        <v>10</v>
      </c>
      <c r="AA19" s="5" t="s">
        <v>11</v>
      </c>
      <c r="AB19" s="5" t="s">
        <v>11</v>
      </c>
      <c r="AC19" s="5" t="s">
        <v>11</v>
      </c>
      <c r="AD19" s="553" t="s">
        <v>31</v>
      </c>
    </row>
    <row r="20" spans="2:30">
      <c r="B20" s="553">
        <v>1</v>
      </c>
      <c r="C20" s="3"/>
      <c r="D20" s="738">
        <f>G13</f>
        <v>0</v>
      </c>
      <c r="E20" s="739">
        <f>温度条件他根拠!E21</f>
        <v>0</v>
      </c>
      <c r="F20" s="740">
        <v>0</v>
      </c>
      <c r="G20" s="741">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740">
        <v>0</v>
      </c>
      <c r="G21" s="741">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40">
        <f>E21</f>
        <v>0</v>
      </c>
      <c r="F22" s="740">
        <v>0</v>
      </c>
      <c r="G22" s="741">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740">
        <f t="shared" ref="T22:T31" si="12">T21</f>
        <v>0</v>
      </c>
      <c r="U22" s="740">
        <f t="shared" si="9"/>
        <v>0</v>
      </c>
      <c r="V22" s="903">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740">
        <f t="shared" ref="E23:E31" si="13">E22</f>
        <v>0</v>
      </c>
      <c r="F23" s="740">
        <v>0</v>
      </c>
      <c r="G23" s="741">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740">
        <f t="shared" si="12"/>
        <v>0</v>
      </c>
      <c r="U23" s="740">
        <f t="shared" si="9"/>
        <v>0</v>
      </c>
      <c r="V23" s="903">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740">
        <f t="shared" si="13"/>
        <v>0</v>
      </c>
      <c r="F24" s="741">
        <f>0.175*(温度条件他根拠!$E$7-温度条件他根拠!$E$9)/(温度条件他根拠!$E$7-23.9)</f>
        <v>8.5312499999999958E-2</v>
      </c>
      <c r="G24" s="741">
        <f>0.2*(温度条件他根拠!$E$10-13.4)/(温度条件他根拠!$E$10-温度条件他根拠!$E$8)</f>
        <v>6.3768115942028997E-2</v>
      </c>
      <c r="H24" s="738">
        <f>$C$27*E24*F24/1000</f>
        <v>0</v>
      </c>
      <c r="I24" s="738">
        <f>G24*E24*$D$20/1000</f>
        <v>0</v>
      </c>
      <c r="J24" s="2">
        <f t="shared" si="14"/>
        <v>3.55</v>
      </c>
      <c r="K24" s="6">
        <f t="shared" si="14"/>
        <v>3.95</v>
      </c>
      <c r="L24" s="7">
        <f t="shared" si="1"/>
        <v>0</v>
      </c>
      <c r="M24" s="7">
        <f t="shared" si="1"/>
        <v>0</v>
      </c>
      <c r="N24" s="13">
        <f t="shared" si="7"/>
        <v>0</v>
      </c>
      <c r="O24" s="12">
        <f t="shared" si="8"/>
        <v>0</v>
      </c>
      <c r="Q24" s="553">
        <v>5</v>
      </c>
      <c r="R24" s="3"/>
      <c r="S24" s="3"/>
      <c r="T24" s="740">
        <f t="shared" si="12"/>
        <v>0</v>
      </c>
      <c r="U24" s="903">
        <f t="shared" si="9"/>
        <v>8.5312499999999958E-2</v>
      </c>
      <c r="V24" s="903">
        <f t="shared" si="9"/>
        <v>6.3768115942028997E-2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40">
        <f t="shared" si="13"/>
        <v>0</v>
      </c>
      <c r="F25" s="741">
        <f>0.7*(温度条件他根拠!$E$7-温度条件他根拠!$E$9)/(温度条件他根拠!$E$7-26.4)</f>
        <v>0.49636363636363612</v>
      </c>
      <c r="G25" s="740">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740">
        <f t="shared" si="12"/>
        <v>0</v>
      </c>
      <c r="U25" s="903">
        <f t="shared" si="9"/>
        <v>0.49636363636363612</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40">
        <f t="shared" si="13"/>
        <v>0</v>
      </c>
      <c r="F26" s="741">
        <f>0.7*(温度条件他根拠!$E$7-温度条件他根拠!$E$9)/(温度条件他根拠!$E$7-28)</f>
        <v>0.7</v>
      </c>
      <c r="G26" s="740">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740">
        <f t="shared" si="12"/>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8">
        <f>D13</f>
        <v>0</v>
      </c>
      <c r="D27" s="3"/>
      <c r="E27" s="740">
        <f t="shared" si="13"/>
        <v>0</v>
      </c>
      <c r="F27" s="741">
        <f>0.7*(温度条件他根拠!$E$7-温度条件他根拠!$E$9)/(温度条件他根拠!$E$7-28)</f>
        <v>0.7</v>
      </c>
      <c r="G27" s="740">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738">
        <f>E8*D12</f>
        <v>0</v>
      </c>
      <c r="S27" s="3"/>
      <c r="T27" s="740">
        <f t="shared" si="12"/>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40">
        <f t="shared" si="13"/>
        <v>0</v>
      </c>
      <c r="F28" s="741">
        <f>0.7*(温度条件他根拠!$E$7-温度条件他根拠!$E$9)/(温度条件他根拠!$E$7-27.2)</f>
        <v>0.58085106382978702</v>
      </c>
      <c r="G28" s="740">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740">
        <f t="shared" si="12"/>
        <v>0</v>
      </c>
      <c r="U28" s="903">
        <f t="shared" si="9"/>
        <v>0.58085106382978702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40">
        <f t="shared" si="13"/>
        <v>0</v>
      </c>
      <c r="F29" s="741">
        <f>0.175*(温度条件他根拠!$E$7-温度条件他根拠!$E$9)/(温度条件他根拠!$E$7-21.7)</f>
        <v>6.6911764705882323E-2</v>
      </c>
      <c r="G29" s="741">
        <f>0.2*(温度条件他根拠!$E$10-13)/(温度条件他根拠!$E$10-温度条件他根拠!$E$8)</f>
        <v>6.7632850241545903E-2</v>
      </c>
      <c r="H29" s="738">
        <f>($C$27*E29*F29/1000)</f>
        <v>0</v>
      </c>
      <c r="I29" s="738">
        <f>(G29*E29*$D$20/1000)</f>
        <v>0</v>
      </c>
      <c r="J29" s="2">
        <f t="shared" si="14"/>
        <v>3.55</v>
      </c>
      <c r="K29" s="6">
        <f t="shared" si="14"/>
        <v>3.95</v>
      </c>
      <c r="L29" s="7">
        <f t="shared" si="1"/>
        <v>0</v>
      </c>
      <c r="M29" s="7">
        <f t="shared" si="1"/>
        <v>0</v>
      </c>
      <c r="N29" s="13">
        <f t="shared" si="7"/>
        <v>0</v>
      </c>
      <c r="O29" s="12">
        <f t="shared" si="8"/>
        <v>0</v>
      </c>
      <c r="Q29" s="553">
        <v>10</v>
      </c>
      <c r="R29" s="3"/>
      <c r="S29" s="3"/>
      <c r="T29" s="740">
        <f t="shared" si="12"/>
        <v>0</v>
      </c>
      <c r="U29" s="903">
        <f t="shared" si="9"/>
        <v>6.6911764705882323E-2</v>
      </c>
      <c r="V29" s="903">
        <f t="shared" si="9"/>
        <v>6.7632850241545903E-2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40">
        <f t="shared" si="13"/>
        <v>0</v>
      </c>
      <c r="F30" s="740">
        <v>0</v>
      </c>
      <c r="G30" s="741">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740">
        <f t="shared" si="12"/>
        <v>0</v>
      </c>
      <c r="U30" s="740">
        <f t="shared" si="9"/>
        <v>0</v>
      </c>
      <c r="V30" s="903">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40">
        <f t="shared" si="13"/>
        <v>0</v>
      </c>
      <c r="F31" s="740">
        <v>0</v>
      </c>
      <c r="G31" s="741">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740">
        <f t="shared" si="12"/>
        <v>0</v>
      </c>
      <c r="U31" s="740">
        <f t="shared" si="9"/>
        <v>0</v>
      </c>
      <c r="V31" s="903">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1055</v>
      </c>
    </row>
    <row r="57" spans="2:3">
      <c r="B57" s="609">
        <v>43927</v>
      </c>
      <c r="C57" s="608" t="s">
        <v>852</v>
      </c>
    </row>
    <row r="58" spans="2:3">
      <c r="B58" s="609">
        <v>44634</v>
      </c>
      <c r="C58" s="608" t="s">
        <v>1095</v>
      </c>
    </row>
    <row r="59" spans="2:3">
      <c r="C59" s="608" t="s">
        <v>1096</v>
      </c>
    </row>
    <row r="60" spans="2:3">
      <c r="C60" s="1" t="s">
        <v>1097</v>
      </c>
    </row>
    <row r="61" spans="2:3">
      <c r="C61" s="1" t="s">
        <v>1109</v>
      </c>
    </row>
    <row r="62" spans="2:3">
      <c r="C62" s="1" t="s">
        <v>1110</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623" t="str">
        <f ca="1">RIGHT(CELL("filename",C1),LEN(CELL("filename",C1))-FIND("]",CELL("filename",C1)))</f>
        <v>熊谷市屋根断熱</v>
      </c>
      <c r="D1" s="81"/>
      <c r="E1" s="81"/>
      <c r="F1" s="81"/>
      <c r="G1" s="81"/>
      <c r="H1" s="81"/>
      <c r="I1" s="81"/>
      <c r="J1" s="81"/>
      <c r="K1" s="81"/>
      <c r="L1" s="81"/>
      <c r="M1" s="81"/>
      <c r="N1" s="81"/>
      <c r="O1" s="81"/>
    </row>
    <row r="2" spans="2:15">
      <c r="B2" s="2287"/>
      <c r="C2" s="2287"/>
      <c r="D2" s="2287"/>
      <c r="E2" s="2287"/>
      <c r="F2" s="2287"/>
      <c r="G2" s="2287"/>
      <c r="H2" s="2287"/>
      <c r="I2" s="2287"/>
      <c r="J2" s="2287"/>
      <c r="K2" s="2287"/>
      <c r="L2" s="2287"/>
      <c r="M2" s="2287"/>
      <c r="N2" s="2287"/>
      <c r="O2" s="2287"/>
    </row>
    <row r="3" spans="2:15">
      <c r="B3" s="794"/>
      <c r="C3" s="794"/>
      <c r="D3" s="794"/>
      <c r="E3" s="794"/>
      <c r="F3" s="794"/>
      <c r="G3" s="794"/>
      <c r="H3" s="794"/>
      <c r="I3" s="794"/>
      <c r="J3" s="794"/>
      <c r="K3" s="794"/>
      <c r="L3" s="794"/>
      <c r="M3" s="794"/>
      <c r="N3" s="794"/>
      <c r="O3" s="794"/>
    </row>
    <row r="4" spans="2:15">
      <c r="B4" s="722" t="s">
        <v>1069</v>
      </c>
      <c r="C4" s="723"/>
      <c r="D4" s="724"/>
      <c r="E4" s="725"/>
      <c r="F4" s="723"/>
      <c r="G4" s="723"/>
      <c r="H4" s="723"/>
      <c r="I4" s="726"/>
      <c r="J4" s="726"/>
      <c r="K4" s="726"/>
      <c r="L4" s="726"/>
      <c r="M4" s="726"/>
      <c r="N4" s="726"/>
      <c r="O4" s="794"/>
    </row>
    <row r="5" spans="2:15">
      <c r="B5" s="2252" t="s">
        <v>1070</v>
      </c>
      <c r="C5" s="2252"/>
      <c r="D5" s="2252" t="s">
        <v>1071</v>
      </c>
      <c r="E5" s="2252"/>
      <c r="F5" s="2252"/>
      <c r="G5" s="2253" t="s">
        <v>1072</v>
      </c>
      <c r="H5" s="2252" t="s">
        <v>1073</v>
      </c>
      <c r="I5" s="2252"/>
      <c r="J5" s="2252"/>
      <c r="K5" s="2252"/>
      <c r="L5" s="2252"/>
      <c r="M5" s="2252"/>
      <c r="N5" s="2252"/>
      <c r="O5" s="794"/>
    </row>
    <row r="6" spans="2:15">
      <c r="B6" s="2252"/>
      <c r="C6" s="2252"/>
      <c r="D6" s="727" t="s">
        <v>1074</v>
      </c>
      <c r="E6" s="727" t="s">
        <v>1075</v>
      </c>
      <c r="F6" s="727" t="s">
        <v>1076</v>
      </c>
      <c r="G6" s="2252"/>
      <c r="H6" s="2252"/>
      <c r="I6" s="2252"/>
      <c r="J6" s="2252"/>
      <c r="K6" s="2252"/>
      <c r="L6" s="2252"/>
      <c r="M6" s="2252"/>
      <c r="N6" s="2252"/>
      <c r="O6" s="794"/>
    </row>
    <row r="7" spans="2:15" ht="13" customHeight="1">
      <c r="B7" s="728" t="s">
        <v>1077</v>
      </c>
      <c r="C7" s="729" t="s">
        <v>1078</v>
      </c>
      <c r="D7" s="730">
        <f>結果!H30</f>
        <v>0</v>
      </c>
      <c r="E7" s="730">
        <f>結果!J30</f>
        <v>0</v>
      </c>
      <c r="F7" s="730">
        <f>結果!L30</f>
        <v>0</v>
      </c>
      <c r="G7" s="730">
        <f>結果!Q30</f>
        <v>0</v>
      </c>
      <c r="H7" s="2254" t="s">
        <v>1134</v>
      </c>
      <c r="I7" s="2254"/>
      <c r="J7" s="2254"/>
      <c r="K7" s="2254"/>
      <c r="L7" s="2254"/>
      <c r="M7" s="2254"/>
      <c r="N7" s="2254"/>
      <c r="O7" s="794"/>
    </row>
    <row r="8" spans="2:15" ht="13" customHeight="1">
      <c r="B8" s="728" t="s">
        <v>1362</v>
      </c>
      <c r="C8" s="910"/>
      <c r="D8" s="907"/>
      <c r="E8" s="908">
        <f>MAX(D7:F7)</f>
        <v>0</v>
      </c>
      <c r="F8" s="904"/>
      <c r="G8" s="904">
        <f>G7</f>
        <v>0</v>
      </c>
      <c r="H8" s="2254"/>
      <c r="I8" s="2254"/>
      <c r="J8" s="2254"/>
      <c r="K8" s="2254"/>
      <c r="L8" s="2254"/>
      <c r="M8" s="2254"/>
      <c r="N8" s="2254"/>
      <c r="O8" s="897"/>
    </row>
    <row r="9" spans="2:15">
      <c r="B9" s="728" t="s">
        <v>1080</v>
      </c>
      <c r="C9" s="729" t="s">
        <v>1081</v>
      </c>
      <c r="D9" s="730">
        <f>結果!H70</f>
        <v>0</v>
      </c>
      <c r="E9" s="730">
        <f>結果!J70</f>
        <v>0</v>
      </c>
      <c r="F9" s="730">
        <f>結果!L70</f>
        <v>0</v>
      </c>
      <c r="G9" s="731">
        <f>結果!Q70</f>
        <v>0</v>
      </c>
      <c r="H9" s="2254"/>
      <c r="I9" s="2254"/>
      <c r="J9" s="2254"/>
      <c r="K9" s="2254"/>
      <c r="L9" s="2254"/>
      <c r="M9" s="2254"/>
      <c r="N9" s="2254"/>
      <c r="O9" s="794"/>
    </row>
    <row r="10" spans="2:15">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794"/>
    </row>
    <row r="11" spans="2:15" ht="36">
      <c r="B11" s="896" t="s">
        <v>1361</v>
      </c>
      <c r="C11" s="732" t="s">
        <v>1084</v>
      </c>
      <c r="D11" s="2255">
        <f>MAX(D10:F10)</f>
        <v>0</v>
      </c>
      <c r="E11" s="2255"/>
      <c r="F11" s="2255"/>
      <c r="G11" s="731">
        <f>MAX(G10)</f>
        <v>0</v>
      </c>
      <c r="H11" s="2254" t="s">
        <v>1085</v>
      </c>
      <c r="I11" s="2254"/>
      <c r="J11" s="2254"/>
      <c r="K11" s="2254"/>
      <c r="L11" s="2254"/>
      <c r="M11" s="2254"/>
      <c r="N11" s="2254"/>
      <c r="O11" s="794"/>
    </row>
    <row r="12" spans="2:15" ht="24" customHeight="1">
      <c r="B12" s="732" t="s">
        <v>1086</v>
      </c>
      <c r="C12" s="732" t="s">
        <v>1117</v>
      </c>
      <c r="D12" s="2255">
        <f>温度条件他根拠!E29</f>
        <v>0</v>
      </c>
      <c r="E12" s="2255"/>
      <c r="F12" s="2255"/>
      <c r="G12" s="731">
        <f>D12</f>
        <v>0</v>
      </c>
      <c r="H12" s="2262" t="s">
        <v>1111</v>
      </c>
      <c r="I12" s="2262"/>
      <c r="J12" s="2262"/>
      <c r="K12" s="2262"/>
      <c r="L12" s="2262"/>
      <c r="M12" s="2262"/>
      <c r="N12" s="2262"/>
      <c r="O12" s="794"/>
    </row>
    <row r="13" spans="2:15" ht="60">
      <c r="B13" s="732" t="s">
        <v>1089</v>
      </c>
      <c r="C13" s="732" t="s">
        <v>1090</v>
      </c>
      <c r="D13" s="2256">
        <f>D12*D11</f>
        <v>0</v>
      </c>
      <c r="E13" s="2257"/>
      <c r="F13" s="2258"/>
      <c r="G13" s="731">
        <f>G12*G11</f>
        <v>0</v>
      </c>
      <c r="H13" s="2259"/>
      <c r="I13" s="2260"/>
      <c r="J13" s="2260"/>
      <c r="K13" s="2260"/>
      <c r="L13" s="2260"/>
      <c r="M13" s="2260"/>
      <c r="N13" s="2261"/>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05" t="s">
        <v>183</v>
      </c>
      <c r="C16" s="1205"/>
      <c r="D16" s="1205"/>
      <c r="E16" s="1205"/>
      <c r="F16" s="1205"/>
      <c r="G16" s="1205"/>
      <c r="H16" s="1205"/>
      <c r="I16" s="1205"/>
      <c r="J16" s="1205"/>
      <c r="K16" s="1205"/>
      <c r="L16" s="1205"/>
      <c r="M16" s="1205"/>
      <c r="N16" s="1205"/>
      <c r="O16" s="1205"/>
    </row>
    <row r="17" spans="2:30" ht="36">
      <c r="B17" s="703" t="s">
        <v>0</v>
      </c>
      <c r="C17" s="716" t="s">
        <v>1093</v>
      </c>
      <c r="D17" s="716" t="s">
        <v>1094</v>
      </c>
      <c r="E17" s="716" t="s">
        <v>1092</v>
      </c>
      <c r="F17" s="20" t="s">
        <v>42</v>
      </c>
      <c r="G17" s="20" t="s">
        <v>43</v>
      </c>
      <c r="H17" s="18" t="s">
        <v>35</v>
      </c>
      <c r="I17" s="18" t="s">
        <v>36</v>
      </c>
      <c r="J17" s="20" t="s">
        <v>2</v>
      </c>
      <c r="K17" s="20" t="s">
        <v>3</v>
      </c>
      <c r="L17" s="20" t="s">
        <v>39</v>
      </c>
      <c r="M17" s="20" t="s">
        <v>38</v>
      </c>
      <c r="N17" s="20" t="s">
        <v>45</v>
      </c>
      <c r="O17" s="20" t="s">
        <v>44</v>
      </c>
      <c r="Q17" s="703" t="s">
        <v>0</v>
      </c>
      <c r="R17" s="919" t="s">
        <v>1367</v>
      </c>
      <c r="S17" s="919" t="s">
        <v>1368</v>
      </c>
      <c r="T17" s="895" t="s">
        <v>1092</v>
      </c>
      <c r="U17" s="20" t="s">
        <v>42</v>
      </c>
      <c r="V17" s="20" t="s">
        <v>43</v>
      </c>
      <c r="W17" s="18" t="s">
        <v>566</v>
      </c>
      <c r="X17" s="20" t="s">
        <v>567</v>
      </c>
      <c r="Y17" s="20" t="s">
        <v>2</v>
      </c>
      <c r="Z17" s="20" t="s">
        <v>3</v>
      </c>
      <c r="AA17" s="20" t="s">
        <v>568</v>
      </c>
      <c r="AB17" s="20" t="s">
        <v>569</v>
      </c>
      <c r="AC17" s="20" t="s">
        <v>570</v>
      </c>
      <c r="AD17" s="20" t="s">
        <v>571</v>
      </c>
    </row>
    <row r="18" spans="2:30" ht="36">
      <c r="B18" s="703" t="s">
        <v>14</v>
      </c>
      <c r="C18" s="20" t="s">
        <v>16</v>
      </c>
      <c r="D18" s="20" t="s">
        <v>17</v>
      </c>
      <c r="E18" s="622" t="s">
        <v>18</v>
      </c>
      <c r="F18" s="20" t="s">
        <v>19</v>
      </c>
      <c r="G18" s="20" t="s">
        <v>20</v>
      </c>
      <c r="H18" s="20" t="s">
        <v>30</v>
      </c>
      <c r="I18" s="20" t="s">
        <v>29</v>
      </c>
      <c r="J18" s="20" t="s">
        <v>21</v>
      </c>
      <c r="K18" s="20" t="s">
        <v>22</v>
      </c>
      <c r="L18" s="20" t="s">
        <v>608</v>
      </c>
      <c r="M18" s="20" t="s">
        <v>607</v>
      </c>
      <c r="N18" s="704" t="s">
        <v>25</v>
      </c>
      <c r="O18" s="20" t="s">
        <v>32</v>
      </c>
      <c r="Q18" s="703" t="s">
        <v>14</v>
      </c>
      <c r="R18" s="916" t="s">
        <v>1363</v>
      </c>
      <c r="S18" s="916" t="s">
        <v>1364</v>
      </c>
      <c r="T18" s="20" t="s">
        <v>18</v>
      </c>
      <c r="U18" s="20" t="s">
        <v>19</v>
      </c>
      <c r="V18" s="20" t="s">
        <v>20</v>
      </c>
      <c r="W18" s="20" t="s">
        <v>30</v>
      </c>
      <c r="X18" s="20" t="s">
        <v>29</v>
      </c>
      <c r="Y18" s="20" t="s">
        <v>21</v>
      </c>
      <c r="Z18" s="20" t="s">
        <v>22</v>
      </c>
      <c r="AA18" s="20" t="s">
        <v>608</v>
      </c>
      <c r="AB18" s="20" t="s">
        <v>607</v>
      </c>
      <c r="AC18" s="704" t="s">
        <v>25</v>
      </c>
      <c r="AD18" s="20" t="s">
        <v>32</v>
      </c>
    </row>
    <row r="19" spans="2:30">
      <c r="B19" s="700" t="s">
        <v>15</v>
      </c>
      <c r="C19" s="737" t="s">
        <v>1091</v>
      </c>
      <c r="D19" s="737" t="s">
        <v>1091</v>
      </c>
      <c r="E19" s="737" t="s">
        <v>172</v>
      </c>
      <c r="F19" s="5" t="s">
        <v>10</v>
      </c>
      <c r="G19" s="5" t="s">
        <v>10</v>
      </c>
      <c r="H19" s="5" t="s">
        <v>11</v>
      </c>
      <c r="I19" s="5" t="s">
        <v>11</v>
      </c>
      <c r="J19" s="5" t="s">
        <v>10</v>
      </c>
      <c r="K19" s="5" t="s">
        <v>10</v>
      </c>
      <c r="L19" s="5" t="s">
        <v>11</v>
      </c>
      <c r="M19" s="5" t="s">
        <v>11</v>
      </c>
      <c r="N19" s="5" t="s">
        <v>11</v>
      </c>
      <c r="O19" s="700" t="s">
        <v>31</v>
      </c>
      <c r="Q19" s="700" t="s">
        <v>15</v>
      </c>
      <c r="R19" s="737" t="s">
        <v>1091</v>
      </c>
      <c r="S19" s="737" t="s">
        <v>1091</v>
      </c>
      <c r="T19" s="737" t="s">
        <v>172</v>
      </c>
      <c r="U19" s="5" t="s">
        <v>10</v>
      </c>
      <c r="V19" s="5" t="s">
        <v>10</v>
      </c>
      <c r="W19" s="5" t="s">
        <v>11</v>
      </c>
      <c r="X19" s="5" t="s">
        <v>11</v>
      </c>
      <c r="Y19" s="5" t="s">
        <v>10</v>
      </c>
      <c r="Z19" s="5" t="s">
        <v>10</v>
      </c>
      <c r="AA19" s="5" t="s">
        <v>11</v>
      </c>
      <c r="AB19" s="5" t="s">
        <v>11</v>
      </c>
      <c r="AC19" s="5" t="s">
        <v>11</v>
      </c>
      <c r="AD19" s="700" t="s">
        <v>31</v>
      </c>
    </row>
    <row r="20" spans="2:30">
      <c r="B20" s="700">
        <v>1</v>
      </c>
      <c r="C20" s="3"/>
      <c r="D20" s="738">
        <f>G13</f>
        <v>0</v>
      </c>
      <c r="E20" s="739">
        <f>温度条件他根拠!E21</f>
        <v>0</v>
      </c>
      <c r="F20" s="740">
        <v>0</v>
      </c>
      <c r="G20" s="741">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914">
        <f>温度条件他根拠!E21</f>
        <v>0</v>
      </c>
      <c r="U20" s="740">
        <f>F20</f>
        <v>0</v>
      </c>
      <c r="V20" s="903">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740">
        <v>0</v>
      </c>
      <c r="G21" s="741">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00">
        <v>2</v>
      </c>
      <c r="R21" s="3"/>
      <c r="S21" s="3"/>
      <c r="T21" s="915">
        <f>T20</f>
        <v>0</v>
      </c>
      <c r="U21" s="740">
        <f t="shared" ref="U21:V31" si="9">F21</f>
        <v>0</v>
      </c>
      <c r="V21" s="903">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00">
        <v>3</v>
      </c>
      <c r="C22" s="3"/>
      <c r="D22" s="3"/>
      <c r="E22" s="740">
        <f>E21</f>
        <v>0</v>
      </c>
      <c r="F22" s="740">
        <v>0</v>
      </c>
      <c r="G22" s="741">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700">
        <v>3</v>
      </c>
      <c r="R22" s="3"/>
      <c r="S22" s="3"/>
      <c r="T22" s="915">
        <f t="shared" ref="T22:T31" si="12">T21</f>
        <v>0</v>
      </c>
      <c r="U22" s="740">
        <f t="shared" si="9"/>
        <v>0</v>
      </c>
      <c r="V22" s="903">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700">
        <v>4</v>
      </c>
      <c r="C23" s="3"/>
      <c r="D23" s="3"/>
      <c r="E23" s="740">
        <f t="shared" ref="E23:E31" si="13">E22</f>
        <v>0</v>
      </c>
      <c r="F23" s="740">
        <v>0</v>
      </c>
      <c r="G23" s="741">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700">
        <v>4</v>
      </c>
      <c r="R23" s="3"/>
      <c r="S23" s="3"/>
      <c r="T23" s="915">
        <f t="shared" si="12"/>
        <v>0</v>
      </c>
      <c r="U23" s="740">
        <f t="shared" si="9"/>
        <v>0</v>
      </c>
      <c r="V23" s="903">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700">
        <v>5</v>
      </c>
      <c r="C24" s="3"/>
      <c r="D24" s="3"/>
      <c r="E24" s="740">
        <f t="shared" si="13"/>
        <v>0</v>
      </c>
      <c r="F24" s="741">
        <f>0.175*(温度条件他根拠!$E$7-温度条件他根拠!$E$9)/(温度条件他根拠!$E$7-23.9)</f>
        <v>8.5312499999999958E-2</v>
      </c>
      <c r="G24" s="741">
        <f>0.2*(温度条件他根拠!$E$10-13.4)/(温度条件他根拠!$E$10-温度条件他根拠!$E$8)</f>
        <v>6.3768115942028997E-2</v>
      </c>
      <c r="H24" s="738">
        <f>$C$27*E24*F24/1000</f>
        <v>0</v>
      </c>
      <c r="I24" s="738">
        <f>G24*E24*$D$20/1000</f>
        <v>0</v>
      </c>
      <c r="J24" s="2">
        <f t="shared" si="14"/>
        <v>3.55</v>
      </c>
      <c r="K24" s="6">
        <f t="shared" si="14"/>
        <v>3.95</v>
      </c>
      <c r="L24" s="7">
        <f t="shared" si="1"/>
        <v>0</v>
      </c>
      <c r="M24" s="7">
        <f t="shared" si="1"/>
        <v>0</v>
      </c>
      <c r="N24" s="13">
        <f t="shared" si="7"/>
        <v>0</v>
      </c>
      <c r="O24" s="12">
        <f t="shared" si="8"/>
        <v>0</v>
      </c>
      <c r="Q24" s="700">
        <v>5</v>
      </c>
      <c r="R24" s="3"/>
      <c r="S24" s="3"/>
      <c r="T24" s="915">
        <f t="shared" si="12"/>
        <v>0</v>
      </c>
      <c r="U24" s="903">
        <f t="shared" si="9"/>
        <v>8.5312499999999958E-2</v>
      </c>
      <c r="V24" s="903">
        <f t="shared" si="9"/>
        <v>6.3768115942028997E-2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700">
        <v>6</v>
      </c>
      <c r="C25" s="3"/>
      <c r="D25" s="3"/>
      <c r="E25" s="740">
        <f t="shared" si="13"/>
        <v>0</v>
      </c>
      <c r="F25" s="741">
        <f>0.7*(温度条件他根拠!$E$7-温度条件他根拠!$E$9)/(温度条件他根拠!$E$7-26.4)</f>
        <v>0.49636363636363612</v>
      </c>
      <c r="G25" s="740">
        <v>0</v>
      </c>
      <c r="H25" s="7">
        <f t="shared" si="5"/>
        <v>0</v>
      </c>
      <c r="I25" s="7">
        <f t="shared" si="6"/>
        <v>0</v>
      </c>
      <c r="J25" s="2">
        <f t="shared" si="14"/>
        <v>3.55</v>
      </c>
      <c r="K25" s="6">
        <f t="shared" si="14"/>
        <v>3.95</v>
      </c>
      <c r="L25" s="7">
        <f t="shared" si="1"/>
        <v>0</v>
      </c>
      <c r="M25" s="7">
        <f t="shared" si="1"/>
        <v>0</v>
      </c>
      <c r="N25" s="13">
        <f t="shared" si="7"/>
        <v>0</v>
      </c>
      <c r="O25" s="12">
        <f t="shared" si="8"/>
        <v>0</v>
      </c>
      <c r="Q25" s="700">
        <v>6</v>
      </c>
      <c r="R25" s="3"/>
      <c r="S25" s="3"/>
      <c r="T25" s="915">
        <f t="shared" si="12"/>
        <v>0</v>
      </c>
      <c r="U25" s="903">
        <f t="shared" si="9"/>
        <v>0.49636363636363612</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00">
        <v>7</v>
      </c>
      <c r="C26" s="3"/>
      <c r="D26" s="3"/>
      <c r="E26" s="740">
        <f t="shared" si="13"/>
        <v>0</v>
      </c>
      <c r="F26" s="741">
        <f>0.7*(温度条件他根拠!$E$7-温度条件他根拠!$E$9)/(温度条件他根拠!$E$7-28)</f>
        <v>0.7</v>
      </c>
      <c r="G26" s="740">
        <v>0</v>
      </c>
      <c r="H26" s="7">
        <f t="shared" si="5"/>
        <v>0</v>
      </c>
      <c r="I26" s="7">
        <f t="shared" si="6"/>
        <v>0</v>
      </c>
      <c r="J26" s="2">
        <f t="shared" si="14"/>
        <v>3.55</v>
      </c>
      <c r="K26" s="6">
        <f t="shared" si="14"/>
        <v>3.95</v>
      </c>
      <c r="L26" s="7">
        <f t="shared" si="1"/>
        <v>0</v>
      </c>
      <c r="M26" s="7">
        <f t="shared" si="1"/>
        <v>0</v>
      </c>
      <c r="N26" s="13">
        <f t="shared" si="7"/>
        <v>0</v>
      </c>
      <c r="O26" s="12">
        <f t="shared" si="8"/>
        <v>0</v>
      </c>
      <c r="Q26" s="700">
        <v>7</v>
      </c>
      <c r="R26" s="3"/>
      <c r="S26" s="3"/>
      <c r="T26" s="915">
        <f t="shared" si="12"/>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00">
        <v>8</v>
      </c>
      <c r="C27" s="738">
        <f>D13</f>
        <v>0</v>
      </c>
      <c r="D27" s="3"/>
      <c r="E27" s="740">
        <f t="shared" si="13"/>
        <v>0</v>
      </c>
      <c r="F27" s="741">
        <f>0.7*(温度条件他根拠!$E$7-温度条件他根拠!$E$9)/(温度条件他根拠!$E$7-28)</f>
        <v>0.7</v>
      </c>
      <c r="G27" s="740">
        <v>0</v>
      </c>
      <c r="H27" s="7">
        <f t="shared" si="5"/>
        <v>0</v>
      </c>
      <c r="I27" s="7">
        <f t="shared" si="6"/>
        <v>0</v>
      </c>
      <c r="J27" s="2">
        <f t="shared" si="14"/>
        <v>3.55</v>
      </c>
      <c r="K27" s="6">
        <f t="shared" si="14"/>
        <v>3.95</v>
      </c>
      <c r="L27" s="7">
        <f t="shared" si="1"/>
        <v>0</v>
      </c>
      <c r="M27" s="7">
        <f t="shared" si="1"/>
        <v>0</v>
      </c>
      <c r="N27" s="13">
        <f t="shared" si="7"/>
        <v>0</v>
      </c>
      <c r="O27" s="12">
        <f t="shared" si="8"/>
        <v>0</v>
      </c>
      <c r="Q27" s="700">
        <v>8</v>
      </c>
      <c r="R27" s="738">
        <f>E8*D12</f>
        <v>0</v>
      </c>
      <c r="S27" s="3"/>
      <c r="T27" s="915">
        <f t="shared" si="12"/>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00">
        <v>9</v>
      </c>
      <c r="C28" s="3"/>
      <c r="D28" s="3"/>
      <c r="E28" s="740">
        <f t="shared" si="13"/>
        <v>0</v>
      </c>
      <c r="F28" s="741">
        <f>0.7*(温度条件他根拠!$E$7-温度条件他根拠!$E$9)/(温度条件他根拠!$E$7-27.2)</f>
        <v>0.58085106382978702</v>
      </c>
      <c r="G28" s="740">
        <v>0</v>
      </c>
      <c r="H28" s="7">
        <f t="shared" si="5"/>
        <v>0</v>
      </c>
      <c r="I28" s="7">
        <f t="shared" si="6"/>
        <v>0</v>
      </c>
      <c r="J28" s="2">
        <f t="shared" si="14"/>
        <v>3.55</v>
      </c>
      <c r="K28" s="6">
        <f t="shared" si="14"/>
        <v>3.95</v>
      </c>
      <c r="L28" s="7">
        <f t="shared" si="1"/>
        <v>0</v>
      </c>
      <c r="M28" s="7">
        <f t="shared" si="1"/>
        <v>0</v>
      </c>
      <c r="N28" s="13">
        <f t="shared" si="7"/>
        <v>0</v>
      </c>
      <c r="O28" s="12">
        <f t="shared" si="8"/>
        <v>0</v>
      </c>
      <c r="Q28" s="700">
        <v>9</v>
      </c>
      <c r="R28" s="3"/>
      <c r="S28" s="3"/>
      <c r="T28" s="915">
        <f t="shared" si="12"/>
        <v>0</v>
      </c>
      <c r="U28" s="903">
        <f t="shared" si="9"/>
        <v>0.58085106382978702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00">
        <v>10</v>
      </c>
      <c r="C29" s="3"/>
      <c r="D29" s="3"/>
      <c r="E29" s="740">
        <f t="shared" si="13"/>
        <v>0</v>
      </c>
      <c r="F29" s="741">
        <f>0.175*(温度条件他根拠!$E$7-温度条件他根拠!$E$9)/(温度条件他根拠!$E$7-21.7)</f>
        <v>6.6911764705882323E-2</v>
      </c>
      <c r="G29" s="741">
        <f>0.2*(温度条件他根拠!$E$10-13)/(温度条件他根拠!$E$10-温度条件他根拠!$E$8)</f>
        <v>6.7632850241545903E-2</v>
      </c>
      <c r="H29" s="738">
        <f>$C$27*E29*F29/1000</f>
        <v>0</v>
      </c>
      <c r="I29" s="738">
        <f>G29*E29*$D$20/1000</f>
        <v>0</v>
      </c>
      <c r="J29" s="2">
        <f t="shared" si="14"/>
        <v>3.55</v>
      </c>
      <c r="K29" s="6">
        <f t="shared" si="14"/>
        <v>3.95</v>
      </c>
      <c r="L29" s="7">
        <f t="shared" si="1"/>
        <v>0</v>
      </c>
      <c r="M29" s="7">
        <f t="shared" si="1"/>
        <v>0</v>
      </c>
      <c r="N29" s="13">
        <f t="shared" si="7"/>
        <v>0</v>
      </c>
      <c r="O29" s="12">
        <f t="shared" si="8"/>
        <v>0</v>
      </c>
      <c r="Q29" s="700">
        <v>10</v>
      </c>
      <c r="R29" s="3"/>
      <c r="S29" s="3"/>
      <c r="T29" s="915">
        <f t="shared" si="12"/>
        <v>0</v>
      </c>
      <c r="U29" s="903">
        <f t="shared" si="9"/>
        <v>6.6911764705882323E-2</v>
      </c>
      <c r="V29" s="903">
        <f t="shared" si="9"/>
        <v>6.7632850241545903E-2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700">
        <v>11</v>
      </c>
      <c r="C30" s="3"/>
      <c r="D30" s="3"/>
      <c r="E30" s="740">
        <f t="shared" si="13"/>
        <v>0</v>
      </c>
      <c r="F30" s="740">
        <v>0</v>
      </c>
      <c r="G30" s="741">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700">
        <v>11</v>
      </c>
      <c r="R30" s="3"/>
      <c r="S30" s="3"/>
      <c r="T30" s="915">
        <f t="shared" si="12"/>
        <v>0</v>
      </c>
      <c r="U30" s="740">
        <f t="shared" si="9"/>
        <v>0</v>
      </c>
      <c r="V30" s="903">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00">
        <v>12</v>
      </c>
      <c r="C31" s="3"/>
      <c r="D31" s="3"/>
      <c r="E31" s="740">
        <f t="shared" si="13"/>
        <v>0</v>
      </c>
      <c r="F31" s="740">
        <v>0</v>
      </c>
      <c r="G31" s="741">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700">
        <v>12</v>
      </c>
      <c r="R31" s="3"/>
      <c r="S31" s="3"/>
      <c r="T31" s="915">
        <f t="shared" si="12"/>
        <v>0</v>
      </c>
      <c r="U31" s="740">
        <f t="shared" si="9"/>
        <v>0</v>
      </c>
      <c r="V31" s="903">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1055</v>
      </c>
    </row>
    <row r="57" spans="2:3">
      <c r="B57" s="609">
        <v>43927</v>
      </c>
      <c r="C57" s="608" t="s">
        <v>852</v>
      </c>
    </row>
    <row r="58" spans="2:3">
      <c r="B58" s="609">
        <v>44634</v>
      </c>
      <c r="C58" s="608" t="s">
        <v>1095</v>
      </c>
    </row>
    <row r="59" spans="2:3">
      <c r="C59" s="608" t="s">
        <v>1096</v>
      </c>
    </row>
    <row r="60" spans="2:3">
      <c r="C60" s="1" t="s">
        <v>1097</v>
      </c>
    </row>
    <row r="61" spans="2:3">
      <c r="C61" s="1" t="s">
        <v>1109</v>
      </c>
    </row>
    <row r="62" spans="2:3">
      <c r="C62" s="1" t="s">
        <v>1110</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topLeftCell="D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thickBot="1">
      <c r="B13" s="2282"/>
      <c r="C13" s="780" t="s">
        <v>1378</v>
      </c>
      <c r="D13" s="752">
        <f>結果!H38</f>
        <v>0</v>
      </c>
      <c r="E13" s="752">
        <f>結果!J38</f>
        <v>0</v>
      </c>
      <c r="F13" s="752">
        <f>結果!L38</f>
        <v>0</v>
      </c>
      <c r="G13" s="782">
        <f>結果!Q38</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282"/>
      <c r="C16" s="748" t="str">
        <f t="shared" ref="C16:C32" si="4">C7</f>
        <v>北東</v>
      </c>
      <c r="D16" s="749">
        <f>結果!H72</f>
        <v>0</v>
      </c>
      <c r="E16" s="749">
        <f>結果!J72</f>
        <v>0</v>
      </c>
      <c r="F16" s="749">
        <f>結果!L72</f>
        <v>0</v>
      </c>
      <c r="G16" s="750">
        <f>結果!Q72</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4"/>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4"/>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4"/>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4"/>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4"/>
        <v>北西</v>
      </c>
      <c r="D22" s="752">
        <f>結果!H78</f>
        <v>0</v>
      </c>
      <c r="E22" s="752">
        <f>結果!J78</f>
        <v>0</v>
      </c>
      <c r="F22" s="752">
        <f>結果!L78</f>
        <v>0</v>
      </c>
      <c r="G22" s="753">
        <f>結果!Q78</f>
        <v>0</v>
      </c>
      <c r="H22" s="912"/>
      <c r="I22" s="912"/>
      <c r="J22" s="2291"/>
      <c r="K22" s="2264"/>
      <c r="L22" s="2264"/>
      <c r="M22" s="798"/>
      <c r="N22" s="2264"/>
      <c r="O22" s="2264"/>
      <c r="P22" s="2264"/>
    </row>
    <row r="23" spans="2:16" ht="13.5"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1:30" ht="13.5" thickBot="1">
      <c r="B33" s="2284"/>
      <c r="C33" s="773" t="s">
        <v>1106</v>
      </c>
      <c r="D33" s="2288">
        <f>MAX(D32:F32)</f>
        <v>0</v>
      </c>
      <c r="E33" s="2289"/>
      <c r="F33" s="2290"/>
      <c r="G33" s="775">
        <f>G32</f>
        <v>0</v>
      </c>
      <c r="H33" s="796"/>
      <c r="I33" s="796"/>
      <c r="J33" s="796"/>
      <c r="K33" s="796"/>
      <c r="L33" s="796"/>
      <c r="M33" s="798"/>
      <c r="N33" s="798"/>
      <c r="O33" s="798"/>
      <c r="P33" s="799"/>
    </row>
    <row r="34" spans="1:30">
      <c r="A34" s="799"/>
      <c r="B34" s="795"/>
      <c r="C34" s="796"/>
      <c r="D34" s="797"/>
      <c r="E34" s="796"/>
      <c r="F34" s="796"/>
      <c r="G34" s="797"/>
      <c r="H34" s="796"/>
      <c r="I34" s="796"/>
      <c r="J34" s="796"/>
      <c r="K34" s="796"/>
      <c r="L34" s="796"/>
      <c r="M34" s="798"/>
      <c r="N34" s="798"/>
      <c r="O34" s="798"/>
      <c r="P34" s="799"/>
      <c r="Q34" s="799"/>
      <c r="R34" s="799"/>
      <c r="S34" s="799"/>
      <c r="T34" s="799"/>
    </row>
    <row r="35" spans="1:30">
      <c r="A35" s="799"/>
      <c r="B35" s="795"/>
      <c r="C35" s="796"/>
      <c r="D35" s="797"/>
      <c r="E35" s="796"/>
      <c r="F35" s="796"/>
      <c r="G35" s="797"/>
      <c r="H35" s="796"/>
      <c r="I35" s="796"/>
      <c r="J35" s="796"/>
      <c r="K35" s="796"/>
      <c r="L35" s="796"/>
      <c r="M35" s="798"/>
      <c r="N35" s="798"/>
      <c r="O35" s="798"/>
      <c r="P35" s="799"/>
      <c r="Q35" s="799"/>
      <c r="R35" s="799"/>
      <c r="S35" s="799"/>
      <c r="T35" s="799"/>
    </row>
    <row r="36" spans="1:30">
      <c r="A36" s="799"/>
      <c r="B36" s="795"/>
      <c r="C36" s="796"/>
      <c r="D36" s="797"/>
      <c r="E36" s="796"/>
      <c r="F36" s="796"/>
      <c r="G36" s="797"/>
      <c r="H36" s="796"/>
      <c r="I36" s="796"/>
      <c r="J36" s="796"/>
      <c r="K36" s="796"/>
      <c r="L36" s="796"/>
      <c r="M36" s="798"/>
      <c r="N36" s="798"/>
      <c r="O36" s="798"/>
      <c r="P36" s="799"/>
      <c r="Q36" s="799"/>
      <c r="R36" s="799"/>
      <c r="S36" s="799"/>
      <c r="T36" s="799"/>
    </row>
    <row r="37" spans="1:30">
      <c r="A37" s="799"/>
      <c r="B37" s="795"/>
      <c r="C37" s="796"/>
      <c r="D37" s="797"/>
      <c r="E37" s="796"/>
      <c r="F37" s="796"/>
      <c r="G37" s="797"/>
      <c r="H37" s="796"/>
      <c r="I37" s="796"/>
      <c r="J37" s="796"/>
      <c r="K37" s="796"/>
      <c r="L37" s="796"/>
      <c r="M37" s="798"/>
      <c r="N37" s="798"/>
      <c r="O37" s="798"/>
      <c r="P37" s="799"/>
      <c r="Q37" s="799"/>
      <c r="R37" s="799"/>
      <c r="S37" s="799"/>
      <c r="T37" s="799"/>
    </row>
    <row r="38" spans="1:30">
      <c r="A38" s="799"/>
      <c r="B38" s="795"/>
      <c r="C38" s="796"/>
      <c r="D38" s="797"/>
      <c r="E38" s="796"/>
      <c r="F38" s="796"/>
      <c r="G38" s="797"/>
      <c r="H38" s="796"/>
      <c r="I38" s="796"/>
      <c r="J38" s="796"/>
      <c r="K38" s="796"/>
      <c r="L38" s="796"/>
      <c r="M38" s="798"/>
      <c r="N38" s="798"/>
      <c r="O38" s="798"/>
      <c r="P38" s="799"/>
      <c r="Q38" s="799"/>
      <c r="R38" s="799"/>
      <c r="S38" s="799"/>
      <c r="T38" s="799"/>
    </row>
    <row r="39" spans="1:30">
      <c r="A39" s="799"/>
      <c r="B39" s="795"/>
      <c r="C39" s="796"/>
      <c r="D39" s="797"/>
      <c r="E39" s="796"/>
      <c r="F39" s="796"/>
      <c r="G39" s="797"/>
      <c r="H39" s="796"/>
      <c r="I39" s="796"/>
      <c r="J39" s="796"/>
      <c r="K39" s="796"/>
      <c r="L39" s="796"/>
      <c r="M39" s="798"/>
      <c r="N39" s="798"/>
      <c r="O39" s="798"/>
      <c r="P39" s="799"/>
      <c r="Q39" s="799"/>
      <c r="R39" s="799"/>
      <c r="S39" s="799"/>
      <c r="T39" s="799"/>
    </row>
    <row r="40" spans="1:30">
      <c r="A40" s="799"/>
      <c r="B40" s="795"/>
      <c r="C40" s="796"/>
      <c r="D40" s="797"/>
      <c r="E40" s="796"/>
      <c r="F40" s="796"/>
      <c r="G40" s="797"/>
      <c r="H40" s="796"/>
      <c r="I40" s="796"/>
      <c r="J40" s="796"/>
      <c r="K40" s="796"/>
      <c r="L40" s="796"/>
      <c r="M40" s="798"/>
      <c r="N40" s="798"/>
      <c r="O40" s="798"/>
      <c r="P40" s="799"/>
      <c r="Q40" s="799"/>
      <c r="R40" s="799"/>
      <c r="S40" s="799"/>
      <c r="T40" s="799"/>
    </row>
    <row r="41" spans="1:30">
      <c r="A41" s="799"/>
      <c r="B41" s="795"/>
      <c r="C41" s="796"/>
      <c r="D41" s="797"/>
      <c r="E41" s="796"/>
      <c r="F41" s="796"/>
      <c r="G41" s="797"/>
      <c r="H41" s="796"/>
      <c r="I41" s="796"/>
      <c r="J41" s="796"/>
      <c r="K41" s="796"/>
      <c r="L41" s="796"/>
      <c r="M41" s="798"/>
      <c r="N41" s="798"/>
      <c r="O41" s="798"/>
      <c r="P41" s="799"/>
      <c r="Q41" s="799"/>
      <c r="R41" s="799"/>
      <c r="S41" s="799"/>
      <c r="T41" s="799"/>
    </row>
    <row r="42" spans="1:30">
      <c r="A42" s="799"/>
      <c r="B42" s="795"/>
      <c r="C42" s="796"/>
      <c r="D42" s="797"/>
      <c r="E42" s="796"/>
      <c r="F42" s="796"/>
      <c r="G42" s="797"/>
      <c r="H42" s="796"/>
      <c r="I42" s="796"/>
      <c r="J42" s="796"/>
      <c r="K42" s="796"/>
      <c r="L42" s="796"/>
      <c r="M42" s="798"/>
      <c r="N42" s="798"/>
      <c r="O42" s="798"/>
      <c r="P42" s="799"/>
      <c r="Q42" s="799"/>
      <c r="R42" s="799"/>
      <c r="S42" s="799"/>
      <c r="T42" s="799"/>
    </row>
    <row r="43" spans="1:30">
      <c r="A43" s="799"/>
      <c r="B43" s="795"/>
      <c r="C43" s="796"/>
      <c r="D43" s="797"/>
      <c r="E43" s="796"/>
      <c r="F43" s="796"/>
      <c r="G43" s="797"/>
      <c r="H43" s="796"/>
      <c r="I43" s="796"/>
      <c r="J43" s="796"/>
      <c r="K43" s="796"/>
      <c r="L43" s="796"/>
      <c r="M43" s="798"/>
      <c r="N43" s="798"/>
      <c r="O43" s="798"/>
      <c r="P43" s="799"/>
      <c r="Q43" s="799"/>
      <c r="R43" s="799"/>
      <c r="S43" s="799"/>
      <c r="T43" s="799"/>
    </row>
    <row r="44" spans="1:30">
      <c r="A44" s="799"/>
      <c r="B44" s="795"/>
      <c r="C44" s="796"/>
      <c r="D44" s="797"/>
      <c r="E44" s="796"/>
      <c r="F44" s="796"/>
      <c r="G44" s="797"/>
      <c r="H44" s="796"/>
      <c r="I44" s="796"/>
      <c r="J44" s="796"/>
      <c r="K44" s="796"/>
      <c r="L44" s="796"/>
      <c r="M44" s="798"/>
      <c r="N44" s="798"/>
      <c r="O44" s="798"/>
      <c r="P44" s="799"/>
      <c r="Q44" s="799"/>
      <c r="R44" s="799"/>
      <c r="S44" s="799"/>
      <c r="T44" s="799"/>
    </row>
    <row r="45" spans="1:30">
      <c r="B45" s="1205" t="s">
        <v>183</v>
      </c>
      <c r="C45" s="1205"/>
      <c r="D45" s="1205"/>
      <c r="E45" s="1205"/>
      <c r="F45" s="1205"/>
      <c r="G45" s="1205"/>
      <c r="H45" s="1205"/>
      <c r="I45" s="1205"/>
      <c r="J45" s="1205"/>
      <c r="K45" s="1205"/>
      <c r="L45" s="1205"/>
      <c r="M45" s="1205"/>
      <c r="N45" s="1205"/>
      <c r="O45" s="1205"/>
    </row>
    <row r="46" spans="1:30" ht="36">
      <c r="B46" s="554" t="s">
        <v>0</v>
      </c>
      <c r="C46" s="716" t="s">
        <v>1093</v>
      </c>
      <c r="D46" s="716" t="s">
        <v>1094</v>
      </c>
      <c r="E46" s="716" t="s">
        <v>1092</v>
      </c>
      <c r="F46" s="20" t="s">
        <v>42</v>
      </c>
      <c r="G46" s="20" t="s">
        <v>43</v>
      </c>
      <c r="H46" s="18" t="s">
        <v>35</v>
      </c>
      <c r="I46" s="18" t="s">
        <v>36</v>
      </c>
      <c r="J46" s="20" t="s">
        <v>2</v>
      </c>
      <c r="K46" s="20" t="s">
        <v>3</v>
      </c>
      <c r="L46" s="20" t="s">
        <v>39</v>
      </c>
      <c r="M46" s="20" t="s">
        <v>38</v>
      </c>
      <c r="N46" s="20" t="s">
        <v>45</v>
      </c>
      <c r="O46" s="20" t="s">
        <v>44</v>
      </c>
      <c r="Q46" s="554" t="s">
        <v>0</v>
      </c>
      <c r="R46" s="919" t="s">
        <v>1367</v>
      </c>
      <c r="S46" s="919" t="s">
        <v>1368</v>
      </c>
      <c r="T46" s="913" t="s">
        <v>1092</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1:30">
      <c r="B48" s="553" t="s">
        <v>15</v>
      </c>
      <c r="C48" s="737" t="s">
        <v>1091</v>
      </c>
      <c r="D48" s="737" t="s">
        <v>1091</v>
      </c>
      <c r="E48" s="737" t="s">
        <v>172</v>
      </c>
      <c r="F48" s="5" t="s">
        <v>10</v>
      </c>
      <c r="G48" s="5" t="s">
        <v>10</v>
      </c>
      <c r="H48" s="5" t="s">
        <v>11</v>
      </c>
      <c r="I48" s="5" t="s">
        <v>11</v>
      </c>
      <c r="J48" s="5" t="s">
        <v>10</v>
      </c>
      <c r="K48" s="5" t="s">
        <v>10</v>
      </c>
      <c r="L48" s="5" t="s">
        <v>11</v>
      </c>
      <c r="M48" s="5" t="s">
        <v>11</v>
      </c>
      <c r="N48" s="5" t="s">
        <v>11</v>
      </c>
      <c r="O48" s="553" t="s">
        <v>31</v>
      </c>
      <c r="Q48" s="553" t="s">
        <v>15</v>
      </c>
      <c r="R48" s="737" t="s">
        <v>1091</v>
      </c>
      <c r="S48" s="737" t="s">
        <v>1091</v>
      </c>
      <c r="T48" s="737" t="s">
        <v>172</v>
      </c>
      <c r="U48" s="737" t="s">
        <v>10</v>
      </c>
      <c r="V48" s="737"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03">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03">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40">
        <f>E50</f>
        <v>0</v>
      </c>
      <c r="F51" s="740">
        <v>0</v>
      </c>
      <c r="G51" s="741">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740">
        <f t="shared" ref="T51:T60" si="24">T50</f>
        <v>0</v>
      </c>
      <c r="U51" s="740">
        <f t="shared" si="21"/>
        <v>0</v>
      </c>
      <c r="V51" s="903">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740">
        <f t="shared" ref="E52:E60" si="25">E51</f>
        <v>0</v>
      </c>
      <c r="F52" s="740">
        <v>0</v>
      </c>
      <c r="G52" s="741">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740">
        <f t="shared" si="24"/>
        <v>0</v>
      </c>
      <c r="U52" s="740">
        <f t="shared" si="21"/>
        <v>0</v>
      </c>
      <c r="V52" s="903">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740">
        <f t="shared" si="25"/>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6"/>
        <v>3.55</v>
      </c>
      <c r="K53" s="6">
        <f t="shared" si="26"/>
        <v>3.95</v>
      </c>
      <c r="L53" s="7">
        <f t="shared" si="13"/>
        <v>0</v>
      </c>
      <c r="M53" s="7">
        <f t="shared" si="13"/>
        <v>0</v>
      </c>
      <c r="N53" s="13">
        <f t="shared" si="19"/>
        <v>0</v>
      </c>
      <c r="O53" s="12">
        <f t="shared" si="20"/>
        <v>0</v>
      </c>
      <c r="Q53" s="553">
        <v>5</v>
      </c>
      <c r="R53" s="3"/>
      <c r="S53" s="3"/>
      <c r="T53" s="740">
        <f t="shared" si="24"/>
        <v>0</v>
      </c>
      <c r="U53" s="903">
        <f t="shared" si="21"/>
        <v>8.5312499999999958E-2</v>
      </c>
      <c r="V53" s="903">
        <f t="shared" si="21"/>
        <v>6.3768115942028997E-2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40">
        <f t="shared" si="25"/>
        <v>0</v>
      </c>
      <c r="F54" s="741">
        <f>0.7*(温度条件他根拠!$E$7-温度条件他根拠!$E$9)/(温度条件他根拠!$E$7-26.4)</f>
        <v>0.49636363636363612</v>
      </c>
      <c r="G54" s="740">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740">
        <f t="shared" si="24"/>
        <v>0</v>
      </c>
      <c r="U54" s="903">
        <f t="shared" si="21"/>
        <v>0.49636363636363612</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40">
        <f t="shared" si="25"/>
        <v>0</v>
      </c>
      <c r="F55" s="741">
        <f>0.7*(温度条件他根拠!$E$7-温度条件他根拠!$E$9)/(温度条件他根拠!$E$7-28)</f>
        <v>0.7</v>
      </c>
      <c r="G55" s="740">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740">
        <f t="shared" si="24"/>
        <v>0</v>
      </c>
      <c r="U55" s="903">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8">
        <f>L32</f>
        <v>0</v>
      </c>
      <c r="D56" s="3"/>
      <c r="E56" s="740">
        <f t="shared" si="25"/>
        <v>0</v>
      </c>
      <c r="F56" s="741">
        <f>0.7*(温度条件他根拠!$E$7-温度条件他根拠!$E$9)/(温度条件他根拠!$E$7-28)</f>
        <v>0.7</v>
      </c>
      <c r="G56" s="740">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738">
        <f>L14</f>
        <v>0</v>
      </c>
      <c r="S56" s="3"/>
      <c r="T56" s="740">
        <f t="shared" si="24"/>
        <v>0</v>
      </c>
      <c r="U56" s="903">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40">
        <f t="shared" si="25"/>
        <v>0</v>
      </c>
      <c r="F57" s="741">
        <f>0.7*(温度条件他根拠!$E$7-温度条件他根拠!$E$9)/(温度条件他根拠!$E$7-27.2)</f>
        <v>0.58085106382978702</v>
      </c>
      <c r="G57" s="740">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740">
        <f t="shared" si="24"/>
        <v>0</v>
      </c>
      <c r="U57" s="903">
        <f t="shared" si="21"/>
        <v>0.58085106382978702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40">
        <f t="shared" si="25"/>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6"/>
        <v>3.55</v>
      </c>
      <c r="K58" s="6">
        <f t="shared" si="26"/>
        <v>3.95</v>
      </c>
      <c r="L58" s="7">
        <f t="shared" si="13"/>
        <v>0</v>
      </c>
      <c r="M58" s="7">
        <f t="shared" si="13"/>
        <v>0</v>
      </c>
      <c r="N58" s="13">
        <f t="shared" si="19"/>
        <v>0</v>
      </c>
      <c r="O58" s="12">
        <f t="shared" si="20"/>
        <v>0</v>
      </c>
      <c r="Q58" s="553">
        <v>10</v>
      </c>
      <c r="R58" s="3"/>
      <c r="S58" s="3"/>
      <c r="T58" s="740">
        <f t="shared" si="24"/>
        <v>0</v>
      </c>
      <c r="U58" s="903">
        <f t="shared" si="21"/>
        <v>6.6911764705882323E-2</v>
      </c>
      <c r="V58" s="903">
        <f t="shared" si="21"/>
        <v>6.7632850241545903E-2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40">
        <f t="shared" si="25"/>
        <v>0</v>
      </c>
      <c r="F59" s="740">
        <v>0</v>
      </c>
      <c r="G59" s="741">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740">
        <f t="shared" si="24"/>
        <v>0</v>
      </c>
      <c r="U59" s="740">
        <f t="shared" si="21"/>
        <v>0</v>
      </c>
      <c r="V59" s="903">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40">
        <f t="shared" si="25"/>
        <v>0</v>
      </c>
      <c r="F60" s="740">
        <v>0</v>
      </c>
      <c r="G60" s="741">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740">
        <f t="shared" si="24"/>
        <v>0</v>
      </c>
      <c r="U60" s="740">
        <f t="shared" si="21"/>
        <v>0</v>
      </c>
      <c r="V60" s="903">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DFA4C-0D37-4B41-B49B-573D9A8CEEC3}">
  <sheetPr>
    <tabColor rgb="FF0070C0"/>
  </sheetPr>
  <dimension ref="A1:BH78"/>
  <sheetViews>
    <sheetView showZeros="0" view="pageBreakPreview" zoomScaleNormal="100" zoomScaleSheetLayoutView="100" workbookViewId="0">
      <selection activeCell="X16" sqref="X16:AC16"/>
    </sheetView>
  </sheetViews>
  <sheetFormatPr defaultRowHeight="13"/>
  <cols>
    <col min="1" max="36" width="2.6328125" style="592" customWidth="1"/>
    <col min="37" max="42" width="8.7265625" style="592"/>
    <col min="43" max="43" width="36.08984375" style="592" bestFit="1" customWidth="1"/>
    <col min="44" max="255" width="8.7265625" style="592"/>
    <col min="256" max="292" width="2.6328125" style="592" customWidth="1"/>
    <col min="293" max="511" width="8.7265625" style="592"/>
    <col min="512" max="548" width="2.6328125" style="592" customWidth="1"/>
    <col min="549" max="767" width="8.7265625" style="592"/>
    <col min="768" max="804" width="2.6328125" style="592" customWidth="1"/>
    <col min="805" max="1023" width="8.7265625" style="592"/>
    <col min="1024" max="1060" width="2.6328125" style="592" customWidth="1"/>
    <col min="1061" max="1279" width="8.7265625" style="592"/>
    <col min="1280" max="1316" width="2.6328125" style="592" customWidth="1"/>
    <col min="1317" max="1535" width="8.7265625" style="592"/>
    <col min="1536" max="1572" width="2.6328125" style="592" customWidth="1"/>
    <col min="1573" max="1791" width="8.7265625" style="592"/>
    <col min="1792" max="1828" width="2.6328125" style="592" customWidth="1"/>
    <col min="1829" max="2047" width="8.7265625" style="592"/>
    <col min="2048" max="2084" width="2.6328125" style="592" customWidth="1"/>
    <col min="2085" max="2303" width="8.7265625" style="592"/>
    <col min="2304" max="2340" width="2.6328125" style="592" customWidth="1"/>
    <col min="2341" max="2559" width="8.7265625" style="592"/>
    <col min="2560" max="2596" width="2.6328125" style="592" customWidth="1"/>
    <col min="2597" max="2815" width="8.7265625" style="592"/>
    <col min="2816" max="2852" width="2.6328125" style="592" customWidth="1"/>
    <col min="2853" max="3071" width="8.7265625" style="592"/>
    <col min="3072" max="3108" width="2.6328125" style="592" customWidth="1"/>
    <col min="3109" max="3327" width="8.7265625" style="592"/>
    <col min="3328" max="3364" width="2.6328125" style="592" customWidth="1"/>
    <col min="3365" max="3583" width="8.7265625" style="592"/>
    <col min="3584" max="3620" width="2.6328125" style="592" customWidth="1"/>
    <col min="3621" max="3839" width="8.7265625" style="592"/>
    <col min="3840" max="3876" width="2.6328125" style="592" customWidth="1"/>
    <col min="3877" max="4095" width="8.7265625" style="592"/>
    <col min="4096" max="4132" width="2.6328125" style="592" customWidth="1"/>
    <col min="4133" max="4351" width="8.7265625" style="592"/>
    <col min="4352" max="4388" width="2.6328125" style="592" customWidth="1"/>
    <col min="4389" max="4607" width="8.7265625" style="592"/>
    <col min="4608" max="4644" width="2.6328125" style="592" customWidth="1"/>
    <col min="4645" max="4863" width="8.7265625" style="592"/>
    <col min="4864" max="4900" width="2.6328125" style="592" customWidth="1"/>
    <col min="4901" max="5119" width="8.7265625" style="592"/>
    <col min="5120" max="5156" width="2.6328125" style="592" customWidth="1"/>
    <col min="5157" max="5375" width="8.7265625" style="592"/>
    <col min="5376" max="5412" width="2.6328125" style="592" customWidth="1"/>
    <col min="5413" max="5631" width="8.7265625" style="592"/>
    <col min="5632" max="5668" width="2.6328125" style="592" customWidth="1"/>
    <col min="5669" max="5887" width="8.7265625" style="592"/>
    <col min="5888" max="5924" width="2.6328125" style="592" customWidth="1"/>
    <col min="5925" max="6143" width="8.7265625" style="592"/>
    <col min="6144" max="6180" width="2.6328125" style="592" customWidth="1"/>
    <col min="6181" max="6399" width="8.7265625" style="592"/>
    <col min="6400" max="6436" width="2.6328125" style="592" customWidth="1"/>
    <col min="6437" max="6655" width="8.7265625" style="592"/>
    <col min="6656" max="6692" width="2.6328125" style="592" customWidth="1"/>
    <col min="6693" max="6911" width="8.7265625" style="592"/>
    <col min="6912" max="6948" width="2.6328125" style="592" customWidth="1"/>
    <col min="6949" max="7167" width="8.7265625" style="592"/>
    <col min="7168" max="7204" width="2.6328125" style="592" customWidth="1"/>
    <col min="7205" max="7423" width="8.7265625" style="592"/>
    <col min="7424" max="7460" width="2.6328125" style="592" customWidth="1"/>
    <col min="7461" max="7679" width="8.7265625" style="592"/>
    <col min="7680" max="7716" width="2.6328125" style="592" customWidth="1"/>
    <col min="7717" max="7935" width="8.7265625" style="592"/>
    <col min="7936" max="7972" width="2.6328125" style="592" customWidth="1"/>
    <col min="7973" max="8191" width="8.7265625" style="592"/>
    <col min="8192" max="8228" width="2.6328125" style="592" customWidth="1"/>
    <col min="8229" max="8447" width="8.7265625" style="592"/>
    <col min="8448" max="8484" width="2.6328125" style="592" customWidth="1"/>
    <col min="8485" max="8703" width="8.7265625" style="592"/>
    <col min="8704" max="8740" width="2.6328125" style="592" customWidth="1"/>
    <col min="8741" max="8959" width="8.7265625" style="592"/>
    <col min="8960" max="8996" width="2.6328125" style="592" customWidth="1"/>
    <col min="8997" max="9215" width="8.7265625" style="592"/>
    <col min="9216" max="9252" width="2.6328125" style="592" customWidth="1"/>
    <col min="9253" max="9471" width="8.7265625" style="592"/>
    <col min="9472" max="9508" width="2.6328125" style="592" customWidth="1"/>
    <col min="9509" max="9727" width="8.7265625" style="592"/>
    <col min="9728" max="9764" width="2.6328125" style="592" customWidth="1"/>
    <col min="9765" max="9983" width="8.7265625" style="592"/>
    <col min="9984" max="10020" width="2.6328125" style="592" customWidth="1"/>
    <col min="10021" max="10239" width="8.7265625" style="592"/>
    <col min="10240" max="10276" width="2.6328125" style="592" customWidth="1"/>
    <col min="10277" max="10495" width="8.7265625" style="592"/>
    <col min="10496" max="10532" width="2.6328125" style="592" customWidth="1"/>
    <col min="10533" max="10751" width="8.7265625" style="592"/>
    <col min="10752" max="10788" width="2.6328125" style="592" customWidth="1"/>
    <col min="10789" max="11007" width="8.7265625" style="592"/>
    <col min="11008" max="11044" width="2.6328125" style="592" customWidth="1"/>
    <col min="11045" max="11263" width="8.7265625" style="592"/>
    <col min="11264" max="11300" width="2.6328125" style="592" customWidth="1"/>
    <col min="11301" max="11519" width="8.7265625" style="592"/>
    <col min="11520" max="11556" width="2.6328125" style="592" customWidth="1"/>
    <col min="11557" max="11775" width="8.7265625" style="592"/>
    <col min="11776" max="11812" width="2.6328125" style="592" customWidth="1"/>
    <col min="11813" max="12031" width="8.7265625" style="592"/>
    <col min="12032" max="12068" width="2.6328125" style="592" customWidth="1"/>
    <col min="12069" max="12287" width="8.7265625" style="592"/>
    <col min="12288" max="12324" width="2.6328125" style="592" customWidth="1"/>
    <col min="12325" max="12543" width="8.7265625" style="592"/>
    <col min="12544" max="12580" width="2.6328125" style="592" customWidth="1"/>
    <col min="12581" max="12799" width="8.7265625" style="592"/>
    <col min="12800" max="12836" width="2.6328125" style="592" customWidth="1"/>
    <col min="12837" max="13055" width="8.7265625" style="592"/>
    <col min="13056" max="13092" width="2.6328125" style="592" customWidth="1"/>
    <col min="13093" max="13311" width="8.7265625" style="592"/>
    <col min="13312" max="13348" width="2.6328125" style="592" customWidth="1"/>
    <col min="13349" max="13567" width="8.7265625" style="592"/>
    <col min="13568" max="13604" width="2.6328125" style="592" customWidth="1"/>
    <col min="13605" max="13823" width="8.7265625" style="592"/>
    <col min="13824" max="13860" width="2.6328125" style="592" customWidth="1"/>
    <col min="13861" max="14079" width="8.7265625" style="592"/>
    <col min="14080" max="14116" width="2.6328125" style="592" customWidth="1"/>
    <col min="14117" max="14335" width="8.7265625" style="592"/>
    <col min="14336" max="14372" width="2.6328125" style="592" customWidth="1"/>
    <col min="14373" max="14591" width="8.7265625" style="592"/>
    <col min="14592" max="14628" width="2.6328125" style="592" customWidth="1"/>
    <col min="14629" max="14847" width="8.7265625" style="592"/>
    <col min="14848" max="14884" width="2.6328125" style="592" customWidth="1"/>
    <col min="14885" max="15103" width="8.7265625" style="592"/>
    <col min="15104" max="15140" width="2.6328125" style="592" customWidth="1"/>
    <col min="15141" max="15359" width="8.7265625" style="592"/>
    <col min="15360" max="15396" width="2.6328125" style="592" customWidth="1"/>
    <col min="15397" max="15615" width="8.7265625" style="592"/>
    <col min="15616" max="15652" width="2.6328125" style="592" customWidth="1"/>
    <col min="15653" max="15871" width="8.7265625" style="592"/>
    <col min="15872" max="15908" width="2.6328125" style="592" customWidth="1"/>
    <col min="15909" max="16127" width="8.7265625" style="592"/>
    <col min="16128" max="16164" width="2.6328125" style="592" customWidth="1"/>
    <col min="16165" max="16384" width="8.7265625" style="592"/>
  </cols>
  <sheetData>
    <row r="1" spans="1:60" s="589" customFormat="1" ht="36" customHeight="1">
      <c r="A1" s="1314" t="s">
        <v>1423</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row>
    <row r="2" spans="1:60" s="591" customFormat="1" hidden="1">
      <c r="A2" s="590">
        <v>1</v>
      </c>
      <c r="B2" s="590">
        <v>2</v>
      </c>
      <c r="C2" s="590">
        <v>3</v>
      </c>
      <c r="D2" s="590">
        <v>4</v>
      </c>
      <c r="E2" s="590">
        <v>5</v>
      </c>
      <c r="F2" s="590">
        <v>6</v>
      </c>
      <c r="G2" s="590">
        <v>7</v>
      </c>
      <c r="H2" s="590">
        <v>8</v>
      </c>
      <c r="I2" s="590">
        <v>9</v>
      </c>
      <c r="J2" s="590">
        <v>10</v>
      </c>
      <c r="K2" s="590">
        <v>11</v>
      </c>
      <c r="L2" s="590">
        <v>12</v>
      </c>
      <c r="M2" s="590">
        <v>13</v>
      </c>
      <c r="N2" s="590">
        <v>14</v>
      </c>
      <c r="O2" s="590">
        <v>15</v>
      </c>
      <c r="P2" s="590">
        <v>16</v>
      </c>
      <c r="Q2" s="590">
        <v>17</v>
      </c>
      <c r="R2" s="590">
        <v>18</v>
      </c>
      <c r="S2" s="590">
        <v>19</v>
      </c>
      <c r="T2" s="590">
        <v>20</v>
      </c>
      <c r="U2" s="590">
        <v>21</v>
      </c>
      <c r="V2" s="590">
        <v>22</v>
      </c>
      <c r="W2" s="590">
        <v>23</v>
      </c>
      <c r="X2" s="590">
        <v>24</v>
      </c>
      <c r="Y2" s="590">
        <v>25</v>
      </c>
      <c r="Z2" s="590">
        <v>26</v>
      </c>
      <c r="AA2" s="590">
        <v>27</v>
      </c>
      <c r="AB2" s="590">
        <v>28</v>
      </c>
      <c r="AC2" s="590">
        <v>29</v>
      </c>
      <c r="AD2" s="590">
        <v>30</v>
      </c>
      <c r="AE2" s="590">
        <v>31</v>
      </c>
      <c r="AF2" s="590">
        <v>32</v>
      </c>
      <c r="AG2" s="590">
        <v>33</v>
      </c>
      <c r="AH2" s="590">
        <v>34</v>
      </c>
    </row>
    <row r="3" spans="1:60" s="591" customFormat="1">
      <c r="A3" s="649"/>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row>
    <row r="4" spans="1:60" s="591" customFormat="1" ht="14">
      <c r="A4" s="1316" t="s">
        <v>989</v>
      </c>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row>
    <row r="5" spans="1:60" ht="23.15" customHeight="1">
      <c r="A5" s="1317" t="s">
        <v>541</v>
      </c>
      <c r="B5" s="1318"/>
      <c r="C5" s="1318"/>
      <c r="D5" s="1319"/>
      <c r="E5" s="1282" t="s">
        <v>805</v>
      </c>
      <c r="F5" s="1283"/>
      <c r="G5" s="1283"/>
      <c r="H5" s="1283"/>
      <c r="I5" s="1284"/>
      <c r="J5" s="1285"/>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7"/>
    </row>
    <row r="6" spans="1:60" ht="23.15" customHeight="1">
      <c r="A6" s="1320"/>
      <c r="B6" s="1321"/>
      <c r="C6" s="1321"/>
      <c r="D6" s="1322"/>
      <c r="E6" s="1282" t="s">
        <v>543</v>
      </c>
      <c r="F6" s="1283"/>
      <c r="G6" s="1283"/>
      <c r="H6" s="1283"/>
      <c r="I6" s="1284"/>
      <c r="J6" s="1259" t="s">
        <v>1429</v>
      </c>
      <c r="K6" s="1260"/>
      <c r="L6" s="1260"/>
      <c r="M6" s="1260"/>
      <c r="N6" s="1261"/>
      <c r="O6" s="1262"/>
      <c r="P6" s="1262"/>
      <c r="Q6" s="1262"/>
      <c r="R6" s="1262"/>
      <c r="S6" s="1262"/>
      <c r="T6" s="1263"/>
      <c r="U6" s="1259" t="s">
        <v>985</v>
      </c>
      <c r="V6" s="1260"/>
      <c r="W6" s="1260"/>
      <c r="X6" s="1326"/>
      <c r="Y6" s="1261"/>
      <c r="Z6" s="1262"/>
      <c r="AA6" s="1262"/>
      <c r="AB6" s="1262"/>
      <c r="AC6" s="1262"/>
      <c r="AD6" s="1262"/>
      <c r="AE6" s="1262"/>
      <c r="AF6" s="1262"/>
      <c r="AG6" s="1262"/>
      <c r="AH6" s="1263"/>
    </row>
    <row r="7" spans="1:60" ht="23.15" customHeight="1">
      <c r="A7" s="1320"/>
      <c r="B7" s="1321"/>
      <c r="C7" s="1321"/>
      <c r="D7" s="1322"/>
      <c r="E7" s="1278" t="s">
        <v>803</v>
      </c>
      <c r="F7" s="1279"/>
      <c r="G7" s="1279"/>
      <c r="H7" s="1279"/>
      <c r="I7" s="1280"/>
      <c r="J7" s="1330"/>
      <c r="K7" s="1331"/>
      <c r="L7" s="1331"/>
      <c r="M7" s="1331"/>
      <c r="N7" s="1268"/>
      <c r="O7" s="1268"/>
      <c r="P7" s="1268"/>
      <c r="Q7" s="1268"/>
      <c r="R7" s="1268"/>
      <c r="S7" s="1268"/>
      <c r="T7" s="1268"/>
      <c r="U7" s="1268"/>
      <c r="V7" s="1268"/>
      <c r="W7" s="1268"/>
      <c r="X7" s="1268"/>
      <c r="Y7" s="1268"/>
      <c r="Z7" s="1268"/>
      <c r="AA7" s="1268"/>
      <c r="AB7" s="1268"/>
      <c r="AC7" s="1268"/>
      <c r="AD7" s="1268"/>
      <c r="AE7" s="1268"/>
      <c r="AF7" s="1268"/>
      <c r="AG7" s="1268"/>
      <c r="AH7" s="1269"/>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row>
    <row r="8" spans="1:60" ht="18" customHeight="1">
      <c r="A8" s="1320"/>
      <c r="B8" s="1321"/>
      <c r="C8" s="1321"/>
      <c r="D8" s="1322"/>
      <c r="E8" s="1332" t="s">
        <v>978</v>
      </c>
      <c r="F8" s="1333"/>
      <c r="G8" s="1333"/>
      <c r="H8" s="1333"/>
      <c r="I8" s="1334"/>
      <c r="J8" s="1338" t="s">
        <v>872</v>
      </c>
      <c r="K8" s="1339"/>
      <c r="L8" s="1339"/>
      <c r="M8" s="1340"/>
      <c r="N8" s="1303" t="s">
        <v>871</v>
      </c>
      <c r="O8" s="1304"/>
      <c r="P8" s="1304"/>
      <c r="Q8" s="1304"/>
      <c r="R8" s="1304"/>
      <c r="S8" s="1304"/>
      <c r="T8" s="1304"/>
      <c r="U8" s="1304"/>
      <c r="V8" s="1304"/>
      <c r="W8" s="1304"/>
      <c r="X8" s="1304"/>
      <c r="Y8" s="1304"/>
      <c r="Z8" s="1304"/>
      <c r="AA8" s="1304"/>
      <c r="AB8" s="1304"/>
      <c r="AC8" s="1304"/>
      <c r="AD8" s="1304"/>
      <c r="AE8" s="1304"/>
      <c r="AF8" s="1304"/>
      <c r="AG8" s="1304"/>
      <c r="AH8" s="1305"/>
      <c r="AI8" s="594"/>
      <c r="AJ8" s="595"/>
      <c r="AK8" s="595"/>
      <c r="AL8" s="595"/>
      <c r="AM8" s="595"/>
      <c r="AN8" s="595"/>
      <c r="AO8" s="595"/>
      <c r="AP8" s="595"/>
      <c r="AQ8" s="595"/>
      <c r="AR8" s="595"/>
      <c r="AS8" s="595"/>
      <c r="AT8" s="593"/>
      <c r="AU8" s="593"/>
      <c r="AV8" s="593"/>
      <c r="AW8" s="593"/>
      <c r="AX8" s="593"/>
      <c r="AY8" s="593"/>
      <c r="AZ8" s="593"/>
      <c r="BA8" s="593"/>
      <c r="BB8" s="593"/>
      <c r="BC8" s="593"/>
      <c r="BD8" s="593"/>
      <c r="BE8" s="593"/>
      <c r="BF8" s="593"/>
      <c r="BG8" s="593"/>
      <c r="BH8" s="593"/>
    </row>
    <row r="9" spans="1:60" ht="18" customHeight="1">
      <c r="A9" s="1320"/>
      <c r="B9" s="1321"/>
      <c r="C9" s="1321"/>
      <c r="D9" s="1322"/>
      <c r="E9" s="1335"/>
      <c r="F9" s="1336"/>
      <c r="G9" s="1336"/>
      <c r="H9" s="1336"/>
      <c r="I9" s="1337"/>
      <c r="J9" s="1300" t="s">
        <v>873</v>
      </c>
      <c r="K9" s="1301"/>
      <c r="L9" s="1301"/>
      <c r="M9" s="1302"/>
      <c r="N9" s="1303" t="s">
        <v>871</v>
      </c>
      <c r="O9" s="1304"/>
      <c r="P9" s="1304"/>
      <c r="Q9" s="1304"/>
      <c r="R9" s="1304"/>
      <c r="S9" s="1304"/>
      <c r="T9" s="1304"/>
      <c r="U9" s="1304"/>
      <c r="V9" s="1304"/>
      <c r="W9" s="1304"/>
      <c r="X9" s="1304"/>
      <c r="Y9" s="1304"/>
      <c r="Z9" s="1304"/>
      <c r="AA9" s="1304"/>
      <c r="AB9" s="1304"/>
      <c r="AC9" s="1304"/>
      <c r="AD9" s="1304"/>
      <c r="AE9" s="1304"/>
      <c r="AF9" s="1304"/>
      <c r="AG9" s="1304"/>
      <c r="AH9" s="1305"/>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row>
    <row r="10" spans="1:60" ht="27" customHeight="1">
      <c r="A10" s="1320"/>
      <c r="B10" s="1321"/>
      <c r="C10" s="1321"/>
      <c r="D10" s="1322"/>
      <c r="E10" s="1278" t="s">
        <v>804</v>
      </c>
      <c r="F10" s="1279"/>
      <c r="G10" s="1279"/>
      <c r="H10" s="1279"/>
      <c r="I10" s="1280"/>
      <c r="J10" s="1306"/>
      <c r="K10" s="1307"/>
      <c r="L10" s="1307"/>
      <c r="M10" s="1307"/>
      <c r="N10" s="1308"/>
      <c r="O10" s="1027" t="s">
        <v>806</v>
      </c>
      <c r="P10" s="1309" t="s">
        <v>545</v>
      </c>
      <c r="Q10" s="1310"/>
      <c r="R10" s="1310"/>
      <c r="S10" s="1310"/>
      <c r="T10" s="1311"/>
      <c r="U10" s="1312"/>
      <c r="V10" s="1313"/>
      <c r="W10" s="1313"/>
      <c r="X10" s="1313"/>
      <c r="Y10" s="1028" t="s">
        <v>808</v>
      </c>
      <c r="Z10" s="1256" t="s">
        <v>807</v>
      </c>
      <c r="AA10" s="1257"/>
      <c r="AB10" s="1257"/>
      <c r="AC10" s="1257"/>
      <c r="AD10" s="1258"/>
      <c r="AE10" s="1327"/>
      <c r="AF10" s="1328"/>
      <c r="AG10" s="1328"/>
      <c r="AH10" s="1329"/>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row>
    <row r="11" spans="1:60" ht="27" customHeight="1">
      <c r="A11" s="1323"/>
      <c r="B11" s="1324"/>
      <c r="C11" s="1324"/>
      <c r="D11" s="1325"/>
      <c r="E11" s="1278" t="s">
        <v>988</v>
      </c>
      <c r="F11" s="1279"/>
      <c r="G11" s="1279"/>
      <c r="H11" s="1279"/>
      <c r="I11" s="1280"/>
      <c r="J11" s="1281"/>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row>
    <row r="12" spans="1:60" ht="23.15" customHeight="1">
      <c r="A12" s="1247" t="s">
        <v>546</v>
      </c>
      <c r="B12" s="1247"/>
      <c r="C12" s="1247"/>
      <c r="D12" s="1247"/>
      <c r="E12" s="1282" t="s">
        <v>547</v>
      </c>
      <c r="F12" s="1283"/>
      <c r="G12" s="1283"/>
      <c r="H12" s="1283"/>
      <c r="I12" s="1284"/>
      <c r="J12" s="1285"/>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7"/>
    </row>
    <row r="13" spans="1:60" ht="18" customHeight="1">
      <c r="A13" s="1247"/>
      <c r="B13" s="1247"/>
      <c r="C13" s="1247"/>
      <c r="D13" s="1247"/>
      <c r="E13" s="1288" t="s">
        <v>548</v>
      </c>
      <c r="F13" s="1289"/>
      <c r="G13" s="1289"/>
      <c r="H13" s="1289"/>
      <c r="I13" s="1290"/>
      <c r="J13" s="1259" t="s">
        <v>984</v>
      </c>
      <c r="K13" s="1260"/>
      <c r="L13" s="1261"/>
      <c r="M13" s="1262"/>
      <c r="N13" s="1262"/>
      <c r="O13" s="1262"/>
      <c r="P13" s="1262"/>
      <c r="Q13" s="1262"/>
      <c r="R13" s="1262"/>
      <c r="S13" s="1262"/>
      <c r="T13" s="1263"/>
      <c r="U13" s="1264"/>
      <c r="V13" s="1265"/>
      <c r="W13" s="1265"/>
      <c r="X13" s="1265"/>
      <c r="Y13" s="1265"/>
      <c r="Z13" s="1265"/>
      <c r="AA13" s="1265"/>
      <c r="AB13" s="1265"/>
      <c r="AC13" s="1265"/>
      <c r="AD13" s="1265"/>
      <c r="AE13" s="1265"/>
      <c r="AF13" s="1265"/>
      <c r="AG13" s="1265"/>
      <c r="AH13" s="1266"/>
    </row>
    <row r="14" spans="1:60" ht="23.15" customHeight="1">
      <c r="A14" s="1247"/>
      <c r="B14" s="1247"/>
      <c r="C14" s="1247"/>
      <c r="D14" s="1247"/>
      <c r="E14" s="1291"/>
      <c r="F14" s="1292"/>
      <c r="G14" s="1292"/>
      <c r="H14" s="1292"/>
      <c r="I14" s="1293"/>
      <c r="J14" s="1267"/>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9"/>
    </row>
    <row r="15" spans="1:60" ht="13.5" customHeight="1">
      <c r="A15" s="1247"/>
      <c r="B15" s="1247"/>
      <c r="C15" s="1247"/>
      <c r="D15" s="1247"/>
      <c r="E15" s="1242" t="s">
        <v>1583</v>
      </c>
      <c r="F15" s="1242"/>
      <c r="G15" s="1242"/>
      <c r="H15" s="1242"/>
      <c r="I15" s="1242"/>
      <c r="J15" s="1294"/>
      <c r="K15" s="1294"/>
      <c r="L15" s="1294" t="s">
        <v>1430</v>
      </c>
      <c r="M15" s="1294"/>
      <c r="N15" s="1294"/>
      <c r="O15" s="1294"/>
      <c r="P15" s="1294"/>
      <c r="Q15" s="1294"/>
      <c r="R15" s="1296"/>
      <c r="S15" s="1296"/>
      <c r="T15" s="1296"/>
      <c r="U15" s="1296"/>
      <c r="V15" s="1296"/>
      <c r="W15" s="1296"/>
      <c r="X15" s="1296"/>
      <c r="Y15" s="1296"/>
      <c r="Z15" s="1296"/>
      <c r="AA15" s="1296"/>
      <c r="AB15" s="1296"/>
      <c r="AC15" s="1296"/>
      <c r="AD15" s="1297" t="str">
        <f>IF(X16&gt;=100,"省エネ診断要受診","")</f>
        <v/>
      </c>
      <c r="AE15" s="1297"/>
      <c r="AF15" s="1297"/>
      <c r="AG15" s="1297"/>
      <c r="AH15" s="1298"/>
    </row>
    <row r="16" spans="1:60" ht="18" customHeight="1">
      <c r="A16" s="1247"/>
      <c r="B16" s="1247"/>
      <c r="C16" s="1247"/>
      <c r="D16" s="1247"/>
      <c r="E16" s="1242"/>
      <c r="F16" s="1242"/>
      <c r="G16" s="1242"/>
      <c r="H16" s="1295"/>
      <c r="I16" s="1295"/>
      <c r="J16" s="1295"/>
      <c r="K16" s="1295"/>
      <c r="L16" s="1299">
        <f>'CO2換算シート '!M37</f>
        <v>0</v>
      </c>
      <c r="M16" s="1299"/>
      <c r="N16" s="1299"/>
      <c r="O16" s="1299"/>
      <c r="P16" s="1299"/>
      <c r="Q16" s="1299"/>
      <c r="R16" s="1270"/>
      <c r="S16" s="1270"/>
      <c r="T16" s="1270"/>
      <c r="U16" s="1270"/>
      <c r="V16" s="1270"/>
      <c r="W16" s="1270"/>
      <c r="X16" s="1270"/>
      <c r="Y16" s="1270"/>
      <c r="Z16" s="1270"/>
      <c r="AA16" s="1270"/>
      <c r="AB16" s="1270"/>
      <c r="AC16" s="1270"/>
      <c r="AD16" s="1297"/>
      <c r="AE16" s="1297"/>
      <c r="AF16" s="1297"/>
      <c r="AG16" s="1297"/>
      <c r="AH16" s="1298"/>
    </row>
    <row r="17" spans="1:34" ht="18" customHeight="1">
      <c r="A17" s="1249" t="s">
        <v>742</v>
      </c>
      <c r="B17" s="1247"/>
      <c r="C17" s="1247"/>
      <c r="D17" s="1247"/>
      <c r="E17" s="1239" t="s">
        <v>550</v>
      </c>
      <c r="F17" s="1239"/>
      <c r="G17" s="1239"/>
      <c r="H17" s="1241"/>
      <c r="I17" s="1241"/>
      <c r="J17" s="1241"/>
      <c r="K17" s="1241"/>
      <c r="L17" s="1241"/>
      <c r="M17" s="1241"/>
      <c r="N17" s="1241"/>
      <c r="O17" s="1241"/>
      <c r="P17" s="1241"/>
      <c r="Q17" s="1241"/>
      <c r="R17" s="1241"/>
      <c r="S17" s="1271" t="s">
        <v>551</v>
      </c>
      <c r="T17" s="1271"/>
      <c r="U17" s="1271"/>
      <c r="V17" s="1241"/>
      <c r="W17" s="1241"/>
      <c r="X17" s="1241"/>
      <c r="Y17" s="1241"/>
      <c r="Z17" s="1241"/>
      <c r="AA17" s="1241"/>
      <c r="AB17" s="1241"/>
      <c r="AC17" s="1241"/>
      <c r="AD17" s="1241"/>
      <c r="AE17" s="1241"/>
      <c r="AF17" s="1241"/>
      <c r="AG17" s="1241"/>
      <c r="AH17" s="1241"/>
    </row>
    <row r="18" spans="1:34" ht="18" customHeight="1">
      <c r="A18" s="1247"/>
      <c r="B18" s="1247"/>
      <c r="C18" s="1247"/>
      <c r="D18" s="1247"/>
      <c r="E18" s="1248" t="s">
        <v>552</v>
      </c>
      <c r="F18" s="1248"/>
      <c r="G18" s="1248"/>
      <c r="H18" s="1241"/>
      <c r="I18" s="1241"/>
      <c r="J18" s="1241"/>
      <c r="K18" s="1241"/>
      <c r="L18" s="1241"/>
      <c r="M18" s="1241"/>
      <c r="N18" s="1241"/>
      <c r="O18" s="1241"/>
      <c r="P18" s="1241"/>
      <c r="Q18" s="1241"/>
      <c r="R18" s="1241"/>
      <c r="S18" s="1248" t="s">
        <v>553</v>
      </c>
      <c r="T18" s="1248"/>
      <c r="U18" s="1248"/>
      <c r="V18" s="1241"/>
      <c r="W18" s="1241"/>
      <c r="X18" s="1241"/>
      <c r="Y18" s="1241"/>
      <c r="Z18" s="1241"/>
      <c r="AA18" s="1241"/>
      <c r="AB18" s="1241"/>
      <c r="AC18" s="1241"/>
      <c r="AD18" s="1241"/>
      <c r="AE18" s="1241"/>
      <c r="AF18" s="1241"/>
      <c r="AG18" s="1241"/>
      <c r="AH18" s="1241"/>
    </row>
    <row r="19" spans="1:34" ht="18" customHeight="1">
      <c r="A19" s="1247"/>
      <c r="B19" s="1247"/>
      <c r="C19" s="1247"/>
      <c r="D19" s="1247"/>
      <c r="E19" s="1248" t="s">
        <v>554</v>
      </c>
      <c r="F19" s="1248"/>
      <c r="G19" s="1248"/>
      <c r="H19" s="1241"/>
      <c r="I19" s="1241"/>
      <c r="J19" s="1241"/>
      <c r="K19" s="1241"/>
      <c r="L19" s="1241"/>
      <c r="M19" s="1241"/>
      <c r="N19" s="1241"/>
      <c r="O19" s="1241"/>
      <c r="P19" s="1241"/>
      <c r="Q19" s="1241"/>
      <c r="R19" s="1241"/>
      <c r="S19" s="1239" t="s">
        <v>555</v>
      </c>
      <c r="T19" s="1239"/>
      <c r="U19" s="1239"/>
      <c r="V19" s="1240"/>
      <c r="W19" s="1241"/>
      <c r="X19" s="1241"/>
      <c r="Y19" s="1241"/>
      <c r="Z19" s="1241"/>
      <c r="AA19" s="1241"/>
      <c r="AB19" s="1241"/>
      <c r="AC19" s="1241"/>
      <c r="AD19" s="1241"/>
      <c r="AE19" s="1241"/>
      <c r="AF19" s="1241"/>
      <c r="AG19" s="1241"/>
      <c r="AH19" s="1241"/>
    </row>
    <row r="20" spans="1:34" ht="18" customHeight="1">
      <c r="A20" s="1247"/>
      <c r="B20" s="1247"/>
      <c r="C20" s="1247"/>
      <c r="D20" s="1247"/>
      <c r="E20" s="1272" t="s">
        <v>743</v>
      </c>
      <c r="F20" s="1273"/>
      <c r="G20" s="1273"/>
      <c r="H20" s="1273"/>
      <c r="I20" s="1274"/>
      <c r="J20" s="1259" t="s">
        <v>984</v>
      </c>
      <c r="K20" s="1260"/>
      <c r="L20" s="1261"/>
      <c r="M20" s="1262"/>
      <c r="N20" s="1262"/>
      <c r="O20" s="1262"/>
      <c r="P20" s="1262"/>
      <c r="Q20" s="1262"/>
      <c r="R20" s="1262"/>
      <c r="S20" s="1262"/>
      <c r="T20" s="1263"/>
      <c r="U20" s="1264"/>
      <c r="V20" s="1265"/>
      <c r="W20" s="1265"/>
      <c r="X20" s="1265"/>
      <c r="Y20" s="1265"/>
      <c r="Z20" s="1265"/>
      <c r="AA20" s="1265"/>
      <c r="AB20" s="1265"/>
      <c r="AC20" s="1265"/>
      <c r="AD20" s="1265"/>
      <c r="AE20" s="1265"/>
      <c r="AF20" s="1265"/>
      <c r="AG20" s="1265"/>
      <c r="AH20" s="1266"/>
    </row>
    <row r="21" spans="1:34" ht="23.15" customHeight="1">
      <c r="A21" s="1247"/>
      <c r="B21" s="1247"/>
      <c r="C21" s="1247"/>
      <c r="D21" s="1247"/>
      <c r="E21" s="1275"/>
      <c r="F21" s="1276"/>
      <c r="G21" s="1276"/>
      <c r="H21" s="1276"/>
      <c r="I21" s="1277"/>
      <c r="J21" s="1267"/>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9"/>
    </row>
    <row r="22" spans="1:34" ht="6" customHeight="1">
      <c r="A22" s="593"/>
      <c r="B22" s="596"/>
      <c r="C22" s="596"/>
      <c r="D22" s="596"/>
      <c r="E22" s="597"/>
      <c r="F22" s="597"/>
      <c r="G22" s="597"/>
      <c r="H22" s="597"/>
      <c r="I22" s="597"/>
      <c r="J22" s="630"/>
      <c r="K22" s="630"/>
      <c r="L22" s="630"/>
      <c r="M22" s="630"/>
      <c r="N22" s="630"/>
      <c r="O22" s="630"/>
      <c r="P22" s="630"/>
      <c r="Q22" s="630"/>
      <c r="R22" s="630"/>
      <c r="S22" s="630"/>
      <c r="T22" s="630"/>
      <c r="U22" s="630"/>
      <c r="V22" s="630"/>
      <c r="W22" s="630"/>
      <c r="X22" s="630"/>
      <c r="Y22" s="630"/>
      <c r="Z22" s="630"/>
      <c r="AA22" s="630"/>
      <c r="AB22" s="630"/>
      <c r="AC22" s="630"/>
      <c r="AD22" s="630"/>
      <c r="AE22" s="630"/>
      <c r="AF22" s="630"/>
      <c r="AG22" s="630"/>
      <c r="AH22" s="631"/>
    </row>
    <row r="23" spans="1:34" ht="6" customHeight="1">
      <c r="A23" s="596"/>
      <c r="B23" s="596"/>
      <c r="C23" s="596"/>
      <c r="D23" s="596"/>
      <c r="E23" s="596"/>
      <c r="F23" s="596"/>
      <c r="G23" s="596"/>
      <c r="H23" s="596"/>
      <c r="I23" s="596"/>
      <c r="J23" s="596"/>
      <c r="K23" s="596"/>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632"/>
    </row>
    <row r="24" spans="1:34" ht="12.65" customHeight="1">
      <c r="A24" s="598" t="s">
        <v>606</v>
      </c>
      <c r="B24" s="596"/>
      <c r="C24" s="596"/>
      <c r="D24" s="596"/>
      <c r="E24" s="597"/>
      <c r="F24" s="597"/>
      <c r="G24" s="597"/>
      <c r="H24" s="597"/>
      <c r="I24" s="593"/>
      <c r="J24" s="630"/>
      <c r="K24" s="630"/>
      <c r="L24" s="630"/>
      <c r="M24" s="630"/>
      <c r="N24" s="630"/>
      <c r="O24" s="630"/>
      <c r="P24" s="630"/>
      <c r="Q24" s="630"/>
      <c r="R24" s="630"/>
      <c r="S24" s="630"/>
      <c r="T24" s="630"/>
      <c r="U24" s="630"/>
      <c r="V24" s="630"/>
      <c r="W24" s="630"/>
      <c r="X24" s="630"/>
      <c r="Y24" s="630"/>
      <c r="Z24" s="630"/>
      <c r="AA24" s="630"/>
      <c r="AB24" s="630"/>
      <c r="AC24" s="630"/>
      <c r="AD24" s="630"/>
      <c r="AE24" s="630"/>
      <c r="AF24" s="630"/>
      <c r="AG24" s="630"/>
      <c r="AH24" s="631"/>
    </row>
    <row r="25" spans="1:34" ht="27" customHeight="1">
      <c r="A25" s="1249" t="s">
        <v>558</v>
      </c>
      <c r="B25" s="1247"/>
      <c r="C25" s="1247"/>
      <c r="D25" s="1247"/>
      <c r="E25" s="1250" t="s">
        <v>542</v>
      </c>
      <c r="F25" s="1251"/>
      <c r="G25" s="1251"/>
      <c r="H25" s="1251"/>
      <c r="I25" s="1252"/>
      <c r="J25" s="1253"/>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5"/>
    </row>
    <row r="26" spans="1:34" ht="27" customHeight="1">
      <c r="A26" s="1247"/>
      <c r="B26" s="1247"/>
      <c r="C26" s="1247"/>
      <c r="D26" s="1247"/>
      <c r="E26" s="1250" t="s">
        <v>543</v>
      </c>
      <c r="F26" s="1251"/>
      <c r="G26" s="1251"/>
      <c r="H26" s="1251"/>
      <c r="I26" s="1252"/>
      <c r="J26" s="1253"/>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5"/>
    </row>
    <row r="27" spans="1:34" ht="27" customHeight="1">
      <c r="A27" s="1247"/>
      <c r="B27" s="1247"/>
      <c r="C27" s="1247"/>
      <c r="D27" s="1247"/>
      <c r="E27" s="1256" t="s">
        <v>544</v>
      </c>
      <c r="F27" s="1257"/>
      <c r="G27" s="1257"/>
      <c r="H27" s="1257"/>
      <c r="I27" s="1258"/>
      <c r="J27" s="1243" t="s">
        <v>557</v>
      </c>
      <c r="K27" s="1244"/>
      <c r="L27" s="1244"/>
      <c r="M27" s="1244"/>
      <c r="N27" s="1244"/>
      <c r="O27" s="1244"/>
      <c r="P27" s="1244"/>
      <c r="Q27" s="1244"/>
      <c r="R27" s="1244"/>
      <c r="S27" s="1244"/>
      <c r="T27" s="1244"/>
      <c r="U27" s="1244"/>
      <c r="V27" s="1244"/>
      <c r="W27" s="1244"/>
      <c r="X27" s="1244"/>
      <c r="Y27" s="1244"/>
      <c r="Z27" s="1244"/>
      <c r="AA27" s="1244"/>
      <c r="AB27" s="1244"/>
      <c r="AC27" s="1244"/>
      <c r="AD27" s="1244"/>
      <c r="AE27" s="1244"/>
      <c r="AF27" s="1244"/>
      <c r="AG27" s="1244"/>
      <c r="AH27" s="1245"/>
    </row>
    <row r="28" spans="1:34" ht="18" customHeight="1">
      <c r="A28" s="1247" t="s">
        <v>549</v>
      </c>
      <c r="B28" s="1247"/>
      <c r="C28" s="1247"/>
      <c r="D28" s="1247"/>
      <c r="E28" s="1239" t="s">
        <v>550</v>
      </c>
      <c r="F28" s="1239"/>
      <c r="G28" s="1239"/>
      <c r="H28" s="1236"/>
      <c r="I28" s="1237"/>
      <c r="J28" s="1237"/>
      <c r="K28" s="1237"/>
      <c r="L28" s="1237"/>
      <c r="M28" s="1237"/>
      <c r="N28" s="1237"/>
      <c r="O28" s="1237"/>
      <c r="P28" s="1237"/>
      <c r="Q28" s="1237"/>
      <c r="R28" s="1238"/>
      <c r="S28" s="1248" t="s">
        <v>551</v>
      </c>
      <c r="T28" s="1248"/>
      <c r="U28" s="1248"/>
      <c r="V28" s="1236"/>
      <c r="W28" s="1237"/>
      <c r="X28" s="1237"/>
      <c r="Y28" s="1237"/>
      <c r="Z28" s="1237"/>
      <c r="AA28" s="1237"/>
      <c r="AB28" s="1237"/>
      <c r="AC28" s="1237"/>
      <c r="AD28" s="1237"/>
      <c r="AE28" s="1237"/>
      <c r="AF28" s="1237"/>
      <c r="AG28" s="1237"/>
      <c r="AH28" s="1238"/>
    </row>
    <row r="29" spans="1:34" ht="18" customHeight="1">
      <c r="A29" s="1247"/>
      <c r="B29" s="1247"/>
      <c r="C29" s="1247"/>
      <c r="D29" s="1247"/>
      <c r="E29" s="1248" t="s">
        <v>552</v>
      </c>
      <c r="F29" s="1248"/>
      <c r="G29" s="1248"/>
      <c r="H29" s="1236"/>
      <c r="I29" s="1237"/>
      <c r="J29" s="1237"/>
      <c r="K29" s="1237"/>
      <c r="L29" s="1237"/>
      <c r="M29" s="1237"/>
      <c r="N29" s="1237"/>
      <c r="O29" s="1237"/>
      <c r="P29" s="1237"/>
      <c r="Q29" s="1237"/>
      <c r="R29" s="1238"/>
      <c r="S29" s="1248" t="s">
        <v>553</v>
      </c>
      <c r="T29" s="1248"/>
      <c r="U29" s="1248"/>
      <c r="V29" s="1241"/>
      <c r="W29" s="1241"/>
      <c r="X29" s="1241"/>
      <c r="Y29" s="1241"/>
      <c r="Z29" s="1241"/>
      <c r="AA29" s="1241"/>
      <c r="AB29" s="1241"/>
      <c r="AC29" s="1241"/>
      <c r="AD29" s="1241"/>
      <c r="AE29" s="1241"/>
      <c r="AF29" s="1241"/>
      <c r="AG29" s="1241"/>
      <c r="AH29" s="1241"/>
    </row>
    <row r="30" spans="1:34" ht="18" customHeight="1">
      <c r="A30" s="1247"/>
      <c r="B30" s="1247"/>
      <c r="C30" s="1247"/>
      <c r="D30" s="1247"/>
      <c r="E30" s="1248" t="s">
        <v>554</v>
      </c>
      <c r="F30" s="1248"/>
      <c r="G30" s="1248"/>
      <c r="H30" s="1236"/>
      <c r="I30" s="1237"/>
      <c r="J30" s="1237"/>
      <c r="K30" s="1237"/>
      <c r="L30" s="1237"/>
      <c r="M30" s="1237"/>
      <c r="N30" s="1237"/>
      <c r="O30" s="1237"/>
      <c r="P30" s="1237"/>
      <c r="Q30" s="1237"/>
      <c r="R30" s="1238"/>
      <c r="S30" s="1239" t="s">
        <v>555</v>
      </c>
      <c r="T30" s="1239"/>
      <c r="U30" s="1239"/>
      <c r="V30" s="1240"/>
      <c r="W30" s="1241"/>
      <c r="X30" s="1241"/>
      <c r="Y30" s="1241"/>
      <c r="Z30" s="1241"/>
      <c r="AA30" s="1241"/>
      <c r="AB30" s="1241"/>
      <c r="AC30" s="1241"/>
      <c r="AD30" s="1241"/>
      <c r="AE30" s="1241"/>
      <c r="AF30" s="1241"/>
      <c r="AG30" s="1241"/>
      <c r="AH30" s="1241"/>
    </row>
    <row r="31" spans="1:34" ht="27" customHeight="1">
      <c r="A31" s="1247"/>
      <c r="B31" s="1247"/>
      <c r="C31" s="1247"/>
      <c r="D31" s="1247"/>
      <c r="E31" s="1242" t="s">
        <v>556</v>
      </c>
      <c r="F31" s="1242"/>
      <c r="G31" s="1242"/>
      <c r="H31" s="1242"/>
      <c r="I31" s="1242"/>
      <c r="J31" s="1243" t="s">
        <v>557</v>
      </c>
      <c r="K31" s="1244"/>
      <c r="L31" s="1244"/>
      <c r="M31" s="1244"/>
      <c r="N31" s="1244"/>
      <c r="O31" s="1244"/>
      <c r="P31" s="1244"/>
      <c r="Q31" s="1244"/>
      <c r="R31" s="1244"/>
      <c r="S31" s="1244"/>
      <c r="T31" s="1244"/>
      <c r="U31" s="1244"/>
      <c r="V31" s="1244"/>
      <c r="W31" s="1244"/>
      <c r="X31" s="1244"/>
      <c r="Y31" s="1244"/>
      <c r="Z31" s="1244"/>
      <c r="AA31" s="1244"/>
      <c r="AB31" s="1244"/>
      <c r="AC31" s="1244"/>
      <c r="AD31" s="1244"/>
      <c r="AE31" s="1244"/>
      <c r="AF31" s="1244"/>
      <c r="AG31" s="1244"/>
      <c r="AH31" s="1245"/>
    </row>
    <row r="32" spans="1:34" ht="13.5" customHeight="1">
      <c r="A32" s="596"/>
      <c r="B32" s="596"/>
      <c r="C32" s="596"/>
      <c r="D32" s="596"/>
      <c r="E32" s="597"/>
      <c r="F32" s="597"/>
      <c r="G32" s="597"/>
      <c r="H32" s="597"/>
      <c r="I32" s="597"/>
      <c r="J32" s="630"/>
      <c r="K32" s="630"/>
      <c r="L32" s="630"/>
      <c r="M32" s="630"/>
      <c r="N32" s="630"/>
      <c r="O32" s="630"/>
      <c r="P32" s="630"/>
      <c r="Q32" s="630"/>
      <c r="R32" s="630"/>
      <c r="S32" s="630"/>
      <c r="T32" s="630"/>
      <c r="U32" s="630"/>
      <c r="V32" s="630"/>
      <c r="W32" s="630"/>
      <c r="X32" s="630"/>
      <c r="Y32" s="630"/>
      <c r="Z32" s="630"/>
      <c r="AA32" s="630"/>
      <c r="AB32" s="630"/>
      <c r="AC32" s="630"/>
      <c r="AD32" s="630"/>
      <c r="AE32" s="630"/>
      <c r="AF32" s="630"/>
      <c r="AG32" s="630"/>
      <c r="AH32" s="631"/>
    </row>
    <row r="33" spans="1:34">
      <c r="A33" s="596"/>
      <c r="B33" s="598"/>
      <c r="C33" s="596"/>
      <c r="D33" s="596"/>
      <c r="E33" s="596"/>
      <c r="F33" s="596"/>
      <c r="G33" s="596"/>
      <c r="H33" s="596"/>
      <c r="I33" s="596"/>
      <c r="J33" s="596"/>
      <c r="K33" s="596"/>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row>
    <row r="34" spans="1:34" ht="18" customHeight="1"/>
    <row r="35" spans="1:34" ht="18" customHeight="1"/>
    <row r="36" spans="1:34" ht="18" hidden="1" customHeight="1" thickBot="1">
      <c r="A36" s="634" t="s">
        <v>890</v>
      </c>
      <c r="B36" s="634" t="s">
        <v>891</v>
      </c>
      <c r="C36" s="634" t="s">
        <v>892</v>
      </c>
      <c r="D36" s="634" t="s">
        <v>893</v>
      </c>
      <c r="E36" s="634" t="s">
        <v>894</v>
      </c>
      <c r="F36" s="634" t="s">
        <v>979</v>
      </c>
      <c r="G36" s="634" t="s">
        <v>980</v>
      </c>
      <c r="H36" s="636" t="s">
        <v>895</v>
      </c>
      <c r="I36" s="636" t="s">
        <v>981</v>
      </c>
      <c r="J36" s="634" t="s">
        <v>982</v>
      </c>
      <c r="K36" s="635" t="s">
        <v>874</v>
      </c>
      <c r="L36" s="636" t="s">
        <v>875</v>
      </c>
      <c r="M36" s="637" t="s">
        <v>876</v>
      </c>
      <c r="N36" s="635" t="s">
        <v>877</v>
      </c>
      <c r="O36" s="635" t="s">
        <v>878</v>
      </c>
      <c r="P36" s="635" t="s">
        <v>879</v>
      </c>
      <c r="Q36" s="635" t="s">
        <v>983</v>
      </c>
      <c r="R36" s="635" t="s">
        <v>880</v>
      </c>
    </row>
    <row r="37" spans="1:34" ht="18" hidden="1" customHeight="1" thickTop="1">
      <c r="A37" s="638" t="s">
        <v>905</v>
      </c>
      <c r="B37" s="638" t="s">
        <v>891</v>
      </c>
      <c r="C37" s="638" t="s">
        <v>906</v>
      </c>
      <c r="D37" s="640" t="s">
        <v>907</v>
      </c>
      <c r="E37" s="646" t="s">
        <v>908</v>
      </c>
      <c r="F37" s="638" t="s">
        <v>909</v>
      </c>
      <c r="G37" s="638" t="s">
        <v>910</v>
      </c>
      <c r="H37" s="640" t="s">
        <v>911</v>
      </c>
      <c r="I37" s="640" t="s">
        <v>912</v>
      </c>
      <c r="J37" s="638" t="s">
        <v>881</v>
      </c>
      <c r="K37" s="639" t="s">
        <v>882</v>
      </c>
      <c r="L37" s="640" t="s">
        <v>883</v>
      </c>
      <c r="M37" s="641" t="s">
        <v>884</v>
      </c>
      <c r="N37" s="639" t="s">
        <v>885</v>
      </c>
      <c r="O37" s="639" t="s">
        <v>886</v>
      </c>
      <c r="P37" s="639" t="s">
        <v>887</v>
      </c>
      <c r="Q37" s="639" t="s">
        <v>888</v>
      </c>
      <c r="R37" s="639" t="s">
        <v>889</v>
      </c>
    </row>
    <row r="38" spans="1:34" ht="18" hidden="1" customHeight="1">
      <c r="A38" s="642" t="s">
        <v>920</v>
      </c>
      <c r="B38" s="644" t="s">
        <v>921</v>
      </c>
      <c r="D38" s="644" t="s">
        <v>922</v>
      </c>
      <c r="E38" s="648" t="s">
        <v>923</v>
      </c>
      <c r="F38" s="642" t="s">
        <v>924</v>
      </c>
      <c r="G38" s="642" t="s">
        <v>925</v>
      </c>
      <c r="H38" s="644" t="s">
        <v>926</v>
      </c>
      <c r="I38" s="644" t="s">
        <v>927</v>
      </c>
      <c r="J38" s="642" t="s">
        <v>896</v>
      </c>
      <c r="K38" s="643" t="s">
        <v>897</v>
      </c>
      <c r="L38" s="644" t="s">
        <v>898</v>
      </c>
      <c r="M38" s="645" t="s">
        <v>899</v>
      </c>
      <c r="N38" s="643" t="s">
        <v>900</v>
      </c>
      <c r="O38" s="643" t="s">
        <v>901</v>
      </c>
      <c r="P38" s="643" t="s">
        <v>902</v>
      </c>
      <c r="Q38" s="643" t="s">
        <v>903</v>
      </c>
      <c r="R38" s="643" t="s">
        <v>904</v>
      </c>
    </row>
    <row r="39" spans="1:34" ht="18" hidden="1" customHeight="1">
      <c r="D39" s="644" t="s">
        <v>931</v>
      </c>
      <c r="E39" s="648" t="s">
        <v>932</v>
      </c>
      <c r="F39" s="642" t="s">
        <v>933</v>
      </c>
      <c r="G39" s="644" t="s">
        <v>934</v>
      </c>
      <c r="H39" s="644" t="s">
        <v>935</v>
      </c>
      <c r="I39" s="644" t="s">
        <v>936</v>
      </c>
      <c r="J39" s="644" t="s">
        <v>913</v>
      </c>
      <c r="K39" s="643" t="s">
        <v>914</v>
      </c>
      <c r="L39" s="644" t="s">
        <v>915</v>
      </c>
      <c r="M39" s="647" t="s">
        <v>916</v>
      </c>
      <c r="N39" s="643" t="s">
        <v>917</v>
      </c>
      <c r="P39" s="644" t="s">
        <v>918</v>
      </c>
      <c r="R39" s="643" t="s">
        <v>919</v>
      </c>
    </row>
    <row r="40" spans="1:34" ht="18" hidden="1" customHeight="1">
      <c r="E40" s="648" t="s">
        <v>939</v>
      </c>
      <c r="F40" s="642" t="s">
        <v>940</v>
      </c>
      <c r="G40" s="644" t="s">
        <v>941</v>
      </c>
      <c r="H40" s="644" t="s">
        <v>942</v>
      </c>
      <c r="I40" s="644" t="s">
        <v>943</v>
      </c>
      <c r="J40" s="644" t="s">
        <v>928</v>
      </c>
      <c r="L40" s="644" t="s">
        <v>929</v>
      </c>
      <c r="R40" s="644" t="s">
        <v>930</v>
      </c>
    </row>
    <row r="41" spans="1:34" ht="18" hidden="1" customHeight="1">
      <c r="E41" s="648" t="s">
        <v>945</v>
      </c>
      <c r="G41" s="644" t="s">
        <v>946</v>
      </c>
      <c r="H41" s="644" t="s">
        <v>947</v>
      </c>
      <c r="I41" s="644" t="s">
        <v>948</v>
      </c>
      <c r="J41" s="644" t="s">
        <v>937</v>
      </c>
      <c r="R41" s="644" t="s">
        <v>938</v>
      </c>
    </row>
    <row r="42" spans="1:34" ht="18" hidden="1" customHeight="1">
      <c r="E42" s="648" t="s">
        <v>949</v>
      </c>
      <c r="H42" s="644" t="s">
        <v>950</v>
      </c>
      <c r="I42" s="644" t="s">
        <v>951</v>
      </c>
      <c r="J42" s="642" t="s">
        <v>944</v>
      </c>
    </row>
    <row r="43" spans="1:34" ht="18" hidden="1" customHeight="1">
      <c r="E43" s="648" t="s">
        <v>952</v>
      </c>
      <c r="H43" s="644" t="s">
        <v>953</v>
      </c>
      <c r="I43" s="644" t="s">
        <v>954</v>
      </c>
    </row>
    <row r="44" spans="1:34" ht="18" hidden="1" customHeight="1">
      <c r="E44" s="648" t="s">
        <v>955</v>
      </c>
      <c r="H44" s="644" t="s">
        <v>956</v>
      </c>
      <c r="I44" s="644" t="s">
        <v>957</v>
      </c>
    </row>
    <row r="45" spans="1:34" ht="66.5" hidden="1">
      <c r="E45" s="648" t="s">
        <v>958</v>
      </c>
      <c r="I45" s="644" t="s">
        <v>959</v>
      </c>
    </row>
    <row r="46" spans="1:34" ht="66.5" hidden="1">
      <c r="E46" s="648" t="s">
        <v>960</v>
      </c>
      <c r="I46" s="644" t="s">
        <v>961</v>
      </c>
    </row>
    <row r="47" spans="1:34" ht="66.5" hidden="1">
      <c r="E47" s="648" t="s">
        <v>962</v>
      </c>
      <c r="I47" s="644" t="s">
        <v>963</v>
      </c>
    </row>
    <row r="48" spans="1:34" ht="57" hidden="1">
      <c r="E48" s="648" t="s">
        <v>964</v>
      </c>
      <c r="I48" s="644" t="s">
        <v>965</v>
      </c>
    </row>
    <row r="49" spans="1:5" hidden="1">
      <c r="E49" s="648" t="s">
        <v>966</v>
      </c>
    </row>
    <row r="50" spans="1:5" hidden="1">
      <c r="E50" s="648" t="s">
        <v>967</v>
      </c>
    </row>
    <row r="51" spans="1:5" ht="20.149999999999999" hidden="1" customHeight="1">
      <c r="E51" s="648" t="s">
        <v>968</v>
      </c>
    </row>
    <row r="52" spans="1:5" ht="20.149999999999999" hidden="1" customHeight="1">
      <c r="E52" s="648" t="s">
        <v>969</v>
      </c>
    </row>
    <row r="53" spans="1:5" ht="20.149999999999999" hidden="1" customHeight="1">
      <c r="E53" s="648" t="s">
        <v>970</v>
      </c>
    </row>
    <row r="54" spans="1:5" ht="20.149999999999999" hidden="1" customHeight="1">
      <c r="E54" s="648" t="s">
        <v>971</v>
      </c>
    </row>
    <row r="55" spans="1:5" ht="20.149999999999999" hidden="1" customHeight="1">
      <c r="E55" s="648" t="s">
        <v>972</v>
      </c>
    </row>
    <row r="56" spans="1:5" hidden="1">
      <c r="E56" s="648" t="s">
        <v>973</v>
      </c>
    </row>
    <row r="57" spans="1:5" hidden="1">
      <c r="E57" s="648" t="s">
        <v>974</v>
      </c>
    </row>
    <row r="58" spans="1:5" ht="13.5" hidden="1" customHeight="1">
      <c r="E58" s="648" t="s">
        <v>975</v>
      </c>
    </row>
    <row r="59" spans="1:5" ht="25" hidden="1" customHeight="1">
      <c r="E59" s="648" t="s">
        <v>976</v>
      </c>
    </row>
    <row r="60" spans="1:5" hidden="1">
      <c r="E60" s="648" t="s">
        <v>977</v>
      </c>
    </row>
    <row r="62" spans="1:5" hidden="1">
      <c r="A62" s="592" t="s">
        <v>986</v>
      </c>
    </row>
    <row r="63" spans="1:5" hidden="1">
      <c r="A63" s="592" t="s">
        <v>987</v>
      </c>
    </row>
    <row r="68" spans="3:34">
      <c r="C68" s="1246" t="s">
        <v>1051</v>
      </c>
      <c r="D68" s="1246"/>
      <c r="E68" s="1246"/>
      <c r="F68" s="1246"/>
      <c r="G68" s="1246"/>
      <c r="H68" s="1246"/>
      <c r="I68" s="1246"/>
      <c r="J68" s="1246"/>
      <c r="K68" s="1246"/>
      <c r="L68" s="1246"/>
      <c r="M68" s="1246"/>
      <c r="N68" s="1246"/>
      <c r="O68" s="1246"/>
      <c r="P68" s="1246"/>
      <c r="Q68" s="1246"/>
      <c r="R68" s="1246"/>
      <c r="S68" s="1246"/>
      <c r="T68" s="1246"/>
      <c r="U68" s="1246"/>
      <c r="V68" s="1246"/>
      <c r="W68" s="1246"/>
      <c r="X68" s="1246"/>
      <c r="Y68" s="1246"/>
      <c r="Z68" s="1246"/>
      <c r="AA68" s="1246"/>
    </row>
    <row r="69" spans="3:34">
      <c r="C69" s="1235" t="s">
        <v>1038</v>
      </c>
      <c r="D69" s="1235"/>
      <c r="E69" s="1235"/>
      <c r="F69" s="1235"/>
      <c r="G69" s="1235"/>
      <c r="H69" s="1235"/>
      <c r="I69" s="1235"/>
      <c r="J69" s="1235"/>
      <c r="K69" s="1235"/>
      <c r="L69" s="1235"/>
      <c r="M69" s="1235"/>
      <c r="N69" s="1235"/>
      <c r="O69" s="1235"/>
      <c r="P69" s="1235"/>
      <c r="Q69" s="1235"/>
      <c r="R69" s="1235"/>
      <c r="S69" s="1235"/>
      <c r="T69" s="1235"/>
      <c r="U69" s="1235"/>
      <c r="V69" s="1235"/>
      <c r="W69" s="1235"/>
      <c r="X69" s="1235"/>
      <c r="Y69" s="1235"/>
      <c r="Z69" s="1235"/>
      <c r="AA69" s="1235"/>
      <c r="AB69" s="1235"/>
      <c r="AC69" s="1235"/>
      <c r="AD69" s="1235"/>
      <c r="AE69" s="1235"/>
      <c r="AF69" s="1235"/>
      <c r="AG69" s="1235"/>
      <c r="AH69" s="1235"/>
    </row>
    <row r="70" spans="3:34">
      <c r="C70" s="1235"/>
      <c r="D70" s="1235"/>
      <c r="E70" s="1235"/>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row>
    <row r="71" spans="3:34" ht="13.5" thickBot="1">
      <c r="C71" s="696" t="s">
        <v>1021</v>
      </c>
      <c r="D71" s="696" t="s">
        <v>1026</v>
      </c>
      <c r="E71" s="696" t="s">
        <v>1022</v>
      </c>
      <c r="F71" s="696" t="s">
        <v>1023</v>
      </c>
      <c r="G71" s="696" t="s">
        <v>872</v>
      </c>
      <c r="H71" s="696" t="s">
        <v>873</v>
      </c>
      <c r="I71" s="696" t="s">
        <v>1024</v>
      </c>
      <c r="J71" s="696" t="s">
        <v>1025</v>
      </c>
      <c r="K71" s="696" t="s">
        <v>1027</v>
      </c>
      <c r="L71" s="696" t="s">
        <v>1028</v>
      </c>
      <c r="M71" s="696" t="s">
        <v>1029</v>
      </c>
      <c r="N71" s="696" t="s">
        <v>1030</v>
      </c>
      <c r="O71" s="696" t="s">
        <v>1031</v>
      </c>
      <c r="P71" s="696" t="s">
        <v>1032</v>
      </c>
      <c r="Q71" s="696" t="s">
        <v>1033</v>
      </c>
      <c r="R71" s="696" t="s">
        <v>1034</v>
      </c>
      <c r="S71" s="696" t="s">
        <v>1035</v>
      </c>
      <c r="T71" s="696" t="s">
        <v>1036</v>
      </c>
      <c r="U71" s="696" t="s">
        <v>1036</v>
      </c>
      <c r="V71" s="592" t="s">
        <v>1039</v>
      </c>
    </row>
    <row r="72" spans="3:34" ht="13.5" thickTop="1">
      <c r="C72" s="697">
        <f>J5</f>
        <v>0</v>
      </c>
      <c r="D72" s="697" t="str">
        <f>IF(J25="","","○")</f>
        <v/>
      </c>
      <c r="E72" s="697">
        <f>J12</f>
        <v>0</v>
      </c>
      <c r="F72" s="697">
        <v>0</v>
      </c>
      <c r="G72" s="697" t="str">
        <f>IF(N8="選択して下さい","",N8)</f>
        <v/>
      </c>
      <c r="H72" s="697" t="str">
        <f>IF(N9="選択して下さい","",N9)</f>
        <v/>
      </c>
      <c r="I72" s="698">
        <f>X16</f>
        <v>0</v>
      </c>
      <c r="J72" s="697"/>
      <c r="K72" s="697" t="s">
        <v>1581</v>
      </c>
      <c r="L72" s="697" t="s">
        <v>1581</v>
      </c>
      <c r="M72" s="697" t="s">
        <v>1581</v>
      </c>
      <c r="N72" s="697" t="s">
        <v>1581</v>
      </c>
      <c r="O72" s="697" t="s">
        <v>1581</v>
      </c>
      <c r="P72" s="697" t="s">
        <v>1581</v>
      </c>
      <c r="Q72" s="697" t="s">
        <v>1581</v>
      </c>
      <c r="R72" s="697" t="s">
        <v>1581</v>
      </c>
      <c r="S72" s="697" t="s">
        <v>1581</v>
      </c>
      <c r="T72" s="697" t="s">
        <v>1581</v>
      </c>
      <c r="U72" s="697"/>
      <c r="V72" s="699"/>
    </row>
    <row r="74" spans="3:34" ht="13.5" thickBot="1">
      <c r="C74" s="696" t="s">
        <v>1040</v>
      </c>
      <c r="D74" s="696" t="s">
        <v>1041</v>
      </c>
      <c r="E74" s="696" t="s">
        <v>1042</v>
      </c>
      <c r="F74" s="592" t="s">
        <v>1043</v>
      </c>
    </row>
    <row r="75" spans="3:34" ht="13.5" thickTop="1">
      <c r="C75" s="697">
        <v>0</v>
      </c>
      <c r="D75" s="697">
        <v>0</v>
      </c>
      <c r="E75" s="697">
        <v>0</v>
      </c>
    </row>
    <row r="77" spans="3:34" ht="13.5" thickBot="1">
      <c r="C77" s="696" t="s">
        <v>1044</v>
      </c>
      <c r="D77" s="696" t="s">
        <v>1045</v>
      </c>
      <c r="E77" s="696" t="s">
        <v>1046</v>
      </c>
      <c r="F77" s="696" t="s">
        <v>1047</v>
      </c>
      <c r="G77" s="696" t="s">
        <v>1048</v>
      </c>
      <c r="H77" s="696" t="s">
        <v>1049</v>
      </c>
      <c r="I77" s="592" t="s">
        <v>1050</v>
      </c>
    </row>
    <row r="78" spans="3:34" ht="13.5" thickTop="1">
      <c r="C78" s="697">
        <f>$L$13</f>
        <v>0</v>
      </c>
      <c r="D78" s="697">
        <f>$J$14</f>
        <v>0</v>
      </c>
      <c r="E78" s="697">
        <f>$H$17</f>
        <v>0</v>
      </c>
      <c r="F78" s="697">
        <f>$H$18</f>
        <v>0</v>
      </c>
      <c r="G78" s="697">
        <f>$H$19</f>
        <v>0</v>
      </c>
      <c r="H78" s="697">
        <f>$V$19</f>
        <v>0</v>
      </c>
    </row>
  </sheetData>
  <sheetProtection password="D73A" sheet="1" formatCells="0"/>
  <mergeCells count="83">
    <mergeCell ref="A1:AH1"/>
    <mergeCell ref="A4:AH4"/>
    <mergeCell ref="A5:D11"/>
    <mergeCell ref="E5:I5"/>
    <mergeCell ref="J5:AH5"/>
    <mergeCell ref="E6:I6"/>
    <mergeCell ref="J6:M6"/>
    <mergeCell ref="N6:T6"/>
    <mergeCell ref="U6:X6"/>
    <mergeCell ref="Y6:AH6"/>
    <mergeCell ref="AE10:AH10"/>
    <mergeCell ref="E7:I7"/>
    <mergeCell ref="J7:AH7"/>
    <mergeCell ref="E8:I9"/>
    <mergeCell ref="J8:M8"/>
    <mergeCell ref="N8:AH8"/>
    <mergeCell ref="J9:M9"/>
    <mergeCell ref="N9:AH9"/>
    <mergeCell ref="E10:I10"/>
    <mergeCell ref="J10:N10"/>
    <mergeCell ref="P10:T10"/>
    <mergeCell ref="U10:X10"/>
    <mergeCell ref="Z10:AD10"/>
    <mergeCell ref="E11:I11"/>
    <mergeCell ref="J11:AH11"/>
    <mergeCell ref="A12:D16"/>
    <mergeCell ref="E12:I12"/>
    <mergeCell ref="J12:AH12"/>
    <mergeCell ref="E13:I14"/>
    <mergeCell ref="J13:K13"/>
    <mergeCell ref="L13:T13"/>
    <mergeCell ref="U13:AH13"/>
    <mergeCell ref="J14:AH14"/>
    <mergeCell ref="E15:K16"/>
    <mergeCell ref="L15:Q15"/>
    <mergeCell ref="R15:W15"/>
    <mergeCell ref="X15:AC15"/>
    <mergeCell ref="AD15:AH16"/>
    <mergeCell ref="L16:Q16"/>
    <mergeCell ref="R16:W16"/>
    <mergeCell ref="X16:AC16"/>
    <mergeCell ref="A17:D21"/>
    <mergeCell ref="E17:G17"/>
    <mergeCell ref="H17:R17"/>
    <mergeCell ref="S17:U17"/>
    <mergeCell ref="V17:AH17"/>
    <mergeCell ref="E18:G18"/>
    <mergeCell ref="H18:R18"/>
    <mergeCell ref="S18:U18"/>
    <mergeCell ref="V18:AH18"/>
    <mergeCell ref="E19:G19"/>
    <mergeCell ref="H19:R19"/>
    <mergeCell ref="S19:U19"/>
    <mergeCell ref="V19:AH19"/>
    <mergeCell ref="E20:I21"/>
    <mergeCell ref="J20:K20"/>
    <mergeCell ref="L20:T20"/>
    <mergeCell ref="U20:AH20"/>
    <mergeCell ref="J21:AH21"/>
    <mergeCell ref="E30:G30"/>
    <mergeCell ref="A25:D27"/>
    <mergeCell ref="E25:I25"/>
    <mergeCell ref="J25:AH25"/>
    <mergeCell ref="E26:I26"/>
    <mergeCell ref="J26:AH26"/>
    <mergeCell ref="E27:I27"/>
    <mergeCell ref="J27:AH27"/>
    <mergeCell ref="C69:AH70"/>
    <mergeCell ref="H30:R30"/>
    <mergeCell ref="S30:U30"/>
    <mergeCell ref="V30:AH30"/>
    <mergeCell ref="E31:I31"/>
    <mergeCell ref="J31:AH31"/>
    <mergeCell ref="C68:AA68"/>
    <mergeCell ref="A28:D31"/>
    <mergeCell ref="E28:G28"/>
    <mergeCell ref="H28:R28"/>
    <mergeCell ref="S28:U28"/>
    <mergeCell ref="V28:AH28"/>
    <mergeCell ref="E29:G29"/>
    <mergeCell ref="H29:R29"/>
    <mergeCell ref="S29:U29"/>
    <mergeCell ref="V29:AH29"/>
  </mergeCells>
  <phoneticPr fontId="2"/>
  <conditionalFormatting sqref="J5:AH5 J7:AH7 J6 N6 Y6 U6">
    <cfRule type="containsBlanks" dxfId="52" priority="16">
      <formula>LEN(TRIM(J5))=0</formula>
    </cfRule>
  </conditionalFormatting>
  <conditionalFormatting sqref="J12:AH12 J14:AH14 J13 L13">
    <cfRule type="containsBlanks" dxfId="51" priority="15">
      <formula>LEN(TRIM(J12))=0</formula>
    </cfRule>
  </conditionalFormatting>
  <conditionalFormatting sqref="H17:R19">
    <cfRule type="containsBlanks" dxfId="50" priority="14">
      <formula>LEN(TRIM(H17))=0</formula>
    </cfRule>
  </conditionalFormatting>
  <conditionalFormatting sqref="J25:AH26">
    <cfRule type="containsBlanks" dxfId="49" priority="13">
      <formula>LEN(TRIM(J25))=0</formula>
    </cfRule>
  </conditionalFormatting>
  <conditionalFormatting sqref="J27:AH27">
    <cfRule type="containsBlanks" dxfId="48" priority="12">
      <formula>LEN(TRIM(J27))=0</formula>
    </cfRule>
  </conditionalFormatting>
  <conditionalFormatting sqref="H28:R30">
    <cfRule type="containsBlanks" dxfId="47" priority="11">
      <formula>LEN(TRIM(H28))=0</formula>
    </cfRule>
  </conditionalFormatting>
  <conditionalFormatting sqref="V28">
    <cfRule type="containsBlanks" dxfId="46" priority="10">
      <formula>LEN(TRIM(V28))=0</formula>
    </cfRule>
  </conditionalFormatting>
  <conditionalFormatting sqref="J31:AH31">
    <cfRule type="containsBlanks" dxfId="45" priority="9">
      <formula>LEN(TRIM(J31))=0</formula>
    </cfRule>
  </conditionalFormatting>
  <conditionalFormatting sqref="V17:AH17">
    <cfRule type="containsBlanks" dxfId="44" priority="8">
      <formula>LEN(TRIM(V17))=0</formula>
    </cfRule>
  </conditionalFormatting>
  <conditionalFormatting sqref="V19:AH19">
    <cfRule type="containsBlanks" dxfId="43" priority="7">
      <formula>LEN(TRIM(V19))=0</formula>
    </cfRule>
  </conditionalFormatting>
  <conditionalFormatting sqref="V30:AH30">
    <cfRule type="containsBlanks" dxfId="42" priority="6">
      <formula>LEN(TRIM(V30))=0</formula>
    </cfRule>
  </conditionalFormatting>
  <conditionalFormatting sqref="J20 L20">
    <cfRule type="containsBlanks" dxfId="41" priority="5">
      <formula>LEN(TRIM(J20))=0</formula>
    </cfRule>
  </conditionalFormatting>
  <conditionalFormatting sqref="J21:AH21">
    <cfRule type="containsBlanks" dxfId="40" priority="4">
      <formula>LEN(TRIM(J21))=0</formula>
    </cfRule>
  </conditionalFormatting>
  <conditionalFormatting sqref="J11">
    <cfRule type="containsBlanks" dxfId="39" priority="3">
      <formula>LEN(TRIM(J11))=0</formula>
    </cfRule>
  </conditionalFormatting>
  <conditionalFormatting sqref="AE10:AH10">
    <cfRule type="containsBlanks" dxfId="38" priority="2">
      <formula>LEN(TRIM(AE10))=0</formula>
    </cfRule>
  </conditionalFormatting>
  <conditionalFormatting sqref="AE10">
    <cfRule type="cellIs" dxfId="37" priority="1" operator="equal">
      <formula>"選択して下さい"</formula>
    </cfRule>
  </conditionalFormatting>
  <dataValidations count="3">
    <dataValidation type="list" allowBlank="1" showInputMessage="1" showErrorMessage="1" sqref="AE10:AH10" xr:uid="{BA69BE98-518F-4CDC-A8FF-E51C163B1EF6}">
      <formula1>"有,無"</formula1>
    </dataValidation>
    <dataValidation type="list" allowBlank="1" showInputMessage="1" showErrorMessage="1" sqref="N9:AH9" xr:uid="{BB99BFDD-EE63-4800-BE96-417EB2008579}">
      <formula1>INDIRECT($N$8)</formula1>
    </dataValidation>
    <dataValidation type="list" allowBlank="1" showInputMessage="1" showErrorMessage="1" sqref="N8:AH8" xr:uid="{61A39CDD-C614-4661-BF3E-567C06BFC9E7}">
      <formula1>大分類</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ゴシック,標準"様式第６―３号（第１３条関係）</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topLeftCell="C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59">
        <f>K24</f>
        <v>0</v>
      </c>
      <c r="L6" s="761">
        <f>K6*J6</f>
        <v>0</v>
      </c>
      <c r="M6" s="798"/>
      <c r="N6" s="762">
        <f>G6</f>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4">
        <f>K25</f>
        <v>0</v>
      </c>
      <c r="L7" s="766">
        <f t="shared" ref="L7:L13" si="0">K7*J7</f>
        <v>0</v>
      </c>
      <c r="M7" s="798"/>
      <c r="N7" s="767">
        <f>G7</f>
        <v>0</v>
      </c>
      <c r="O7" s="765">
        <f>K7</f>
        <v>0</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4">
        <f t="shared" si="2"/>
        <v>0</v>
      </c>
      <c r="L9" s="766">
        <f t="shared" si="0"/>
        <v>0</v>
      </c>
      <c r="M9" s="798"/>
      <c r="N9" s="767">
        <f t="shared" si="3"/>
        <v>0</v>
      </c>
      <c r="O9" s="765">
        <f t="shared" si="4"/>
        <v>0</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4">
        <f t="shared" si="2"/>
        <v>0</v>
      </c>
      <c r="L10" s="766">
        <f t="shared" si="0"/>
        <v>0</v>
      </c>
      <c r="M10" s="798"/>
      <c r="N10" s="767">
        <f t="shared" si="3"/>
        <v>0</v>
      </c>
      <c r="O10" s="764">
        <f t="shared" si="4"/>
        <v>0</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4">
        <f t="shared" si="2"/>
        <v>0</v>
      </c>
      <c r="L11" s="766">
        <f t="shared" si="0"/>
        <v>0</v>
      </c>
      <c r="M11" s="798"/>
      <c r="N11" s="767">
        <f t="shared" si="3"/>
        <v>0</v>
      </c>
      <c r="O11" s="765">
        <f t="shared" si="4"/>
        <v>0</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4">
        <f t="shared" si="2"/>
        <v>0</v>
      </c>
      <c r="L12" s="766">
        <f t="shared" si="0"/>
        <v>0</v>
      </c>
      <c r="M12" s="798"/>
      <c r="N12" s="767">
        <f t="shared" si="3"/>
        <v>0</v>
      </c>
      <c r="O12" s="765">
        <f t="shared" si="4"/>
        <v>0</v>
      </c>
      <c r="P12" s="766">
        <f t="shared" si="1"/>
        <v>0</v>
      </c>
    </row>
    <row r="13" spans="2:16" ht="13.5" thickBot="1">
      <c r="B13" s="2282"/>
      <c r="C13" s="780" t="s">
        <v>1378</v>
      </c>
      <c r="D13" s="752">
        <f>結果!H38</f>
        <v>0</v>
      </c>
      <c r="E13" s="752">
        <f>結果!J38</f>
        <v>0</v>
      </c>
      <c r="F13" s="752">
        <f>結果!L38</f>
        <v>0</v>
      </c>
      <c r="G13" s="782">
        <f>結果!Q38</f>
        <v>0</v>
      </c>
      <c r="H13" s="796"/>
      <c r="I13" s="796"/>
      <c r="J13" s="1023">
        <f>IF(D32&gt;=D33,D13,IF(E32&gt;=D33,E13,F13))</f>
        <v>0</v>
      </c>
      <c r="K13" s="764">
        <f t="shared" si="2"/>
        <v>0</v>
      </c>
      <c r="L13" s="772">
        <f t="shared" si="0"/>
        <v>0</v>
      </c>
      <c r="M13" s="798"/>
      <c r="N13" s="767">
        <f>G13</f>
        <v>0</v>
      </c>
      <c r="O13" s="765">
        <f t="shared" si="4"/>
        <v>0</v>
      </c>
      <c r="P13" s="772">
        <f t="shared" si="1"/>
        <v>0</v>
      </c>
    </row>
    <row r="14" spans="2:16" ht="13.5" customHeight="1" thickBot="1">
      <c r="B14" s="2283"/>
      <c r="C14" s="786" t="s">
        <v>1100</v>
      </c>
      <c r="D14" s="787">
        <f>SUM(D6:D13)</f>
        <v>0</v>
      </c>
      <c r="E14" s="787">
        <f t="shared" ref="E14:G14" si="5">SUM(E6:E13)</f>
        <v>0</v>
      </c>
      <c r="F14" s="787">
        <f t="shared" si="5"/>
        <v>0</v>
      </c>
      <c r="G14" s="788">
        <f t="shared" si="5"/>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282"/>
      <c r="C16" s="748" t="str">
        <f t="shared" ref="C16:C32" si="6">C7</f>
        <v>北東</v>
      </c>
      <c r="D16" s="749">
        <f>結果!H72</f>
        <v>0</v>
      </c>
      <c r="E16" s="749">
        <f>結果!J72</f>
        <v>0</v>
      </c>
      <c r="F16" s="749">
        <f>結果!L72</f>
        <v>0</v>
      </c>
      <c r="G16" s="750">
        <f>結果!Q72</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6"/>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6"/>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6"/>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6"/>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6"/>
        <v>北西</v>
      </c>
      <c r="D22" s="752">
        <f>結果!H78</f>
        <v>0</v>
      </c>
      <c r="E22" s="752">
        <f>結果!J78</f>
        <v>0</v>
      </c>
      <c r="F22" s="752">
        <f>結果!L78</f>
        <v>0</v>
      </c>
      <c r="G22" s="753">
        <f>結果!Q78</f>
        <v>0</v>
      </c>
      <c r="H22" s="912"/>
      <c r="I22" s="912"/>
      <c r="J22" s="2291"/>
      <c r="K22" s="2264"/>
      <c r="L22" s="2264"/>
      <c r="M22" s="798"/>
      <c r="N22" s="2264"/>
      <c r="O22" s="2264"/>
      <c r="P22" s="2264"/>
    </row>
    <row r="23" spans="2:16" ht="13.5"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10">
        <f>温度条件他根拠!E29</f>
        <v>0</v>
      </c>
      <c r="L24" s="761">
        <f>K24*J24</f>
        <v>0</v>
      </c>
      <c r="M24" s="798"/>
      <c r="N24" s="762">
        <f>G24</f>
        <v>0</v>
      </c>
      <c r="O24" s="762">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11">
        <f>K24</f>
        <v>0</v>
      </c>
      <c r="L25" s="766">
        <f t="shared" ref="L25:L31" si="10">K25*J25</f>
        <v>0</v>
      </c>
      <c r="M25" s="798"/>
      <c r="N25" s="767">
        <f>G25</f>
        <v>0</v>
      </c>
      <c r="O25" s="767">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11">
        <f>K24</f>
        <v>0</v>
      </c>
      <c r="L26" s="766">
        <f t="shared" si="10"/>
        <v>0</v>
      </c>
      <c r="M26" s="798"/>
      <c r="N26" s="767">
        <f t="shared" ref="N26:N31" si="12">G26</f>
        <v>0</v>
      </c>
      <c r="O26" s="767">
        <f t="shared" ref="O26:O31" si="13">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11">
        <f t="shared" ref="K27:K31" si="14">K25</f>
        <v>0</v>
      </c>
      <c r="L27" s="766">
        <f t="shared" si="10"/>
        <v>0</v>
      </c>
      <c r="M27" s="798"/>
      <c r="N27" s="767">
        <f t="shared" si="12"/>
        <v>0</v>
      </c>
      <c r="O27" s="767">
        <f t="shared" si="13"/>
        <v>0</v>
      </c>
      <c r="P27" s="766">
        <f t="shared" si="11"/>
        <v>0</v>
      </c>
    </row>
    <row r="28" spans="2:16">
      <c r="B28" s="2282"/>
      <c r="C28" s="763" t="str">
        <f t="shared" si="6"/>
        <v>南</v>
      </c>
      <c r="D28" s="749">
        <f t="shared" si="9"/>
        <v>0</v>
      </c>
      <c r="E28" s="749">
        <f t="shared" si="9"/>
        <v>0</v>
      </c>
      <c r="F28" s="749">
        <f t="shared" si="9"/>
        <v>0</v>
      </c>
      <c r="G28" s="750">
        <f>G10-G19</f>
        <v>0</v>
      </c>
      <c r="H28" s="912"/>
      <c r="I28" s="912"/>
      <c r="J28" s="764">
        <f>IF(D32&gt;=D33,D28,IF(E32&gt;=D33,E28,F28))</f>
        <v>0</v>
      </c>
      <c r="K28" s="811">
        <f t="shared" si="14"/>
        <v>0</v>
      </c>
      <c r="L28" s="766">
        <f t="shared" si="10"/>
        <v>0</v>
      </c>
      <c r="M28" s="798"/>
      <c r="N28" s="767">
        <f t="shared" si="12"/>
        <v>0</v>
      </c>
      <c r="O28" s="767">
        <f t="shared" si="13"/>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11">
        <f t="shared" si="14"/>
        <v>0</v>
      </c>
      <c r="L29" s="766">
        <f t="shared" si="10"/>
        <v>0</v>
      </c>
      <c r="M29" s="798"/>
      <c r="N29" s="767">
        <f t="shared" si="12"/>
        <v>0</v>
      </c>
      <c r="O29" s="767">
        <f t="shared" si="13"/>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11">
        <f t="shared" si="14"/>
        <v>0</v>
      </c>
      <c r="L30" s="766">
        <f t="shared" si="10"/>
        <v>0</v>
      </c>
      <c r="M30" s="798"/>
      <c r="N30" s="767">
        <f t="shared" si="12"/>
        <v>0</v>
      </c>
      <c r="O30" s="767">
        <f t="shared" si="13"/>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11">
        <f t="shared" si="14"/>
        <v>0</v>
      </c>
      <c r="L31" s="772">
        <f t="shared" si="10"/>
        <v>0</v>
      </c>
      <c r="M31" s="798"/>
      <c r="N31" s="767">
        <f t="shared" si="12"/>
        <v>0</v>
      </c>
      <c r="O31" s="767">
        <f t="shared" si="13"/>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c r="Q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05" t="s">
        <v>183</v>
      </c>
      <c r="C45" s="1205"/>
      <c r="D45" s="1205"/>
      <c r="E45" s="1205"/>
      <c r="F45" s="1205"/>
      <c r="G45" s="1205"/>
      <c r="H45" s="1205"/>
      <c r="I45" s="1205"/>
      <c r="J45" s="1205"/>
      <c r="K45" s="1205"/>
      <c r="L45" s="1205"/>
      <c r="M45" s="1205"/>
      <c r="N45" s="1205"/>
      <c r="O45" s="1205"/>
    </row>
    <row r="46" spans="2:30" ht="36">
      <c r="B46" s="703" t="s">
        <v>0</v>
      </c>
      <c r="C46" s="716" t="s">
        <v>1093</v>
      </c>
      <c r="D46" s="716" t="s">
        <v>1094</v>
      </c>
      <c r="E46" s="716" t="s">
        <v>1092</v>
      </c>
      <c r="F46" s="20" t="s">
        <v>42</v>
      </c>
      <c r="G46" s="20" t="s">
        <v>43</v>
      </c>
      <c r="H46" s="18" t="s">
        <v>35</v>
      </c>
      <c r="I46" s="18" t="s">
        <v>36</v>
      </c>
      <c r="J46" s="20" t="s">
        <v>2</v>
      </c>
      <c r="K46" s="20" t="s">
        <v>3</v>
      </c>
      <c r="L46" s="20" t="s">
        <v>39</v>
      </c>
      <c r="M46" s="20" t="s">
        <v>38</v>
      </c>
      <c r="N46" s="20" t="s">
        <v>45</v>
      </c>
      <c r="O46" s="20" t="s">
        <v>44</v>
      </c>
      <c r="Q46" s="703" t="s">
        <v>0</v>
      </c>
      <c r="R46" s="919" t="s">
        <v>1367</v>
      </c>
      <c r="S46" s="919" t="s">
        <v>1368</v>
      </c>
      <c r="T46" s="913" t="s">
        <v>1092</v>
      </c>
      <c r="U46" s="20" t="s">
        <v>42</v>
      </c>
      <c r="V46" s="20" t="s">
        <v>43</v>
      </c>
      <c r="W46" s="18" t="s">
        <v>566</v>
      </c>
      <c r="X46" s="20" t="s">
        <v>567</v>
      </c>
      <c r="Y46" s="20" t="s">
        <v>2</v>
      </c>
      <c r="Z46" s="20" t="s">
        <v>3</v>
      </c>
      <c r="AA46" s="20" t="s">
        <v>568</v>
      </c>
      <c r="AB46" s="20" t="s">
        <v>569</v>
      </c>
      <c r="AC46" s="20" t="s">
        <v>570</v>
      </c>
      <c r="AD46" s="20" t="s">
        <v>571</v>
      </c>
    </row>
    <row r="47" spans="2:30" ht="36">
      <c r="B47" s="703" t="s">
        <v>14</v>
      </c>
      <c r="C47" s="20" t="s">
        <v>16</v>
      </c>
      <c r="D47" s="20" t="s">
        <v>17</v>
      </c>
      <c r="E47" s="622" t="s">
        <v>18</v>
      </c>
      <c r="F47" s="20" t="s">
        <v>19</v>
      </c>
      <c r="G47" s="20" t="s">
        <v>20</v>
      </c>
      <c r="H47" s="20" t="s">
        <v>30</v>
      </c>
      <c r="I47" s="20" t="s">
        <v>29</v>
      </c>
      <c r="J47" s="20" t="s">
        <v>21</v>
      </c>
      <c r="K47" s="20" t="s">
        <v>22</v>
      </c>
      <c r="L47" s="20" t="s">
        <v>608</v>
      </c>
      <c r="M47" s="20" t="s">
        <v>607</v>
      </c>
      <c r="N47" s="704" t="s">
        <v>25</v>
      </c>
      <c r="O47" s="20" t="s">
        <v>32</v>
      </c>
      <c r="Q47" s="703" t="s">
        <v>14</v>
      </c>
      <c r="R47" s="20" t="s">
        <v>16</v>
      </c>
      <c r="S47" s="20" t="s">
        <v>17</v>
      </c>
      <c r="T47" s="20" t="s">
        <v>18</v>
      </c>
      <c r="U47" s="20" t="s">
        <v>19</v>
      </c>
      <c r="V47" s="20" t="s">
        <v>20</v>
      </c>
      <c r="W47" s="20" t="s">
        <v>30</v>
      </c>
      <c r="X47" s="20" t="s">
        <v>29</v>
      </c>
      <c r="Y47" s="20" t="s">
        <v>21</v>
      </c>
      <c r="Z47" s="20" t="s">
        <v>22</v>
      </c>
      <c r="AA47" s="20" t="s">
        <v>608</v>
      </c>
      <c r="AB47" s="20" t="s">
        <v>607</v>
      </c>
      <c r="AC47" s="704" t="s">
        <v>25</v>
      </c>
      <c r="AD47" s="20" t="s">
        <v>32</v>
      </c>
    </row>
    <row r="48" spans="2:30">
      <c r="B48" s="700" t="s">
        <v>15</v>
      </c>
      <c r="C48" s="737" t="s">
        <v>1091</v>
      </c>
      <c r="D48" s="737" t="s">
        <v>1091</v>
      </c>
      <c r="E48" s="737" t="s">
        <v>172</v>
      </c>
      <c r="F48" s="5" t="s">
        <v>10</v>
      </c>
      <c r="G48" s="5" t="s">
        <v>10</v>
      </c>
      <c r="H48" s="5" t="s">
        <v>11</v>
      </c>
      <c r="I48" s="5" t="s">
        <v>11</v>
      </c>
      <c r="J48" s="5" t="s">
        <v>10</v>
      </c>
      <c r="K48" s="5" t="s">
        <v>10</v>
      </c>
      <c r="L48" s="5" t="s">
        <v>11</v>
      </c>
      <c r="M48" s="5" t="s">
        <v>11</v>
      </c>
      <c r="N48" s="5" t="s">
        <v>11</v>
      </c>
      <c r="O48" s="700" t="s">
        <v>31</v>
      </c>
      <c r="Q48" s="700" t="s">
        <v>15</v>
      </c>
      <c r="R48" s="737" t="s">
        <v>1091</v>
      </c>
      <c r="S48" s="737" t="s">
        <v>1091</v>
      </c>
      <c r="T48" s="737" t="s">
        <v>172</v>
      </c>
      <c r="U48" s="5" t="s">
        <v>10</v>
      </c>
      <c r="V48" s="5" t="s">
        <v>10</v>
      </c>
      <c r="W48" s="5" t="s">
        <v>11</v>
      </c>
      <c r="X48" s="5" t="s">
        <v>11</v>
      </c>
      <c r="Y48" s="5" t="s">
        <v>10</v>
      </c>
      <c r="Z48" s="5" t="s">
        <v>10</v>
      </c>
      <c r="AA48" s="5" t="s">
        <v>11</v>
      </c>
      <c r="AB48" s="5" t="s">
        <v>11</v>
      </c>
      <c r="AC48" s="5" t="s">
        <v>11</v>
      </c>
      <c r="AD48" s="700" t="s">
        <v>31</v>
      </c>
    </row>
    <row r="49" spans="2:30">
      <c r="B49" s="700">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00">
        <v>3</v>
      </c>
      <c r="C51" s="3"/>
      <c r="D51" s="3"/>
      <c r="E51" s="740">
        <f>E50</f>
        <v>0</v>
      </c>
      <c r="F51" s="740">
        <v>0</v>
      </c>
      <c r="G51" s="741">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700">
        <v>3</v>
      </c>
      <c r="R51" s="3"/>
      <c r="S51" s="3"/>
      <c r="T51" s="740">
        <f t="shared" ref="T51:T60" si="27">T50</f>
        <v>0</v>
      </c>
      <c r="U51" s="740">
        <f t="shared" si="24"/>
        <v>0</v>
      </c>
      <c r="V51" s="903">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700">
        <v>4</v>
      </c>
      <c r="C52" s="3"/>
      <c r="D52" s="3"/>
      <c r="E52" s="740">
        <f t="shared" ref="E52:E60" si="28">E51</f>
        <v>0</v>
      </c>
      <c r="F52" s="740">
        <v>0</v>
      </c>
      <c r="G52" s="741">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700">
        <v>4</v>
      </c>
      <c r="R52" s="3"/>
      <c r="S52" s="3"/>
      <c r="T52" s="740">
        <f t="shared" si="27"/>
        <v>0</v>
      </c>
      <c r="U52" s="740">
        <f t="shared" si="24"/>
        <v>0</v>
      </c>
      <c r="V52" s="903">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700">
        <v>5</v>
      </c>
      <c r="C53" s="3"/>
      <c r="D53" s="3"/>
      <c r="E53" s="740">
        <f t="shared" si="28"/>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9"/>
        <v>3.55</v>
      </c>
      <c r="K53" s="6">
        <f t="shared" si="29"/>
        <v>3.95</v>
      </c>
      <c r="L53" s="7">
        <f t="shared" si="16"/>
        <v>0</v>
      </c>
      <c r="M53" s="7">
        <f t="shared" si="16"/>
        <v>0</v>
      </c>
      <c r="N53" s="13">
        <f t="shared" si="22"/>
        <v>0</v>
      </c>
      <c r="O53" s="12">
        <f t="shared" si="23"/>
        <v>0</v>
      </c>
      <c r="Q53" s="700">
        <v>5</v>
      </c>
      <c r="R53" s="3"/>
      <c r="S53" s="3"/>
      <c r="T53" s="740">
        <f t="shared" si="27"/>
        <v>0</v>
      </c>
      <c r="U53" s="903">
        <f t="shared" si="24"/>
        <v>8.5312499999999958E-2</v>
      </c>
      <c r="V53" s="903">
        <f t="shared" si="24"/>
        <v>6.3768115942028997E-2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700">
        <v>6</v>
      </c>
      <c r="C54" s="3"/>
      <c r="D54" s="3"/>
      <c r="E54" s="740">
        <f t="shared" si="28"/>
        <v>0</v>
      </c>
      <c r="F54" s="741">
        <f>0.7*(温度条件他根拠!$E$7-温度条件他根拠!$E$9)/(温度条件他根拠!$E$7-26.4)</f>
        <v>0.49636363636363612</v>
      </c>
      <c r="G54" s="740">
        <v>0</v>
      </c>
      <c r="H54" s="7">
        <f t="shared" si="20"/>
        <v>0</v>
      </c>
      <c r="I54" s="7">
        <f t="shared" si="21"/>
        <v>0</v>
      </c>
      <c r="J54" s="2">
        <f t="shared" si="29"/>
        <v>3.55</v>
      </c>
      <c r="K54" s="6">
        <f t="shared" si="29"/>
        <v>3.95</v>
      </c>
      <c r="L54" s="7">
        <f t="shared" si="16"/>
        <v>0</v>
      </c>
      <c r="M54" s="7">
        <f t="shared" si="16"/>
        <v>0</v>
      </c>
      <c r="N54" s="13">
        <f t="shared" si="22"/>
        <v>0</v>
      </c>
      <c r="O54" s="12">
        <f t="shared" si="23"/>
        <v>0</v>
      </c>
      <c r="Q54" s="700">
        <v>6</v>
      </c>
      <c r="R54" s="3"/>
      <c r="S54" s="3"/>
      <c r="T54" s="740">
        <f t="shared" si="27"/>
        <v>0</v>
      </c>
      <c r="U54" s="903">
        <f t="shared" si="24"/>
        <v>0.49636363636363612</v>
      </c>
      <c r="V54" s="903">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00">
        <v>7</v>
      </c>
      <c r="C55" s="3"/>
      <c r="D55" s="3"/>
      <c r="E55" s="740">
        <f t="shared" si="28"/>
        <v>0</v>
      </c>
      <c r="F55" s="741">
        <f>0.7*(温度条件他根拠!$E$7-温度条件他根拠!$E$9)/(温度条件他根拠!$E$7-28)</f>
        <v>0.7</v>
      </c>
      <c r="G55" s="740">
        <v>0</v>
      </c>
      <c r="H55" s="7">
        <f t="shared" si="20"/>
        <v>0</v>
      </c>
      <c r="I55" s="7">
        <f t="shared" si="21"/>
        <v>0</v>
      </c>
      <c r="J55" s="2">
        <f t="shared" si="29"/>
        <v>3.55</v>
      </c>
      <c r="K55" s="6">
        <f t="shared" si="29"/>
        <v>3.95</v>
      </c>
      <c r="L55" s="7">
        <f t="shared" si="16"/>
        <v>0</v>
      </c>
      <c r="M55" s="7">
        <f t="shared" si="16"/>
        <v>0</v>
      </c>
      <c r="N55" s="13">
        <f t="shared" si="22"/>
        <v>0</v>
      </c>
      <c r="O55" s="12">
        <f t="shared" si="23"/>
        <v>0</v>
      </c>
      <c r="Q55" s="700">
        <v>7</v>
      </c>
      <c r="R55" s="3"/>
      <c r="S55" s="3"/>
      <c r="T55" s="740">
        <f t="shared" si="27"/>
        <v>0</v>
      </c>
      <c r="U55" s="903">
        <f t="shared" si="24"/>
        <v>0.7</v>
      </c>
      <c r="V55" s="903">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00">
        <v>8</v>
      </c>
      <c r="C56" s="738">
        <f>L32</f>
        <v>0</v>
      </c>
      <c r="D56" s="3"/>
      <c r="E56" s="740">
        <f t="shared" si="28"/>
        <v>0</v>
      </c>
      <c r="F56" s="741">
        <f>0.7*(温度条件他根拠!$E$7-温度条件他根拠!$E$9)/(温度条件他根拠!$E$7-28)</f>
        <v>0.7</v>
      </c>
      <c r="G56" s="740">
        <v>0</v>
      </c>
      <c r="H56" s="7">
        <f t="shared" si="20"/>
        <v>0</v>
      </c>
      <c r="I56" s="7">
        <f t="shared" si="21"/>
        <v>0</v>
      </c>
      <c r="J56" s="2">
        <f t="shared" si="29"/>
        <v>3.55</v>
      </c>
      <c r="K56" s="6">
        <f t="shared" si="29"/>
        <v>3.95</v>
      </c>
      <c r="L56" s="7">
        <f t="shared" si="16"/>
        <v>0</v>
      </c>
      <c r="M56" s="7">
        <f t="shared" si="16"/>
        <v>0</v>
      </c>
      <c r="N56" s="13">
        <f t="shared" si="22"/>
        <v>0</v>
      </c>
      <c r="O56" s="12">
        <f t="shared" si="23"/>
        <v>0</v>
      </c>
      <c r="Q56" s="700">
        <v>8</v>
      </c>
      <c r="R56" s="738">
        <f>L14</f>
        <v>0</v>
      </c>
      <c r="S56" s="3"/>
      <c r="T56" s="740">
        <f t="shared" si="27"/>
        <v>0</v>
      </c>
      <c r="U56" s="903">
        <f t="shared" si="24"/>
        <v>0.7</v>
      </c>
      <c r="V56" s="903">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00">
        <v>9</v>
      </c>
      <c r="C57" s="3"/>
      <c r="D57" s="3"/>
      <c r="E57" s="740">
        <f t="shared" si="28"/>
        <v>0</v>
      </c>
      <c r="F57" s="741">
        <f>0.7*(温度条件他根拠!$E$7-温度条件他根拠!$E$9)/(温度条件他根拠!$E$7-27.2)</f>
        <v>0.58085106382978702</v>
      </c>
      <c r="G57" s="740">
        <v>0</v>
      </c>
      <c r="H57" s="7">
        <f t="shared" si="20"/>
        <v>0</v>
      </c>
      <c r="I57" s="7">
        <f t="shared" si="21"/>
        <v>0</v>
      </c>
      <c r="J57" s="2">
        <f t="shared" si="29"/>
        <v>3.55</v>
      </c>
      <c r="K57" s="6">
        <f t="shared" si="29"/>
        <v>3.95</v>
      </c>
      <c r="L57" s="7">
        <f t="shared" si="16"/>
        <v>0</v>
      </c>
      <c r="M57" s="7">
        <f t="shared" si="16"/>
        <v>0</v>
      </c>
      <c r="N57" s="13">
        <f t="shared" si="22"/>
        <v>0</v>
      </c>
      <c r="O57" s="12">
        <f t="shared" si="23"/>
        <v>0</v>
      </c>
      <c r="Q57" s="700">
        <v>9</v>
      </c>
      <c r="R57" s="3"/>
      <c r="S57" s="3"/>
      <c r="T57" s="740">
        <f t="shared" si="27"/>
        <v>0</v>
      </c>
      <c r="U57" s="903">
        <f t="shared" si="24"/>
        <v>0.58085106382978702</v>
      </c>
      <c r="V57" s="903">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00">
        <v>10</v>
      </c>
      <c r="C58" s="3"/>
      <c r="D58" s="3"/>
      <c r="E58" s="740">
        <f t="shared" si="28"/>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9"/>
        <v>3.55</v>
      </c>
      <c r="K58" s="6">
        <f t="shared" si="29"/>
        <v>3.95</v>
      </c>
      <c r="L58" s="7">
        <f t="shared" si="16"/>
        <v>0</v>
      </c>
      <c r="M58" s="7">
        <f t="shared" si="16"/>
        <v>0</v>
      </c>
      <c r="N58" s="13">
        <f t="shared" si="22"/>
        <v>0</v>
      </c>
      <c r="O58" s="12">
        <f t="shared" si="23"/>
        <v>0</v>
      </c>
      <c r="Q58" s="700">
        <v>10</v>
      </c>
      <c r="R58" s="3"/>
      <c r="S58" s="3"/>
      <c r="T58" s="740">
        <f t="shared" si="27"/>
        <v>0</v>
      </c>
      <c r="U58" s="903">
        <f t="shared" si="24"/>
        <v>6.6911764705882323E-2</v>
      </c>
      <c r="V58" s="903">
        <f t="shared" si="24"/>
        <v>6.7632850241545903E-2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700">
        <v>11</v>
      </c>
      <c r="C59" s="3"/>
      <c r="D59" s="3"/>
      <c r="E59" s="740">
        <f t="shared" si="28"/>
        <v>0</v>
      </c>
      <c r="F59" s="740">
        <v>0</v>
      </c>
      <c r="G59" s="741">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700">
        <v>11</v>
      </c>
      <c r="R59" s="3"/>
      <c r="S59" s="3"/>
      <c r="T59" s="740">
        <f t="shared" si="27"/>
        <v>0</v>
      </c>
      <c r="U59" s="740">
        <f t="shared" si="24"/>
        <v>0</v>
      </c>
      <c r="V59" s="903">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00">
        <v>12</v>
      </c>
      <c r="C60" s="3"/>
      <c r="D60" s="3"/>
      <c r="E60" s="740">
        <f t="shared" si="28"/>
        <v>0</v>
      </c>
      <c r="F60" s="740">
        <v>0</v>
      </c>
      <c r="G60" s="741">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700">
        <v>12</v>
      </c>
      <c r="R60" s="3"/>
      <c r="S60" s="3"/>
      <c r="T60" s="740">
        <f t="shared" si="27"/>
        <v>0</v>
      </c>
      <c r="U60" s="740">
        <f t="shared" si="24"/>
        <v>0</v>
      </c>
      <c r="V60" s="903">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0">
    <mergeCell ref="K3:K5"/>
    <mergeCell ref="L3:L5"/>
    <mergeCell ref="N3:N5"/>
    <mergeCell ref="O3:O5"/>
    <mergeCell ref="P3:P5"/>
    <mergeCell ref="B4:C5"/>
    <mergeCell ref="D4:F4"/>
    <mergeCell ref="G4:G5"/>
    <mergeCell ref="B6:B14"/>
    <mergeCell ref="J3:J5"/>
    <mergeCell ref="P16:P23"/>
    <mergeCell ref="J16:J22"/>
    <mergeCell ref="B45:O45"/>
    <mergeCell ref="B15:B23"/>
    <mergeCell ref="B24:B33"/>
    <mergeCell ref="D33:F33"/>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topLeftCell="G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熊谷市窓遮熱</v>
      </c>
      <c r="D1" s="81"/>
      <c r="E1" s="81"/>
      <c r="F1" s="81"/>
      <c r="G1" s="81"/>
      <c r="H1" s="81"/>
      <c r="I1" s="81"/>
      <c r="J1" s="81"/>
      <c r="K1" s="81"/>
      <c r="L1" s="81"/>
      <c r="M1" s="81"/>
      <c r="N1" s="81"/>
      <c r="O1" s="81"/>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結果!H54</f>
        <v>0</v>
      </c>
      <c r="E6" s="784">
        <f>結果!J54</f>
        <v>0</v>
      </c>
      <c r="F6" s="784">
        <f>結果!L54</f>
        <v>0</v>
      </c>
      <c r="G6" s="785">
        <f>結果!Q54</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結果!H55</f>
        <v>0</v>
      </c>
      <c r="E7" s="749">
        <f>結果!J55</f>
        <v>0</v>
      </c>
      <c r="F7" s="749">
        <f>結果!L55</f>
        <v>0</v>
      </c>
      <c r="G7" s="781">
        <f>結果!Q55</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結果!H56</f>
        <v>0</v>
      </c>
      <c r="E8" s="749">
        <f>結果!J56</f>
        <v>0</v>
      </c>
      <c r="F8" s="749">
        <f>結果!L56</f>
        <v>0</v>
      </c>
      <c r="G8" s="781">
        <f>結果!Q56</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結果!H57</f>
        <v>0</v>
      </c>
      <c r="E9" s="749">
        <f>結果!J57</f>
        <v>0</v>
      </c>
      <c r="F9" s="749">
        <f>結果!L57</f>
        <v>0</v>
      </c>
      <c r="G9" s="781">
        <f>結果!Q57</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結果!H58</f>
        <v>0</v>
      </c>
      <c r="E10" s="749">
        <f>結果!J58</f>
        <v>0</v>
      </c>
      <c r="F10" s="749">
        <f>結果!L58</f>
        <v>0</v>
      </c>
      <c r="G10" s="781">
        <f>結果!Q58</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結果!H59</f>
        <v>0</v>
      </c>
      <c r="E11" s="749">
        <f>結果!J59</f>
        <v>0</v>
      </c>
      <c r="F11" s="749">
        <f>結果!L59</f>
        <v>0</v>
      </c>
      <c r="G11" s="781">
        <f>結果!Q59</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結果!H60</f>
        <v>0</v>
      </c>
      <c r="E12" s="749">
        <f>結果!J60</f>
        <v>0</v>
      </c>
      <c r="F12" s="749">
        <f>結果!L60</f>
        <v>0</v>
      </c>
      <c r="G12" s="781">
        <f>結果!Q60</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thickBot="1">
      <c r="B13" s="2282"/>
      <c r="C13" s="780" t="s">
        <v>1378</v>
      </c>
      <c r="D13" s="749">
        <f>結果!H61</f>
        <v>0</v>
      </c>
      <c r="E13" s="749">
        <f>結果!J61</f>
        <v>0</v>
      </c>
      <c r="F13" s="749">
        <f>結果!L61</f>
        <v>0</v>
      </c>
      <c r="G13" s="781">
        <f>結果!Q61</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ht="13" customHeight="1">
      <c r="B16" s="2282"/>
      <c r="C16" s="748" t="str">
        <f t="shared" ref="C16:C32" si="4">C7</f>
        <v>北東</v>
      </c>
      <c r="D16" s="749">
        <f>結果!H95</f>
        <v>0</v>
      </c>
      <c r="E16" s="749">
        <f>結果!J95</f>
        <v>0</v>
      </c>
      <c r="F16" s="749">
        <f>結果!L95</f>
        <v>0</v>
      </c>
      <c r="G16" s="750">
        <f>結果!Q95</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結果!H96</f>
        <v>0</v>
      </c>
      <c r="E17" s="749">
        <f>結果!J96</f>
        <v>0</v>
      </c>
      <c r="F17" s="749">
        <f>結果!L96</f>
        <v>0</v>
      </c>
      <c r="G17" s="750">
        <f>結果!Q96</f>
        <v>0</v>
      </c>
      <c r="H17" s="912"/>
      <c r="I17" s="912"/>
      <c r="J17" s="2264"/>
      <c r="K17" s="2264"/>
      <c r="L17" s="2264"/>
      <c r="M17" s="798"/>
      <c r="N17" s="2264"/>
      <c r="O17" s="2264"/>
      <c r="P17" s="2264"/>
    </row>
    <row r="18" spans="2:16">
      <c r="B18" s="2282"/>
      <c r="C18" s="748" t="str">
        <f t="shared" si="4"/>
        <v>南東</v>
      </c>
      <c r="D18" s="749">
        <f>結果!H97</f>
        <v>0</v>
      </c>
      <c r="E18" s="749">
        <f>結果!J97</f>
        <v>0</v>
      </c>
      <c r="F18" s="749">
        <f>結果!L97</f>
        <v>0</v>
      </c>
      <c r="G18" s="750">
        <f>結果!Q97</f>
        <v>0</v>
      </c>
      <c r="H18" s="912"/>
      <c r="I18" s="912"/>
      <c r="J18" s="2264"/>
      <c r="K18" s="2264"/>
      <c r="L18" s="2264"/>
      <c r="M18" s="798"/>
      <c r="N18" s="2264"/>
      <c r="O18" s="2264"/>
      <c r="P18" s="2264"/>
    </row>
    <row r="19" spans="2:16">
      <c r="B19" s="2282"/>
      <c r="C19" s="748" t="str">
        <f t="shared" si="4"/>
        <v>南</v>
      </c>
      <c r="D19" s="749">
        <f>結果!H98</f>
        <v>0</v>
      </c>
      <c r="E19" s="749">
        <f>結果!J98</f>
        <v>0</v>
      </c>
      <c r="F19" s="749">
        <f>結果!L98</f>
        <v>0</v>
      </c>
      <c r="G19" s="750">
        <f>結果!Q98</f>
        <v>0</v>
      </c>
      <c r="H19" s="912"/>
      <c r="I19" s="912"/>
      <c r="J19" s="2264"/>
      <c r="K19" s="2264"/>
      <c r="L19" s="2264"/>
      <c r="M19" s="798"/>
      <c r="N19" s="2264"/>
      <c r="O19" s="2264"/>
      <c r="P19" s="2264"/>
    </row>
    <row r="20" spans="2:16">
      <c r="B20" s="2282"/>
      <c r="C20" s="748" t="str">
        <f t="shared" si="4"/>
        <v>南西</v>
      </c>
      <c r="D20" s="749">
        <f>結果!H99</f>
        <v>0</v>
      </c>
      <c r="E20" s="749">
        <f>結果!J99</f>
        <v>0</v>
      </c>
      <c r="F20" s="749">
        <f>結果!L99</f>
        <v>0</v>
      </c>
      <c r="G20" s="750">
        <f>結果!Q99</f>
        <v>0</v>
      </c>
      <c r="H20" s="912"/>
      <c r="I20" s="912"/>
      <c r="J20" s="2264"/>
      <c r="K20" s="2264"/>
      <c r="L20" s="2264"/>
      <c r="M20" s="798"/>
      <c r="N20" s="2264"/>
      <c r="O20" s="2264"/>
      <c r="P20" s="2264"/>
    </row>
    <row r="21" spans="2:16">
      <c r="B21" s="2282"/>
      <c r="C21" s="748" t="str">
        <f t="shared" si="4"/>
        <v>西</v>
      </c>
      <c r="D21" s="749">
        <f>結果!H100</f>
        <v>0</v>
      </c>
      <c r="E21" s="749">
        <f>結果!J100</f>
        <v>0</v>
      </c>
      <c r="F21" s="749">
        <f>結果!L100</f>
        <v>0</v>
      </c>
      <c r="G21" s="750">
        <f>結果!Q100</f>
        <v>0</v>
      </c>
      <c r="H21" s="912"/>
      <c r="I21" s="912"/>
      <c r="J21" s="2264"/>
      <c r="K21" s="2264"/>
      <c r="L21" s="2264"/>
      <c r="M21" s="798"/>
      <c r="N21" s="2264"/>
      <c r="O21" s="2264"/>
      <c r="P21" s="2264"/>
    </row>
    <row r="22" spans="2:16" ht="13.5" thickBot="1">
      <c r="B22" s="2282"/>
      <c r="C22" s="751" t="str">
        <f t="shared" si="4"/>
        <v>北西</v>
      </c>
      <c r="D22" s="749">
        <f>結果!H101</f>
        <v>0</v>
      </c>
      <c r="E22" s="749">
        <f>結果!J101</f>
        <v>0</v>
      </c>
      <c r="F22" s="749">
        <f>結果!L101</f>
        <v>0</v>
      </c>
      <c r="G22" s="750">
        <f>結果!Q101</f>
        <v>0</v>
      </c>
      <c r="H22" s="912"/>
      <c r="I22" s="912"/>
      <c r="J22" s="2291"/>
      <c r="K22" s="2264"/>
      <c r="L22" s="2264"/>
      <c r="M22" s="798"/>
      <c r="N22" s="2264"/>
      <c r="O22" s="2264"/>
      <c r="P22" s="2264"/>
    </row>
    <row r="23" spans="2:16" ht="13.5"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05" t="s">
        <v>183</v>
      </c>
      <c r="C45" s="1205"/>
      <c r="D45" s="1205"/>
      <c r="E45" s="1205"/>
      <c r="F45" s="1205"/>
      <c r="G45" s="1205"/>
      <c r="H45" s="1205"/>
      <c r="I45" s="1205"/>
      <c r="J45" s="1205"/>
      <c r="K45" s="1205"/>
      <c r="L45" s="1205"/>
      <c r="M45" s="1205"/>
      <c r="N45" s="1205"/>
      <c r="O45" s="1205"/>
    </row>
    <row r="46" spans="2:30" ht="36">
      <c r="B46" s="604" t="s">
        <v>0</v>
      </c>
      <c r="C46" s="716" t="s">
        <v>1093</v>
      </c>
      <c r="D46" s="716" t="s">
        <v>1094</v>
      </c>
      <c r="E46" s="716" t="s">
        <v>1092</v>
      </c>
      <c r="F46" s="20" t="s">
        <v>42</v>
      </c>
      <c r="G46" s="20" t="s">
        <v>43</v>
      </c>
      <c r="H46" s="18" t="s">
        <v>35</v>
      </c>
      <c r="I46" s="18" t="s">
        <v>36</v>
      </c>
      <c r="J46" s="20" t="s">
        <v>2</v>
      </c>
      <c r="K46" s="20" t="s">
        <v>3</v>
      </c>
      <c r="L46" s="20" t="s">
        <v>39</v>
      </c>
      <c r="M46" s="20" t="s">
        <v>38</v>
      </c>
      <c r="N46" s="20" t="s">
        <v>45</v>
      </c>
      <c r="O46" s="20" t="s">
        <v>44</v>
      </c>
      <c r="Q46" s="604" t="s">
        <v>0</v>
      </c>
      <c r="R46" s="919" t="s">
        <v>1367</v>
      </c>
      <c r="S46" s="919" t="s">
        <v>1368</v>
      </c>
      <c r="T46" s="916" t="s">
        <v>1092</v>
      </c>
      <c r="U46" s="20" t="s">
        <v>42</v>
      </c>
      <c r="V46" s="20" t="s">
        <v>43</v>
      </c>
      <c r="W46" s="18" t="s">
        <v>566</v>
      </c>
      <c r="X46" s="20" t="s">
        <v>567</v>
      </c>
      <c r="Y46" s="20" t="s">
        <v>2</v>
      </c>
      <c r="Z46" s="20" t="s">
        <v>3</v>
      </c>
      <c r="AA46" s="20" t="s">
        <v>568</v>
      </c>
      <c r="AB46" s="20" t="s">
        <v>569</v>
      </c>
      <c r="AC46" s="20" t="s">
        <v>570</v>
      </c>
      <c r="AD46" s="20" t="s">
        <v>571</v>
      </c>
    </row>
    <row r="47" spans="2:30" ht="36">
      <c r="B47" s="604" t="s">
        <v>14</v>
      </c>
      <c r="C47" s="20" t="s">
        <v>16</v>
      </c>
      <c r="D47" s="20" t="s">
        <v>17</v>
      </c>
      <c r="E47" s="622" t="s">
        <v>18</v>
      </c>
      <c r="F47" s="20" t="s">
        <v>19</v>
      </c>
      <c r="G47" s="20" t="s">
        <v>20</v>
      </c>
      <c r="H47" s="20" t="s">
        <v>30</v>
      </c>
      <c r="I47" s="20" t="s">
        <v>29</v>
      </c>
      <c r="J47" s="20" t="s">
        <v>21</v>
      </c>
      <c r="K47" s="20" t="s">
        <v>22</v>
      </c>
      <c r="L47" s="20" t="s">
        <v>608</v>
      </c>
      <c r="M47" s="20" t="s">
        <v>607</v>
      </c>
      <c r="N47" s="605" t="s">
        <v>25</v>
      </c>
      <c r="O47" s="20" t="s">
        <v>32</v>
      </c>
      <c r="Q47" s="604" t="s">
        <v>14</v>
      </c>
      <c r="R47" s="20" t="s">
        <v>16</v>
      </c>
      <c r="S47" s="20" t="s">
        <v>17</v>
      </c>
      <c r="T47" s="622" t="s">
        <v>18</v>
      </c>
      <c r="U47" s="20" t="s">
        <v>19</v>
      </c>
      <c r="V47" s="20" t="s">
        <v>20</v>
      </c>
      <c r="W47" s="20" t="s">
        <v>30</v>
      </c>
      <c r="X47" s="20" t="s">
        <v>29</v>
      </c>
      <c r="Y47" s="20" t="s">
        <v>21</v>
      </c>
      <c r="Z47" s="20" t="s">
        <v>22</v>
      </c>
      <c r="AA47" s="20" t="s">
        <v>608</v>
      </c>
      <c r="AB47" s="20" t="s">
        <v>607</v>
      </c>
      <c r="AC47" s="605" t="s">
        <v>25</v>
      </c>
      <c r="AD47" s="20" t="s">
        <v>32</v>
      </c>
    </row>
    <row r="48" spans="2:30">
      <c r="B48" s="602" t="s">
        <v>15</v>
      </c>
      <c r="C48" s="737" t="s">
        <v>1091</v>
      </c>
      <c r="D48" s="737" t="s">
        <v>1091</v>
      </c>
      <c r="E48" s="737" t="s">
        <v>172</v>
      </c>
      <c r="F48" s="5" t="s">
        <v>10</v>
      </c>
      <c r="G48" s="5" t="s">
        <v>10</v>
      </c>
      <c r="H48" s="5" t="s">
        <v>11</v>
      </c>
      <c r="I48" s="5" t="s">
        <v>11</v>
      </c>
      <c r="J48" s="5" t="s">
        <v>10</v>
      </c>
      <c r="K48" s="5" t="s">
        <v>10</v>
      </c>
      <c r="L48" s="5" t="s">
        <v>11</v>
      </c>
      <c r="M48" s="5" t="s">
        <v>11</v>
      </c>
      <c r="N48" s="5" t="s">
        <v>11</v>
      </c>
      <c r="O48" s="602" t="s">
        <v>31</v>
      </c>
      <c r="Q48" s="602" t="s">
        <v>15</v>
      </c>
      <c r="R48" s="737" t="s">
        <v>1091</v>
      </c>
      <c r="S48" s="737" t="s">
        <v>1091</v>
      </c>
      <c r="T48" s="737" t="s">
        <v>172</v>
      </c>
      <c r="U48" s="5" t="s">
        <v>10</v>
      </c>
      <c r="V48" s="5" t="s">
        <v>10</v>
      </c>
      <c r="W48" s="5" t="s">
        <v>11</v>
      </c>
      <c r="X48" s="5" t="s">
        <v>11</v>
      </c>
      <c r="Y48" s="5" t="s">
        <v>10</v>
      </c>
      <c r="Z48" s="5" t="s">
        <v>10</v>
      </c>
      <c r="AA48" s="5" t="s">
        <v>11</v>
      </c>
      <c r="AB48" s="5" t="s">
        <v>11</v>
      </c>
      <c r="AC48" s="5" t="s">
        <v>11</v>
      </c>
      <c r="AD48" s="602" t="s">
        <v>31</v>
      </c>
    </row>
    <row r="49" spans="2:30">
      <c r="B49" s="602">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740">
        <f>F49</f>
        <v>0</v>
      </c>
      <c r="V49" s="903">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2">
        <v>2</v>
      </c>
      <c r="C50" s="3"/>
      <c r="D50" s="3"/>
      <c r="E50" s="740">
        <f>E49</f>
        <v>0</v>
      </c>
      <c r="F50" s="740">
        <v>0</v>
      </c>
      <c r="G50" s="741">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2">
        <v>2</v>
      </c>
      <c r="R50" s="3"/>
      <c r="S50" s="3"/>
      <c r="T50" s="740">
        <f>T49</f>
        <v>0</v>
      </c>
      <c r="U50" s="740">
        <f t="shared" ref="U50:V60" si="21">F50</f>
        <v>0</v>
      </c>
      <c r="V50" s="903">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2">
        <v>3</v>
      </c>
      <c r="C51" s="3"/>
      <c r="D51" s="3"/>
      <c r="E51" s="740">
        <f>E50</f>
        <v>0</v>
      </c>
      <c r="F51" s="740">
        <v>0</v>
      </c>
      <c r="G51" s="741">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02">
        <v>3</v>
      </c>
      <c r="R51" s="3"/>
      <c r="S51" s="3"/>
      <c r="T51" s="740">
        <f t="shared" ref="T51:T60" si="24">T50</f>
        <v>0</v>
      </c>
      <c r="U51" s="740">
        <f t="shared" si="21"/>
        <v>0</v>
      </c>
      <c r="V51" s="903">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02">
        <v>4</v>
      </c>
      <c r="C52" s="3"/>
      <c r="D52" s="3"/>
      <c r="E52" s="740">
        <f t="shared" ref="E52:E60" si="25">E51</f>
        <v>0</v>
      </c>
      <c r="F52" s="740">
        <v>0</v>
      </c>
      <c r="G52" s="741">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02">
        <v>4</v>
      </c>
      <c r="R52" s="3"/>
      <c r="S52" s="3"/>
      <c r="T52" s="740">
        <f t="shared" si="24"/>
        <v>0</v>
      </c>
      <c r="U52" s="740">
        <f t="shared" si="21"/>
        <v>0</v>
      </c>
      <c r="V52" s="903">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02">
        <v>5</v>
      </c>
      <c r="C53" s="3"/>
      <c r="D53" s="3"/>
      <c r="E53" s="740">
        <f t="shared" si="25"/>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6"/>
        <v>3.55</v>
      </c>
      <c r="K53" s="6">
        <f t="shared" si="26"/>
        <v>3.95</v>
      </c>
      <c r="L53" s="7">
        <f t="shared" si="13"/>
        <v>0</v>
      </c>
      <c r="M53" s="7">
        <f t="shared" si="13"/>
        <v>0</v>
      </c>
      <c r="N53" s="13">
        <f t="shared" si="19"/>
        <v>0</v>
      </c>
      <c r="O53" s="12">
        <f t="shared" si="20"/>
        <v>0</v>
      </c>
      <c r="Q53" s="602">
        <v>5</v>
      </c>
      <c r="R53" s="3"/>
      <c r="S53" s="3"/>
      <c r="T53" s="740">
        <f t="shared" si="24"/>
        <v>0</v>
      </c>
      <c r="U53" s="903">
        <f t="shared" si="21"/>
        <v>8.5312499999999958E-2</v>
      </c>
      <c r="V53" s="903">
        <f t="shared" si="21"/>
        <v>6.3768115942028997E-2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602">
        <v>6</v>
      </c>
      <c r="C54" s="3"/>
      <c r="D54" s="3"/>
      <c r="E54" s="740">
        <f t="shared" si="25"/>
        <v>0</v>
      </c>
      <c r="F54" s="741">
        <f>0.7*(温度条件他根拠!$E$7-温度条件他根拠!$E$9)/(温度条件他根拠!$E$7-26.4)</f>
        <v>0.49636363636363612</v>
      </c>
      <c r="G54" s="740">
        <v>0</v>
      </c>
      <c r="H54" s="7">
        <f t="shared" si="17"/>
        <v>0</v>
      </c>
      <c r="I54" s="7">
        <f t="shared" si="18"/>
        <v>0</v>
      </c>
      <c r="J54" s="2">
        <f t="shared" si="26"/>
        <v>3.55</v>
      </c>
      <c r="K54" s="6">
        <f t="shared" si="26"/>
        <v>3.95</v>
      </c>
      <c r="L54" s="7">
        <f t="shared" si="13"/>
        <v>0</v>
      </c>
      <c r="M54" s="7">
        <f t="shared" si="13"/>
        <v>0</v>
      </c>
      <c r="N54" s="13">
        <f t="shared" si="19"/>
        <v>0</v>
      </c>
      <c r="O54" s="12">
        <f t="shared" si="20"/>
        <v>0</v>
      </c>
      <c r="Q54" s="602">
        <v>6</v>
      </c>
      <c r="R54" s="3"/>
      <c r="S54" s="3"/>
      <c r="T54" s="740">
        <f t="shared" si="24"/>
        <v>0</v>
      </c>
      <c r="U54" s="903">
        <f t="shared" si="21"/>
        <v>0.49636363636363612</v>
      </c>
      <c r="V54" s="911">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2">
        <v>7</v>
      </c>
      <c r="C55" s="3"/>
      <c r="D55" s="3"/>
      <c r="E55" s="740">
        <f t="shared" si="25"/>
        <v>0</v>
      </c>
      <c r="F55" s="741">
        <f>0.7*(温度条件他根拠!$E$7-温度条件他根拠!$E$9)/(温度条件他根拠!$E$7-28)</f>
        <v>0.7</v>
      </c>
      <c r="G55" s="740">
        <v>0</v>
      </c>
      <c r="H55" s="7">
        <f t="shared" si="17"/>
        <v>0</v>
      </c>
      <c r="I55" s="7">
        <f t="shared" si="18"/>
        <v>0</v>
      </c>
      <c r="J55" s="2">
        <f t="shared" si="26"/>
        <v>3.55</v>
      </c>
      <c r="K55" s="6">
        <f t="shared" si="26"/>
        <v>3.95</v>
      </c>
      <c r="L55" s="7">
        <f t="shared" si="13"/>
        <v>0</v>
      </c>
      <c r="M55" s="7">
        <f t="shared" si="13"/>
        <v>0</v>
      </c>
      <c r="N55" s="13">
        <f t="shared" si="19"/>
        <v>0</v>
      </c>
      <c r="O55" s="12">
        <f t="shared" si="20"/>
        <v>0</v>
      </c>
      <c r="Q55" s="602">
        <v>7</v>
      </c>
      <c r="R55" s="3"/>
      <c r="S55" s="3"/>
      <c r="T55" s="740">
        <f t="shared" si="24"/>
        <v>0</v>
      </c>
      <c r="U55" s="903">
        <f t="shared" si="21"/>
        <v>0.7</v>
      </c>
      <c r="V55" s="911">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2">
        <v>8</v>
      </c>
      <c r="C56" s="738">
        <f>L32</f>
        <v>0</v>
      </c>
      <c r="D56" s="3"/>
      <c r="E56" s="740">
        <f t="shared" si="25"/>
        <v>0</v>
      </c>
      <c r="F56" s="741">
        <f>0.7*(温度条件他根拠!$E$7-温度条件他根拠!$E$9)/(温度条件他根拠!$E$7-28)</f>
        <v>0.7</v>
      </c>
      <c r="G56" s="740">
        <v>0</v>
      </c>
      <c r="H56" s="7">
        <f t="shared" si="17"/>
        <v>0</v>
      </c>
      <c r="I56" s="7">
        <f t="shared" si="18"/>
        <v>0</v>
      </c>
      <c r="J56" s="2">
        <f t="shared" si="26"/>
        <v>3.55</v>
      </c>
      <c r="K56" s="6">
        <f t="shared" si="26"/>
        <v>3.95</v>
      </c>
      <c r="L56" s="7">
        <f t="shared" si="13"/>
        <v>0</v>
      </c>
      <c r="M56" s="7">
        <f t="shared" si="13"/>
        <v>0</v>
      </c>
      <c r="N56" s="13">
        <f t="shared" si="19"/>
        <v>0</v>
      </c>
      <c r="O56" s="12">
        <f t="shared" si="20"/>
        <v>0</v>
      </c>
      <c r="Q56" s="602">
        <v>8</v>
      </c>
      <c r="R56" s="738">
        <f>L14</f>
        <v>0</v>
      </c>
      <c r="S56" s="3"/>
      <c r="T56" s="740">
        <f t="shared" si="24"/>
        <v>0</v>
      </c>
      <c r="U56" s="903">
        <f t="shared" si="21"/>
        <v>0.7</v>
      </c>
      <c r="V56" s="911">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2">
        <v>9</v>
      </c>
      <c r="C57" s="3"/>
      <c r="D57" s="3"/>
      <c r="E57" s="740">
        <f t="shared" si="25"/>
        <v>0</v>
      </c>
      <c r="F57" s="741">
        <f>0.7*(温度条件他根拠!$E$7-温度条件他根拠!$E$9)/(温度条件他根拠!$E$7-27.2)</f>
        <v>0.58085106382978702</v>
      </c>
      <c r="G57" s="740">
        <v>0</v>
      </c>
      <c r="H57" s="7">
        <f t="shared" si="17"/>
        <v>0</v>
      </c>
      <c r="I57" s="7">
        <f t="shared" si="18"/>
        <v>0</v>
      </c>
      <c r="J57" s="2">
        <f t="shared" si="26"/>
        <v>3.55</v>
      </c>
      <c r="K57" s="6">
        <f t="shared" si="26"/>
        <v>3.95</v>
      </c>
      <c r="L57" s="7">
        <f t="shared" si="13"/>
        <v>0</v>
      </c>
      <c r="M57" s="7">
        <f t="shared" si="13"/>
        <v>0</v>
      </c>
      <c r="N57" s="13">
        <f t="shared" si="19"/>
        <v>0</v>
      </c>
      <c r="O57" s="12">
        <f t="shared" si="20"/>
        <v>0</v>
      </c>
      <c r="Q57" s="602">
        <v>9</v>
      </c>
      <c r="R57" s="3"/>
      <c r="S57" s="3"/>
      <c r="T57" s="740">
        <f t="shared" si="24"/>
        <v>0</v>
      </c>
      <c r="U57" s="903">
        <f t="shared" si="21"/>
        <v>0.58085106382978702</v>
      </c>
      <c r="V57" s="911">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2">
        <v>10</v>
      </c>
      <c r="C58" s="3"/>
      <c r="D58" s="3"/>
      <c r="E58" s="740">
        <f t="shared" si="25"/>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6"/>
        <v>3.55</v>
      </c>
      <c r="K58" s="6">
        <f t="shared" si="26"/>
        <v>3.95</v>
      </c>
      <c r="L58" s="7">
        <f t="shared" si="13"/>
        <v>0</v>
      </c>
      <c r="M58" s="7">
        <f t="shared" si="13"/>
        <v>0</v>
      </c>
      <c r="N58" s="13">
        <f t="shared" si="19"/>
        <v>0</v>
      </c>
      <c r="O58" s="12">
        <f t="shared" si="20"/>
        <v>0</v>
      </c>
      <c r="Q58" s="602">
        <v>10</v>
      </c>
      <c r="R58" s="3"/>
      <c r="S58" s="3"/>
      <c r="T58" s="740">
        <f t="shared" si="24"/>
        <v>0</v>
      </c>
      <c r="U58" s="903">
        <f t="shared" si="21"/>
        <v>6.6911764705882323E-2</v>
      </c>
      <c r="V58" s="903">
        <f t="shared" si="21"/>
        <v>6.7632850241545903E-2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602">
        <v>11</v>
      </c>
      <c r="C59" s="3"/>
      <c r="D59" s="3"/>
      <c r="E59" s="740">
        <f t="shared" si="25"/>
        <v>0</v>
      </c>
      <c r="F59" s="740">
        <v>0</v>
      </c>
      <c r="G59" s="741">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02">
        <v>11</v>
      </c>
      <c r="R59" s="3"/>
      <c r="S59" s="3"/>
      <c r="T59" s="740">
        <f t="shared" si="24"/>
        <v>0</v>
      </c>
      <c r="U59" s="740">
        <f t="shared" si="21"/>
        <v>0</v>
      </c>
      <c r="V59" s="903">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2">
        <v>12</v>
      </c>
      <c r="C60" s="3"/>
      <c r="D60" s="3"/>
      <c r="E60" s="740">
        <f t="shared" si="25"/>
        <v>0</v>
      </c>
      <c r="F60" s="740">
        <v>0</v>
      </c>
      <c r="G60" s="741">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02">
        <v>12</v>
      </c>
      <c r="R60" s="3"/>
      <c r="S60" s="3"/>
      <c r="T60" s="740">
        <f t="shared" si="24"/>
        <v>0</v>
      </c>
      <c r="U60" s="740">
        <f t="shared" si="21"/>
        <v>0</v>
      </c>
      <c r="V60" s="903">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1055</v>
      </c>
    </row>
    <row r="87" spans="2:3">
      <c r="B87" s="609">
        <v>43927</v>
      </c>
      <c r="C87" s="802" t="s">
        <v>851</v>
      </c>
    </row>
    <row r="88" spans="2:3">
      <c r="B88" s="609">
        <v>43927</v>
      </c>
      <c r="C88" s="608" t="s">
        <v>852</v>
      </c>
    </row>
    <row r="89" spans="2:3">
      <c r="B89" s="609">
        <v>44634</v>
      </c>
      <c r="C89" s="608" t="s">
        <v>1095</v>
      </c>
    </row>
    <row r="90" spans="2:3">
      <c r="C90" s="608" t="s">
        <v>1096</v>
      </c>
    </row>
    <row r="91" spans="2:3">
      <c r="C91" s="1" t="s">
        <v>1097</v>
      </c>
    </row>
    <row r="92" spans="2:3">
      <c r="C92" s="1" t="s">
        <v>1109</v>
      </c>
    </row>
    <row r="93" spans="2:3">
      <c r="C93" s="1" t="s">
        <v>1110</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623" t="str">
        <f ca="1">RIGHT(CELL("filename",C1),LEN(CELL("filename",C1))-FIND("]",CELL("filename",C1)))</f>
        <v>熊谷市窓断熱</v>
      </c>
      <c r="D1" s="81"/>
      <c r="E1" s="81"/>
      <c r="F1" s="81"/>
      <c r="G1" s="81"/>
      <c r="H1" s="81"/>
      <c r="I1" s="81"/>
      <c r="J1" s="81"/>
      <c r="K1" s="81"/>
      <c r="L1" s="81"/>
      <c r="M1" s="81"/>
      <c r="N1" s="81"/>
      <c r="O1" s="81"/>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結果!H40+結果!H54</f>
        <v>0</v>
      </c>
      <c r="E6" s="784">
        <f>結果!J40+結果!J54</f>
        <v>0</v>
      </c>
      <c r="F6" s="784">
        <f>結果!L40+結果!L54</f>
        <v>0</v>
      </c>
      <c r="G6" s="785">
        <f>結果!Q40</f>
        <v>0</v>
      </c>
      <c r="H6" s="796"/>
      <c r="I6" s="796"/>
      <c r="J6" s="1021">
        <f>IF(D32&gt;=D33,D6,IF(E32&gt;=D33,E6,F6))</f>
        <v>0</v>
      </c>
      <c r="K6" s="759">
        <f>K24</f>
        <v>0</v>
      </c>
      <c r="L6" s="761">
        <f>K6*J6</f>
        <v>0</v>
      </c>
      <c r="M6" s="798"/>
      <c r="N6" s="762">
        <f>G6</f>
        <v>0</v>
      </c>
      <c r="O6" s="760">
        <f>K6</f>
        <v>0</v>
      </c>
      <c r="P6" s="761">
        <f>O6*N6</f>
        <v>0</v>
      </c>
    </row>
    <row r="7" spans="2:16">
      <c r="B7" s="2282"/>
      <c r="C7" s="779" t="s">
        <v>1372</v>
      </c>
      <c r="D7" s="784">
        <f>結果!H41+結果!H55</f>
        <v>0</v>
      </c>
      <c r="E7" s="784">
        <f>結果!J41+結果!J55</f>
        <v>0</v>
      </c>
      <c r="F7" s="784">
        <f>結果!L41+結果!L55</f>
        <v>0</v>
      </c>
      <c r="G7" s="781">
        <f>結果!Q41</f>
        <v>0</v>
      </c>
      <c r="H7" s="796"/>
      <c r="I7" s="796"/>
      <c r="J7" s="1022">
        <f>IF(D32&gt;=D33,D7,IF(E32&gt;=D33,E7,F7))</f>
        <v>0</v>
      </c>
      <c r="K7" s="764">
        <f>K25</f>
        <v>0</v>
      </c>
      <c r="L7" s="766">
        <f t="shared" ref="L7:L13" si="0">K7*J7</f>
        <v>0</v>
      </c>
      <c r="M7" s="798"/>
      <c r="N7" s="767">
        <f>G7</f>
        <v>0</v>
      </c>
      <c r="O7" s="765">
        <f>K7</f>
        <v>0</v>
      </c>
      <c r="P7" s="766">
        <f t="shared" ref="P7:P13" si="1">O7*N7</f>
        <v>0</v>
      </c>
    </row>
    <row r="8" spans="2:16">
      <c r="B8" s="2282"/>
      <c r="C8" s="779" t="s">
        <v>1373</v>
      </c>
      <c r="D8" s="784">
        <f>結果!H42+結果!H56</f>
        <v>0</v>
      </c>
      <c r="E8" s="784">
        <f>結果!J42+結果!J56</f>
        <v>0</v>
      </c>
      <c r="F8" s="784">
        <f>結果!L42+結果!L56</f>
        <v>0</v>
      </c>
      <c r="G8" s="781">
        <f>結果!Q42</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6">
      <c r="B9" s="2282"/>
      <c r="C9" s="779" t="s">
        <v>1374</v>
      </c>
      <c r="D9" s="784">
        <f>結果!H43+結果!H57</f>
        <v>0</v>
      </c>
      <c r="E9" s="784">
        <f>結果!J43+結果!J57</f>
        <v>0</v>
      </c>
      <c r="F9" s="784">
        <f>結果!L43+結果!L57</f>
        <v>0</v>
      </c>
      <c r="G9" s="781">
        <f>結果!Q43</f>
        <v>0</v>
      </c>
      <c r="H9" s="796"/>
      <c r="I9" s="796"/>
      <c r="J9" s="1022">
        <f>IF(D32&gt;=D33,D9,IF(E32&gt;=D33,E9,F9))</f>
        <v>0</v>
      </c>
      <c r="K9" s="764">
        <f t="shared" si="2"/>
        <v>0</v>
      </c>
      <c r="L9" s="766">
        <f t="shared" si="0"/>
        <v>0</v>
      </c>
      <c r="M9" s="798"/>
      <c r="N9" s="767">
        <f t="shared" si="3"/>
        <v>0</v>
      </c>
      <c r="O9" s="765">
        <f t="shared" si="4"/>
        <v>0</v>
      </c>
      <c r="P9" s="766">
        <f t="shared" si="1"/>
        <v>0</v>
      </c>
    </row>
    <row r="10" spans="2:16">
      <c r="B10" s="2282"/>
      <c r="C10" s="779" t="s">
        <v>1375</v>
      </c>
      <c r="D10" s="784">
        <f>結果!H44+結果!H58</f>
        <v>0</v>
      </c>
      <c r="E10" s="784">
        <f>結果!J44+結果!J58</f>
        <v>0</v>
      </c>
      <c r="F10" s="784">
        <f>結果!L44+結果!L58</f>
        <v>0</v>
      </c>
      <c r="G10" s="781">
        <f>結果!Q44</f>
        <v>0</v>
      </c>
      <c r="H10" s="796"/>
      <c r="I10" s="796"/>
      <c r="J10" s="1022">
        <f>IF(D32&gt;=D33,D10,IF(E32&gt;=D33,E10,F10))</f>
        <v>0</v>
      </c>
      <c r="K10" s="764">
        <f t="shared" si="2"/>
        <v>0</v>
      </c>
      <c r="L10" s="766">
        <f t="shared" si="0"/>
        <v>0</v>
      </c>
      <c r="M10" s="798"/>
      <c r="N10" s="767">
        <f t="shared" si="3"/>
        <v>0</v>
      </c>
      <c r="O10" s="764">
        <f t="shared" si="4"/>
        <v>0</v>
      </c>
      <c r="P10" s="766">
        <f t="shared" si="1"/>
        <v>0</v>
      </c>
    </row>
    <row r="11" spans="2:16">
      <c r="B11" s="2282"/>
      <c r="C11" s="779" t="s">
        <v>1376</v>
      </c>
      <c r="D11" s="784">
        <f>結果!H45+結果!H59</f>
        <v>0</v>
      </c>
      <c r="E11" s="784">
        <f>結果!J45+結果!J59</f>
        <v>0</v>
      </c>
      <c r="F11" s="784">
        <f>結果!L45+結果!L59</f>
        <v>0</v>
      </c>
      <c r="G11" s="781">
        <f>結果!Q45</f>
        <v>0</v>
      </c>
      <c r="H11" s="796"/>
      <c r="I11" s="796"/>
      <c r="J11" s="1022">
        <f>IF(D32&gt;=D33,D11,IF(E32&gt;=D33,E11,F11))</f>
        <v>0</v>
      </c>
      <c r="K11" s="764">
        <f t="shared" si="2"/>
        <v>0</v>
      </c>
      <c r="L11" s="766">
        <f t="shared" si="0"/>
        <v>0</v>
      </c>
      <c r="M11" s="798"/>
      <c r="N11" s="767">
        <f t="shared" si="3"/>
        <v>0</v>
      </c>
      <c r="O11" s="765">
        <f t="shared" si="4"/>
        <v>0</v>
      </c>
      <c r="P11" s="766">
        <f t="shared" si="1"/>
        <v>0</v>
      </c>
    </row>
    <row r="12" spans="2:16">
      <c r="B12" s="2282"/>
      <c r="C12" s="779" t="s">
        <v>1377</v>
      </c>
      <c r="D12" s="784">
        <f>結果!H46+結果!H60</f>
        <v>0</v>
      </c>
      <c r="E12" s="784">
        <f>結果!J46+結果!J60</f>
        <v>0</v>
      </c>
      <c r="F12" s="784">
        <f>結果!L46+結果!L60</f>
        <v>0</v>
      </c>
      <c r="G12" s="781">
        <f>結果!Q46</f>
        <v>0</v>
      </c>
      <c r="H12" s="796"/>
      <c r="I12" s="796"/>
      <c r="J12" s="1022">
        <f>IF(D32&gt;=D33,D12,IF(E32&gt;=D33,E12,F12))</f>
        <v>0</v>
      </c>
      <c r="K12" s="764">
        <f t="shared" si="2"/>
        <v>0</v>
      </c>
      <c r="L12" s="766">
        <f t="shared" si="0"/>
        <v>0</v>
      </c>
      <c r="M12" s="798"/>
      <c r="N12" s="767">
        <f t="shared" si="3"/>
        <v>0</v>
      </c>
      <c r="O12" s="765">
        <f t="shared" si="4"/>
        <v>0</v>
      </c>
      <c r="P12" s="766">
        <f t="shared" si="1"/>
        <v>0</v>
      </c>
    </row>
    <row r="13" spans="2:16" ht="13.5" thickBot="1">
      <c r="B13" s="2282"/>
      <c r="C13" s="780" t="s">
        <v>1378</v>
      </c>
      <c r="D13" s="784">
        <f>結果!H47+結果!H61</f>
        <v>0</v>
      </c>
      <c r="E13" s="784">
        <f>結果!J47+結果!J61</f>
        <v>0</v>
      </c>
      <c r="F13" s="784">
        <f>結果!L47+結果!L61</f>
        <v>0</v>
      </c>
      <c r="G13" s="781">
        <f>結果!Q47</f>
        <v>0</v>
      </c>
      <c r="H13" s="796"/>
      <c r="I13" s="796"/>
      <c r="J13" s="1023">
        <f>IF(D32&gt;=D33,D13,IF(E32&gt;=D33,E13,F13))</f>
        <v>0</v>
      </c>
      <c r="K13" s="764">
        <f t="shared" si="2"/>
        <v>0</v>
      </c>
      <c r="L13" s="772">
        <f t="shared" si="0"/>
        <v>0</v>
      </c>
      <c r="M13" s="798"/>
      <c r="N13" s="767">
        <f>G13</f>
        <v>0</v>
      </c>
      <c r="O13" s="765">
        <f t="shared" si="4"/>
        <v>0</v>
      </c>
      <c r="P13" s="772">
        <f t="shared" si="1"/>
        <v>0</v>
      </c>
    </row>
    <row r="14" spans="2:16" ht="13.5" customHeight="1" thickBot="1">
      <c r="B14" s="2283"/>
      <c r="C14" s="754" t="s">
        <v>1100</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275" t="s">
        <v>1104</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6">
      <c r="B16" s="2282"/>
      <c r="C16" s="748" t="str">
        <f t="shared" ref="C16:C32" si="6">C7</f>
        <v>北東</v>
      </c>
      <c r="D16" s="749">
        <f>結果!H81+結果!H95</f>
        <v>0</v>
      </c>
      <c r="E16" s="749">
        <f>結果!J81+結果!J95</f>
        <v>0</v>
      </c>
      <c r="F16" s="749">
        <f>結果!L81+結果!L95</f>
        <v>0</v>
      </c>
      <c r="G16" s="750">
        <f>結果!Q81</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結果!H82+結果!H96</f>
        <v>0</v>
      </c>
      <c r="E17" s="749">
        <f>結果!J82+結果!J96</f>
        <v>0</v>
      </c>
      <c r="F17" s="749">
        <f>結果!L82+結果!L96</f>
        <v>0</v>
      </c>
      <c r="G17" s="750">
        <f>結果!Q82</f>
        <v>0</v>
      </c>
      <c r="H17" s="912"/>
      <c r="I17" s="912"/>
      <c r="J17" s="2264"/>
      <c r="K17" s="2264"/>
      <c r="L17" s="2264"/>
      <c r="M17" s="798"/>
      <c r="N17" s="2264"/>
      <c r="O17" s="2264"/>
      <c r="P17" s="2264"/>
    </row>
    <row r="18" spans="2:16">
      <c r="B18" s="2282"/>
      <c r="C18" s="748" t="str">
        <f t="shared" si="6"/>
        <v>南東</v>
      </c>
      <c r="D18" s="749">
        <f>結果!H83+結果!H97</f>
        <v>0</v>
      </c>
      <c r="E18" s="749">
        <f>結果!J83+結果!J97</f>
        <v>0</v>
      </c>
      <c r="F18" s="749">
        <f>結果!L83+結果!L97</f>
        <v>0</v>
      </c>
      <c r="G18" s="750">
        <f>結果!Q83</f>
        <v>0</v>
      </c>
      <c r="H18" s="912"/>
      <c r="I18" s="912"/>
      <c r="J18" s="2264"/>
      <c r="K18" s="2264"/>
      <c r="L18" s="2264"/>
      <c r="M18" s="798"/>
      <c r="N18" s="2264"/>
      <c r="O18" s="2264"/>
      <c r="P18" s="2264"/>
    </row>
    <row r="19" spans="2:16">
      <c r="B19" s="2282"/>
      <c r="C19" s="748" t="str">
        <f t="shared" si="6"/>
        <v>南</v>
      </c>
      <c r="D19" s="749">
        <f>結果!H84+結果!H98</f>
        <v>0</v>
      </c>
      <c r="E19" s="749">
        <f>結果!J84+結果!J98</f>
        <v>0</v>
      </c>
      <c r="F19" s="749">
        <f>結果!L84+結果!L98</f>
        <v>0</v>
      </c>
      <c r="G19" s="750">
        <f>結果!Q84</f>
        <v>0</v>
      </c>
      <c r="H19" s="912"/>
      <c r="I19" s="912"/>
      <c r="J19" s="2264"/>
      <c r="K19" s="2264"/>
      <c r="L19" s="2264"/>
      <c r="M19" s="798"/>
      <c r="N19" s="2264"/>
      <c r="O19" s="2264"/>
      <c r="P19" s="2264"/>
    </row>
    <row r="20" spans="2:16">
      <c r="B20" s="2282"/>
      <c r="C20" s="748" t="str">
        <f t="shared" si="6"/>
        <v>南西</v>
      </c>
      <c r="D20" s="749">
        <f>結果!H85+結果!H99</f>
        <v>0</v>
      </c>
      <c r="E20" s="749">
        <f>結果!J85+結果!J99</f>
        <v>0</v>
      </c>
      <c r="F20" s="749">
        <f>結果!L85+結果!L99</f>
        <v>0</v>
      </c>
      <c r="G20" s="750">
        <f>結果!Q85</f>
        <v>0</v>
      </c>
      <c r="H20" s="912"/>
      <c r="I20" s="912"/>
      <c r="J20" s="2264"/>
      <c r="K20" s="2264"/>
      <c r="L20" s="2264"/>
      <c r="M20" s="798"/>
      <c r="N20" s="2264"/>
      <c r="O20" s="2264"/>
      <c r="P20" s="2264"/>
    </row>
    <row r="21" spans="2:16">
      <c r="B21" s="2282"/>
      <c r="C21" s="748" t="str">
        <f t="shared" si="6"/>
        <v>西</v>
      </c>
      <c r="D21" s="749">
        <f>結果!H86+結果!H100</f>
        <v>0</v>
      </c>
      <c r="E21" s="749">
        <f>結果!J86+結果!J100</f>
        <v>0</v>
      </c>
      <c r="F21" s="749">
        <f>結果!L86+結果!L100</f>
        <v>0</v>
      </c>
      <c r="G21" s="750">
        <f>結果!Q86</f>
        <v>0</v>
      </c>
      <c r="H21" s="912"/>
      <c r="I21" s="912"/>
      <c r="J21" s="2264"/>
      <c r="K21" s="2264"/>
      <c r="L21" s="2264"/>
      <c r="M21" s="798"/>
      <c r="N21" s="2264"/>
      <c r="O21" s="2264"/>
      <c r="P21" s="2264"/>
    </row>
    <row r="22" spans="2:16" ht="13.5" thickBot="1">
      <c r="B22" s="2282"/>
      <c r="C22" s="751" t="str">
        <f t="shared" si="6"/>
        <v>北西</v>
      </c>
      <c r="D22" s="752">
        <f>結果!H87+結果!H101</f>
        <v>0</v>
      </c>
      <c r="E22" s="752">
        <f>結果!J87+結果!J101</f>
        <v>0</v>
      </c>
      <c r="F22" s="752">
        <f>結果!L87+結果!L101</f>
        <v>0</v>
      </c>
      <c r="G22" s="753">
        <f>結果!Q87</f>
        <v>0</v>
      </c>
      <c r="H22" s="912"/>
      <c r="I22" s="912"/>
      <c r="J22" s="2291"/>
      <c r="K22" s="2264"/>
      <c r="L22" s="2264"/>
      <c r="M22" s="798"/>
      <c r="N22" s="2264"/>
      <c r="O22" s="2264"/>
      <c r="P22" s="2264"/>
    </row>
    <row r="23" spans="2:16" ht="13.5"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282"/>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8">
        <f t="shared" si="14"/>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4"/>
      <c r="C34" s="794"/>
      <c r="D34" s="794"/>
      <c r="E34" s="794"/>
      <c r="F34" s="794"/>
      <c r="G34" s="794"/>
      <c r="H34" s="794"/>
      <c r="I34" s="794"/>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05" t="s">
        <v>183</v>
      </c>
      <c r="C45" s="1205"/>
      <c r="D45" s="1205"/>
      <c r="E45" s="1205"/>
      <c r="F45" s="1205"/>
      <c r="G45" s="1205"/>
      <c r="H45" s="1205"/>
      <c r="I45" s="1205"/>
      <c r="J45" s="1205"/>
      <c r="K45" s="1205"/>
      <c r="L45" s="1205"/>
      <c r="M45" s="1205"/>
      <c r="N45" s="1205"/>
      <c r="O45" s="1205"/>
    </row>
    <row r="46" spans="2:30" ht="36">
      <c r="B46" s="554" t="s">
        <v>0</v>
      </c>
      <c r="C46" s="716" t="s">
        <v>1093</v>
      </c>
      <c r="D46" s="716" t="s">
        <v>1094</v>
      </c>
      <c r="E46" s="716" t="s">
        <v>1092</v>
      </c>
      <c r="F46" s="20" t="s">
        <v>42</v>
      </c>
      <c r="G46" s="20" t="s">
        <v>43</v>
      </c>
      <c r="H46" s="18" t="s">
        <v>35</v>
      </c>
      <c r="I46" s="18" t="s">
        <v>36</v>
      </c>
      <c r="J46" s="20" t="s">
        <v>2</v>
      </c>
      <c r="K46" s="20" t="s">
        <v>3</v>
      </c>
      <c r="L46" s="20" t="s">
        <v>39</v>
      </c>
      <c r="M46" s="20" t="s">
        <v>38</v>
      </c>
      <c r="N46" s="20" t="s">
        <v>45</v>
      </c>
      <c r="O46" s="20" t="s">
        <v>44</v>
      </c>
      <c r="Q46" s="554" t="s">
        <v>0</v>
      </c>
      <c r="R46" s="919" t="s">
        <v>1367</v>
      </c>
      <c r="S46" s="919" t="s">
        <v>1368</v>
      </c>
      <c r="T46" s="916" t="s">
        <v>1092</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1091</v>
      </c>
      <c r="D48" s="737" t="s">
        <v>1091</v>
      </c>
      <c r="E48" s="737" t="s">
        <v>172</v>
      </c>
      <c r="F48" s="5" t="s">
        <v>10</v>
      </c>
      <c r="G48" s="5" t="s">
        <v>10</v>
      </c>
      <c r="H48" s="5" t="s">
        <v>11</v>
      </c>
      <c r="I48" s="5" t="s">
        <v>11</v>
      </c>
      <c r="J48" s="5" t="s">
        <v>10</v>
      </c>
      <c r="K48" s="5" t="s">
        <v>10</v>
      </c>
      <c r="L48" s="5" t="s">
        <v>11</v>
      </c>
      <c r="M48" s="5" t="s">
        <v>11</v>
      </c>
      <c r="N48" s="5" t="s">
        <v>11</v>
      </c>
      <c r="O48" s="553" t="s">
        <v>31</v>
      </c>
      <c r="Q48" s="553" t="s">
        <v>15</v>
      </c>
      <c r="R48" s="737" t="s">
        <v>1091</v>
      </c>
      <c r="S48" s="737" t="s">
        <v>1091</v>
      </c>
      <c r="T48" s="737" t="s">
        <v>172</v>
      </c>
      <c r="U48" s="5" t="s">
        <v>10</v>
      </c>
      <c r="V48" s="5" t="s">
        <v>10</v>
      </c>
      <c r="W48" s="5" t="s">
        <v>11</v>
      </c>
      <c r="X48" s="5" t="s">
        <v>11</v>
      </c>
      <c r="Y48" s="5" t="s">
        <v>10</v>
      </c>
      <c r="Z48" s="5" t="s">
        <v>10</v>
      </c>
      <c r="AA48" s="5" t="s">
        <v>11</v>
      </c>
      <c r="AB48" s="5" t="s">
        <v>11</v>
      </c>
      <c r="AC48" s="5" t="s">
        <v>11</v>
      </c>
      <c r="AD48" s="553" t="s">
        <v>31</v>
      </c>
    </row>
    <row r="49" spans="2:30">
      <c r="B49" s="553">
        <v>1</v>
      </c>
      <c r="C49" s="3"/>
      <c r="D49" s="738">
        <f>P32</f>
        <v>0</v>
      </c>
      <c r="E49" s="739">
        <f>温度条件他根拠!E21</f>
        <v>0</v>
      </c>
      <c r="F49" s="740">
        <v>0</v>
      </c>
      <c r="G49" s="741">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40">
        <f>E49</f>
        <v>0</v>
      </c>
      <c r="F50" s="740">
        <v>0</v>
      </c>
      <c r="G50" s="741">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40">
        <f>E50</f>
        <v>0</v>
      </c>
      <c r="F51" s="740">
        <v>0</v>
      </c>
      <c r="G51" s="741">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740">
        <f t="shared" ref="T51:T60" si="27">T50</f>
        <v>0</v>
      </c>
      <c r="U51" s="740">
        <f t="shared" si="24"/>
        <v>0</v>
      </c>
      <c r="V51" s="903">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740">
        <f t="shared" ref="E52:E60" si="28">E51</f>
        <v>0</v>
      </c>
      <c r="F52" s="740">
        <v>0</v>
      </c>
      <c r="G52" s="741">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740">
        <f t="shared" si="27"/>
        <v>0</v>
      </c>
      <c r="U52" s="740">
        <f t="shared" si="24"/>
        <v>0</v>
      </c>
      <c r="V52" s="903">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740">
        <f t="shared" si="28"/>
        <v>0</v>
      </c>
      <c r="F53" s="741">
        <f>0.175*(温度条件他根拠!$E$7-温度条件他根拠!$E$9)/(温度条件他根拠!$E$7-23.9)</f>
        <v>8.5312499999999958E-2</v>
      </c>
      <c r="G53" s="741">
        <f>0.2*(温度条件他根拠!$E$10-13.4)/(温度条件他根拠!$E$10-温度条件他根拠!$E$8)</f>
        <v>6.3768115942028997E-2</v>
      </c>
      <c r="H53" s="738">
        <f>$C$56*E53*F53/1000</f>
        <v>0</v>
      </c>
      <c r="I53" s="738">
        <f>G53*E53*$D$49/1000</f>
        <v>0</v>
      </c>
      <c r="J53" s="2">
        <f t="shared" si="29"/>
        <v>3.55</v>
      </c>
      <c r="K53" s="6">
        <f t="shared" si="29"/>
        <v>3.95</v>
      </c>
      <c r="L53" s="7">
        <f t="shared" si="16"/>
        <v>0</v>
      </c>
      <c r="M53" s="7">
        <f t="shared" si="16"/>
        <v>0</v>
      </c>
      <c r="N53" s="13">
        <f t="shared" si="22"/>
        <v>0</v>
      </c>
      <c r="O53" s="12">
        <f t="shared" si="23"/>
        <v>0</v>
      </c>
      <c r="Q53" s="553">
        <v>5</v>
      </c>
      <c r="R53" s="3"/>
      <c r="S53" s="3"/>
      <c r="T53" s="740">
        <f t="shared" si="27"/>
        <v>0</v>
      </c>
      <c r="U53" s="741">
        <f t="shared" si="24"/>
        <v>8.5312499999999958E-2</v>
      </c>
      <c r="V53" s="903">
        <f t="shared" si="24"/>
        <v>6.3768115942028997E-2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40">
        <f t="shared" si="28"/>
        <v>0</v>
      </c>
      <c r="F54" s="741">
        <f>0.7*(温度条件他根拠!$E$7-温度条件他根拠!$E$9)/(温度条件他根拠!$E$7-26.4)</f>
        <v>0.49636363636363612</v>
      </c>
      <c r="G54" s="740">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740">
        <f t="shared" si="27"/>
        <v>0</v>
      </c>
      <c r="U54" s="741">
        <f t="shared" si="24"/>
        <v>0.49636363636363612</v>
      </c>
      <c r="V54" s="91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40">
        <f t="shared" si="28"/>
        <v>0</v>
      </c>
      <c r="F55" s="741">
        <f>0.7*(温度条件他根拠!$E$7-温度条件他根拠!$E$9)/(温度条件他根拠!$E$7-28)</f>
        <v>0.7</v>
      </c>
      <c r="G55" s="740">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740">
        <f t="shared" si="27"/>
        <v>0</v>
      </c>
      <c r="U55" s="741">
        <f t="shared" si="24"/>
        <v>0.7</v>
      </c>
      <c r="V55" s="91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8">
        <f>L32</f>
        <v>0</v>
      </c>
      <c r="D56" s="3"/>
      <c r="E56" s="740">
        <f t="shared" si="28"/>
        <v>0</v>
      </c>
      <c r="F56" s="741">
        <f>0.7*(温度条件他根拠!$E$7-温度条件他根拠!$E$9)/(温度条件他根拠!$E$7-28)</f>
        <v>0.7</v>
      </c>
      <c r="G56" s="740">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738">
        <f>L14</f>
        <v>0</v>
      </c>
      <c r="S56" s="3"/>
      <c r="T56" s="740">
        <f t="shared" si="27"/>
        <v>0</v>
      </c>
      <c r="U56" s="741">
        <f t="shared" si="24"/>
        <v>0.7</v>
      </c>
      <c r="V56" s="91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40">
        <f t="shared" si="28"/>
        <v>0</v>
      </c>
      <c r="F57" s="741">
        <f>0.7*(温度条件他根拠!$E$7-温度条件他根拠!$E$9)/(温度条件他根拠!$E$7-27.2)</f>
        <v>0.58085106382978702</v>
      </c>
      <c r="G57" s="740">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740">
        <f t="shared" si="27"/>
        <v>0</v>
      </c>
      <c r="U57" s="741">
        <f t="shared" si="24"/>
        <v>0.58085106382978702</v>
      </c>
      <c r="V57" s="91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40">
        <f t="shared" si="28"/>
        <v>0</v>
      </c>
      <c r="F58" s="741">
        <f>0.175*(温度条件他根拠!$E$7-温度条件他根拠!$E$9)/(温度条件他根拠!$E$7-21.7)</f>
        <v>6.6911764705882323E-2</v>
      </c>
      <c r="G58" s="741">
        <f>0.2*(温度条件他根拠!$E$10-13)/(温度条件他根拠!$E$10-温度条件他根拠!$E$8)</f>
        <v>6.7632850241545903E-2</v>
      </c>
      <c r="H58" s="738">
        <f>$C$56*E58*F58/1000</f>
        <v>0</v>
      </c>
      <c r="I58" s="738">
        <f>G58*E58*$D$49/1000</f>
        <v>0</v>
      </c>
      <c r="J58" s="2">
        <f t="shared" si="29"/>
        <v>3.55</v>
      </c>
      <c r="K58" s="6">
        <f t="shared" si="29"/>
        <v>3.95</v>
      </c>
      <c r="L58" s="7">
        <f t="shared" si="16"/>
        <v>0</v>
      </c>
      <c r="M58" s="7">
        <f t="shared" si="16"/>
        <v>0</v>
      </c>
      <c r="N58" s="13">
        <f t="shared" si="22"/>
        <v>0</v>
      </c>
      <c r="O58" s="12">
        <f t="shared" si="23"/>
        <v>0</v>
      </c>
      <c r="Q58" s="553">
        <v>10</v>
      </c>
      <c r="R58" s="3"/>
      <c r="S58" s="3"/>
      <c r="T58" s="740">
        <f t="shared" si="27"/>
        <v>0</v>
      </c>
      <c r="U58" s="741">
        <f t="shared" si="24"/>
        <v>6.6911764705882323E-2</v>
      </c>
      <c r="V58" s="903">
        <f t="shared" si="24"/>
        <v>6.7632850241545903E-2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40">
        <f t="shared" si="28"/>
        <v>0</v>
      </c>
      <c r="F59" s="740">
        <v>0</v>
      </c>
      <c r="G59" s="741">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740">
        <f t="shared" si="27"/>
        <v>0</v>
      </c>
      <c r="U59" s="740">
        <f t="shared" si="24"/>
        <v>0</v>
      </c>
      <c r="V59" s="903">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40">
        <f t="shared" si="28"/>
        <v>0</v>
      </c>
      <c r="F60" s="740">
        <v>0</v>
      </c>
      <c r="G60" s="741">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740">
        <f t="shared" si="27"/>
        <v>0</v>
      </c>
      <c r="U60" s="740">
        <f t="shared" si="24"/>
        <v>0</v>
      </c>
      <c r="V60" s="903">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1055</v>
      </c>
    </row>
    <row r="87" spans="2:3">
      <c r="B87" s="609">
        <v>43927</v>
      </c>
      <c r="C87" s="802" t="s">
        <v>851</v>
      </c>
    </row>
    <row r="88" spans="2:3">
      <c r="B88" s="609">
        <v>43927</v>
      </c>
      <c r="C88" s="608" t="s">
        <v>852</v>
      </c>
    </row>
    <row r="89" spans="2:3">
      <c r="B89" s="609">
        <v>44634</v>
      </c>
      <c r="C89" s="608" t="s">
        <v>1095</v>
      </c>
    </row>
    <row r="90" spans="2:3">
      <c r="C90" s="608" t="s">
        <v>1096</v>
      </c>
    </row>
    <row r="91" spans="2:3">
      <c r="C91" s="1" t="s">
        <v>1097</v>
      </c>
    </row>
    <row r="92" spans="2:3">
      <c r="C92" s="1" t="s">
        <v>1109</v>
      </c>
    </row>
    <row r="93" spans="2:3">
      <c r="C93" s="1" t="s">
        <v>1110</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205" t="s">
        <v>183</v>
      </c>
      <c r="C2" s="1205"/>
      <c r="D2" s="1205"/>
      <c r="E2" s="1205"/>
      <c r="F2" s="1205"/>
      <c r="G2" s="1205"/>
      <c r="H2" s="1205"/>
      <c r="I2" s="1205"/>
      <c r="J2" s="1205"/>
      <c r="K2" s="1205"/>
      <c r="L2" s="1205"/>
      <c r="M2" s="1205"/>
      <c r="N2" s="1205"/>
      <c r="O2" s="1205"/>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07">
        <f>0.25*$C$13*E10*F10/1000</f>
        <v>0</v>
      </c>
      <c r="I10" s="607">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07">
        <f>0.25*$R$13*T10*U10/1000</f>
        <v>0</v>
      </c>
      <c r="X10" s="607">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07">
        <f>($C$13*E15*F15/1000)*0.25</f>
        <v>0</v>
      </c>
      <c r="I15" s="607">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07">
        <f>($R$13*T15*U15/1000)*0.25</f>
        <v>0</v>
      </c>
      <c r="X15" s="607">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09">
        <v>43927</v>
      </c>
      <c r="C43" s="608" t="s">
        <v>852</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3" t="str">
        <f ca="1">RIGHT(CELL("filename",C1),LEN(CELL("filename",C1))-FIND("]",CELL("filename",C1)))</f>
        <v>秩父市屋根遮熱</v>
      </c>
    </row>
    <row r="2" spans="2:15">
      <c r="B2" s="2287"/>
      <c r="C2" s="2287"/>
      <c r="D2" s="2287"/>
      <c r="E2" s="2287"/>
      <c r="F2" s="2287"/>
      <c r="G2" s="2287"/>
      <c r="H2" s="2287"/>
      <c r="I2" s="2287"/>
      <c r="J2" s="2287"/>
      <c r="K2" s="2287"/>
      <c r="L2" s="2287"/>
      <c r="M2" s="2287"/>
      <c r="N2" s="2287"/>
      <c r="O2" s="2287"/>
    </row>
    <row r="3" spans="2:15">
      <c r="B3" s="794"/>
      <c r="C3" s="794"/>
      <c r="D3" s="794"/>
      <c r="E3" s="794"/>
      <c r="F3" s="794"/>
      <c r="G3" s="794"/>
      <c r="H3" s="794"/>
      <c r="I3" s="794"/>
      <c r="J3" s="794"/>
      <c r="K3" s="794"/>
      <c r="L3" s="794"/>
      <c r="M3" s="794"/>
      <c r="N3" s="794"/>
      <c r="O3" s="794"/>
    </row>
    <row r="4" spans="2:15">
      <c r="B4" s="722" t="s">
        <v>1069</v>
      </c>
      <c r="C4" s="723"/>
      <c r="D4" s="724"/>
      <c r="E4" s="725"/>
      <c r="F4" s="723"/>
      <c r="G4" s="723"/>
      <c r="H4" s="723"/>
      <c r="I4" s="726"/>
      <c r="J4" s="726"/>
      <c r="K4" s="726"/>
      <c r="L4" s="726"/>
      <c r="M4" s="726"/>
      <c r="N4" s="726"/>
      <c r="O4" s="794"/>
    </row>
    <row r="5" spans="2:15">
      <c r="B5" s="2252" t="s">
        <v>1070</v>
      </c>
      <c r="C5" s="2252"/>
      <c r="D5" s="2252" t="s">
        <v>1071</v>
      </c>
      <c r="E5" s="2252"/>
      <c r="F5" s="2252"/>
      <c r="G5" s="2253" t="s">
        <v>1072</v>
      </c>
      <c r="H5" s="2252" t="s">
        <v>1073</v>
      </c>
      <c r="I5" s="2252"/>
      <c r="J5" s="2252"/>
      <c r="K5" s="2252"/>
      <c r="L5" s="2252"/>
      <c r="M5" s="2252"/>
      <c r="N5" s="2252"/>
      <c r="O5" s="794"/>
    </row>
    <row r="6" spans="2:15">
      <c r="B6" s="2252"/>
      <c r="C6" s="2252"/>
      <c r="D6" s="727" t="s">
        <v>1074</v>
      </c>
      <c r="E6" s="727" t="s">
        <v>1075</v>
      </c>
      <c r="F6" s="727" t="s">
        <v>1076</v>
      </c>
      <c r="G6" s="2252"/>
      <c r="H6" s="2252"/>
      <c r="I6" s="2252"/>
      <c r="J6" s="2252"/>
      <c r="K6" s="2252"/>
      <c r="L6" s="2252"/>
      <c r="M6" s="2252"/>
      <c r="N6" s="2252"/>
      <c r="O6" s="794"/>
    </row>
    <row r="7" spans="2:15">
      <c r="B7" s="728" t="s">
        <v>1077</v>
      </c>
      <c r="C7" s="729" t="s">
        <v>1078</v>
      </c>
      <c r="D7" s="730">
        <f>結果!H30</f>
        <v>0</v>
      </c>
      <c r="E7" s="730">
        <f>結果!J30</f>
        <v>0</v>
      </c>
      <c r="F7" s="730">
        <f>結果!L30</f>
        <v>0</v>
      </c>
      <c r="G7" s="730">
        <f>結果!Q30</f>
        <v>0</v>
      </c>
      <c r="H7" s="2254" t="s">
        <v>1079</v>
      </c>
      <c r="I7" s="2254"/>
      <c r="J7" s="2254"/>
      <c r="K7" s="2254"/>
      <c r="L7" s="2254"/>
      <c r="M7" s="2254"/>
      <c r="N7" s="2254"/>
      <c r="O7" s="794"/>
    </row>
    <row r="8" spans="2:15">
      <c r="B8" s="728" t="s">
        <v>1362</v>
      </c>
      <c r="C8" s="910"/>
      <c r="D8" s="907"/>
      <c r="E8" s="908">
        <f>MAX(D7:F7)</f>
        <v>0</v>
      </c>
      <c r="F8" s="904"/>
      <c r="G8" s="904">
        <f>G7</f>
        <v>0</v>
      </c>
      <c r="H8" s="2254"/>
      <c r="I8" s="2254"/>
      <c r="J8" s="2254"/>
      <c r="K8" s="2254"/>
      <c r="L8" s="2254"/>
      <c r="M8" s="2254"/>
      <c r="N8" s="2254"/>
      <c r="O8" s="918"/>
    </row>
    <row r="9" spans="2:15">
      <c r="B9" s="728" t="s">
        <v>1080</v>
      </c>
      <c r="C9" s="729" t="s">
        <v>1081</v>
      </c>
      <c r="D9" s="730">
        <f>結果!H70</f>
        <v>0</v>
      </c>
      <c r="E9" s="730">
        <f>結果!J70</f>
        <v>0</v>
      </c>
      <c r="F9" s="730">
        <f>結果!L70</f>
        <v>0</v>
      </c>
      <c r="G9" s="731">
        <f>結果!Q70</f>
        <v>0</v>
      </c>
      <c r="H9" s="2254"/>
      <c r="I9" s="2254"/>
      <c r="J9" s="2254"/>
      <c r="K9" s="2254"/>
      <c r="L9" s="2254"/>
      <c r="M9" s="2254"/>
      <c r="N9" s="2254"/>
      <c r="O9" s="794"/>
    </row>
    <row r="10" spans="2:15">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794"/>
    </row>
    <row r="11" spans="2:15" ht="36">
      <c r="B11" s="917" t="s">
        <v>1361</v>
      </c>
      <c r="C11" s="732" t="s">
        <v>1084</v>
      </c>
      <c r="D11" s="2255">
        <f>MAX(D10:F10)</f>
        <v>0</v>
      </c>
      <c r="E11" s="2255"/>
      <c r="F11" s="2255"/>
      <c r="G11" s="731">
        <f>MAX(G10)</f>
        <v>0</v>
      </c>
      <c r="H11" s="2254" t="s">
        <v>1085</v>
      </c>
      <c r="I11" s="2254"/>
      <c r="J11" s="2254"/>
      <c r="K11" s="2254"/>
      <c r="L11" s="2254"/>
      <c r="M11" s="2254"/>
      <c r="N11" s="2254"/>
      <c r="O11" s="794"/>
    </row>
    <row r="12" spans="2:15" ht="24">
      <c r="B12" s="732" t="s">
        <v>1086</v>
      </c>
      <c r="C12" s="732" t="s">
        <v>1087</v>
      </c>
      <c r="D12" s="2255">
        <f>温度条件他根拠!C29</f>
        <v>0</v>
      </c>
      <c r="E12" s="2255"/>
      <c r="F12" s="2255"/>
      <c r="G12" s="731">
        <v>0</v>
      </c>
      <c r="H12" s="2254" t="s">
        <v>1088</v>
      </c>
      <c r="I12" s="2254"/>
      <c r="J12" s="2254"/>
      <c r="K12" s="2254"/>
      <c r="L12" s="2254"/>
      <c r="M12" s="2254"/>
      <c r="N12" s="2254"/>
      <c r="O12" s="794"/>
    </row>
    <row r="13" spans="2:15" ht="60">
      <c r="B13" s="732" t="s">
        <v>1089</v>
      </c>
      <c r="C13" s="732" t="s">
        <v>1090</v>
      </c>
      <c r="D13" s="2256">
        <f>D12*D11</f>
        <v>0</v>
      </c>
      <c r="E13" s="2257"/>
      <c r="F13" s="2258"/>
      <c r="G13" s="731">
        <f>G12*G11</f>
        <v>0</v>
      </c>
      <c r="H13" s="2259"/>
      <c r="I13" s="2260"/>
      <c r="J13" s="2260"/>
      <c r="K13" s="2260"/>
      <c r="L13" s="2260"/>
      <c r="M13" s="2260"/>
      <c r="N13" s="2261"/>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05" t="s">
        <v>183</v>
      </c>
      <c r="C16" s="1205"/>
      <c r="D16" s="1205"/>
      <c r="E16" s="1205"/>
      <c r="F16" s="1205"/>
      <c r="G16" s="1205"/>
      <c r="H16" s="1205"/>
      <c r="I16" s="1205"/>
      <c r="J16" s="1205"/>
      <c r="K16" s="1205"/>
      <c r="L16" s="1205"/>
      <c r="M16" s="1205"/>
      <c r="N16" s="1205"/>
      <c r="O16" s="1205"/>
    </row>
    <row r="17" spans="2:30" ht="36">
      <c r="B17" s="554" t="s">
        <v>0</v>
      </c>
      <c r="C17" s="716" t="s">
        <v>1093</v>
      </c>
      <c r="D17" s="716" t="s">
        <v>1094</v>
      </c>
      <c r="E17" s="716" t="s">
        <v>1092</v>
      </c>
      <c r="F17" s="20" t="s">
        <v>42</v>
      </c>
      <c r="G17" s="20" t="s">
        <v>43</v>
      </c>
      <c r="H17" s="18" t="s">
        <v>35</v>
      </c>
      <c r="I17" s="18" t="s">
        <v>36</v>
      </c>
      <c r="J17" s="20" t="s">
        <v>2</v>
      </c>
      <c r="K17" s="20" t="s">
        <v>3</v>
      </c>
      <c r="L17" s="20" t="s">
        <v>39</v>
      </c>
      <c r="M17" s="20" t="s">
        <v>38</v>
      </c>
      <c r="N17" s="20" t="s">
        <v>37</v>
      </c>
      <c r="O17" s="20" t="s">
        <v>44</v>
      </c>
      <c r="Q17" s="554" t="s">
        <v>0</v>
      </c>
      <c r="R17" s="919" t="s">
        <v>1367</v>
      </c>
      <c r="S17" s="919" t="s">
        <v>1368</v>
      </c>
      <c r="T17" s="916" t="s">
        <v>1092</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622" t="s">
        <v>18</v>
      </c>
      <c r="F18" s="20" t="s">
        <v>19</v>
      </c>
      <c r="G18" s="20" t="s">
        <v>20</v>
      </c>
      <c r="H18" s="20" t="s">
        <v>30</v>
      </c>
      <c r="I18" s="20" t="s">
        <v>29</v>
      </c>
      <c r="J18" s="20" t="s">
        <v>21</v>
      </c>
      <c r="K18" s="20" t="s">
        <v>22</v>
      </c>
      <c r="L18" s="20" t="s">
        <v>608</v>
      </c>
      <c r="M18" s="20" t="s">
        <v>607</v>
      </c>
      <c r="N18" s="555" t="s">
        <v>25</v>
      </c>
      <c r="O18" s="20" t="s">
        <v>32</v>
      </c>
      <c r="Q18" s="554" t="s">
        <v>14</v>
      </c>
      <c r="R18" s="916" t="s">
        <v>1363</v>
      </c>
      <c r="S18" s="916" t="s">
        <v>1364</v>
      </c>
      <c r="T18" s="622" t="s">
        <v>18</v>
      </c>
      <c r="U18" s="20" t="s">
        <v>19</v>
      </c>
      <c r="V18" s="20" t="s">
        <v>20</v>
      </c>
      <c r="W18" s="20" t="s">
        <v>30</v>
      </c>
      <c r="X18" s="20" t="s">
        <v>29</v>
      </c>
      <c r="Y18" s="20" t="s">
        <v>21</v>
      </c>
      <c r="Z18" s="20" t="s">
        <v>22</v>
      </c>
      <c r="AA18" s="20" t="s">
        <v>608</v>
      </c>
      <c r="AB18" s="20" t="s">
        <v>607</v>
      </c>
      <c r="AC18" s="555" t="s">
        <v>25</v>
      </c>
      <c r="AD18" s="20" t="s">
        <v>32</v>
      </c>
    </row>
    <row r="19" spans="2:30">
      <c r="B19" s="553" t="s">
        <v>15</v>
      </c>
      <c r="C19" s="737" t="s">
        <v>1091</v>
      </c>
      <c r="D19" s="737" t="s">
        <v>1091</v>
      </c>
      <c r="E19" s="737" t="s">
        <v>172</v>
      </c>
      <c r="F19" s="5" t="s">
        <v>10</v>
      </c>
      <c r="G19" s="5" t="s">
        <v>10</v>
      </c>
      <c r="H19" s="5" t="s">
        <v>27</v>
      </c>
      <c r="I19" s="5" t="s">
        <v>27</v>
      </c>
      <c r="J19" s="5" t="s">
        <v>10</v>
      </c>
      <c r="K19" s="5" t="s">
        <v>10</v>
      </c>
      <c r="L19" s="5" t="s">
        <v>27</v>
      </c>
      <c r="M19" s="5" t="s">
        <v>27</v>
      </c>
      <c r="N19" s="5" t="s">
        <v>27</v>
      </c>
      <c r="O19" s="553" t="s">
        <v>31</v>
      </c>
      <c r="Q19" s="553" t="s">
        <v>15</v>
      </c>
      <c r="R19" s="737" t="s">
        <v>1091</v>
      </c>
      <c r="S19" s="737" t="s">
        <v>1091</v>
      </c>
      <c r="T19" s="737" t="s">
        <v>172</v>
      </c>
      <c r="U19" s="5" t="s">
        <v>10</v>
      </c>
      <c r="V19" s="5" t="s">
        <v>10</v>
      </c>
      <c r="W19" s="5" t="s">
        <v>27</v>
      </c>
      <c r="X19" s="5" t="s">
        <v>27</v>
      </c>
      <c r="Y19" s="5" t="s">
        <v>10</v>
      </c>
      <c r="Z19" s="5" t="s">
        <v>10</v>
      </c>
      <c r="AA19" s="5" t="s">
        <v>27</v>
      </c>
      <c r="AB19" s="5" t="s">
        <v>27</v>
      </c>
      <c r="AC19" s="5" t="s">
        <v>27</v>
      </c>
      <c r="AD19" s="553" t="s">
        <v>31</v>
      </c>
    </row>
    <row r="20" spans="2:30">
      <c r="B20" s="553">
        <v>1</v>
      </c>
      <c r="C20" s="3"/>
      <c r="D20" s="738">
        <f>G13</f>
        <v>0</v>
      </c>
      <c r="E20" s="739">
        <f>温度条件他根拠!E21</f>
        <v>0</v>
      </c>
      <c r="F20" s="740">
        <v>0</v>
      </c>
      <c r="G20" s="741">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738">
        <f>G8*G12</f>
        <v>0</v>
      </c>
      <c r="T20" s="739">
        <f>温度条件他根拠!E21</f>
        <v>0</v>
      </c>
      <c r="U20" s="740">
        <f>F20</f>
        <v>0</v>
      </c>
      <c r="V20" s="903">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740">
        <f>E20</f>
        <v>0</v>
      </c>
      <c r="F21" s="740">
        <v>0</v>
      </c>
      <c r="G21" s="741">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740">
        <f>T20</f>
        <v>0</v>
      </c>
      <c r="U21" s="740">
        <f t="shared" ref="U21:V31" si="9">F21</f>
        <v>0</v>
      </c>
      <c r="V21" s="903">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740">
        <f t="shared" ref="E22:E31" si="12">E21</f>
        <v>0</v>
      </c>
      <c r="F22" s="740">
        <v>0</v>
      </c>
      <c r="G22" s="741">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740">
        <f t="shared" ref="T22:T31" si="14">T21</f>
        <v>0</v>
      </c>
      <c r="U22" s="740">
        <f t="shared" si="9"/>
        <v>0</v>
      </c>
      <c r="V22" s="903">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740">
        <f t="shared" si="12"/>
        <v>0</v>
      </c>
      <c r="F23" s="740">
        <v>0</v>
      </c>
      <c r="G23" s="741">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740">
        <f t="shared" si="14"/>
        <v>0</v>
      </c>
      <c r="U23" s="740">
        <f t="shared" si="9"/>
        <v>0</v>
      </c>
      <c r="V23" s="903">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740">
        <f t="shared" si="12"/>
        <v>0</v>
      </c>
      <c r="F24" s="741">
        <f>0.175*(温度条件他根拠!$F$7-温度条件他根拠!$F$9)/(温度条件他根拠!$F$7-23.1)</f>
        <v>6.2171052631578946E-2</v>
      </c>
      <c r="G24" s="741">
        <f>0.2*(温度条件他根拠!$F$10-11.2)/(温度条件他根拠!$F$10-温度条件他根拠!$F$8)</f>
        <v>7.2727272727272738E-2</v>
      </c>
      <c r="H24" s="738">
        <f>$C$27*E24*F24/1000</f>
        <v>0</v>
      </c>
      <c r="I24" s="738">
        <f>G24*E24*$D$20/1000</f>
        <v>0</v>
      </c>
      <c r="J24" s="2">
        <f t="shared" si="13"/>
        <v>3.55</v>
      </c>
      <c r="K24" s="6">
        <f t="shared" si="13"/>
        <v>3.95</v>
      </c>
      <c r="L24" s="7">
        <f t="shared" si="1"/>
        <v>0</v>
      </c>
      <c r="M24" s="7">
        <f t="shared" si="1"/>
        <v>0</v>
      </c>
      <c r="N24" s="13">
        <f t="shared" si="7"/>
        <v>0</v>
      </c>
      <c r="O24" s="12">
        <f t="shared" si="8"/>
        <v>0</v>
      </c>
      <c r="Q24" s="553">
        <v>5</v>
      </c>
      <c r="R24" s="3"/>
      <c r="S24" s="3"/>
      <c r="T24" s="740">
        <f t="shared" si="14"/>
        <v>0</v>
      </c>
      <c r="U24" s="903">
        <f t="shared" si="9"/>
        <v>6.2171052631578946E-2</v>
      </c>
      <c r="V24" s="903">
        <f t="shared" si="9"/>
        <v>7.2727272727272738E-2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740">
        <f t="shared" si="12"/>
        <v>0</v>
      </c>
      <c r="F25" s="741">
        <f>0.7*(温度条件他根拠!$F$7-温度条件他根拠!$F$9)/(温度条件他根拠!$F$7-25.5)</f>
        <v>0.36346153846153839</v>
      </c>
      <c r="G25" s="740">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740">
        <f t="shared" si="14"/>
        <v>0</v>
      </c>
      <c r="U25" s="903">
        <f t="shared" si="9"/>
        <v>0.36346153846153839</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740">
        <f t="shared" si="12"/>
        <v>0</v>
      </c>
      <c r="F26" s="741">
        <f>0.7*(温度条件他根拠!$F$7-温度条件他根拠!$F$9)/(温度条件他根拠!$F$7-28)</f>
        <v>0.7</v>
      </c>
      <c r="G26" s="740">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740">
        <f t="shared" si="14"/>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738">
        <f>D13</f>
        <v>0</v>
      </c>
      <c r="D27" s="3"/>
      <c r="E27" s="740">
        <f t="shared" si="12"/>
        <v>0</v>
      </c>
      <c r="F27" s="741">
        <f>0.7*(温度条件他根拠!$F$7-温度条件他根拠!$F$9)/(温度条件他根拠!$F$7-28)</f>
        <v>0.7</v>
      </c>
      <c r="G27" s="740">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738">
        <f>E8*D12</f>
        <v>0</v>
      </c>
      <c r="S27" s="3"/>
      <c r="T27" s="740">
        <f t="shared" si="14"/>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740">
        <f t="shared" si="12"/>
        <v>0</v>
      </c>
      <c r="F28" s="741">
        <f>0.7*(温度条件他根拠!$F$7-温度条件他根拠!$F$9)/(温度条件他根拠!$F$7-25.9)</f>
        <v>0.39374999999999982</v>
      </c>
      <c r="G28" s="740">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740">
        <f t="shared" si="14"/>
        <v>0</v>
      </c>
      <c r="U28" s="903">
        <f t="shared" si="9"/>
        <v>0.39374999999999982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740">
        <f t="shared" si="12"/>
        <v>0</v>
      </c>
      <c r="F29" s="741">
        <f>0.175*(温度条件他根拠!$F$7-温度条件他根拠!$F$9)/(温度条件他根拠!$F$7-20.5)</f>
        <v>4.6323529411764694E-2</v>
      </c>
      <c r="G29" s="741">
        <f>0.2*(温度条件他根拠!$F$10-10.5)/(温度条件他根拠!$F$10-温度条件他根拠!$F$8)</f>
        <v>7.8512396694214878E-2</v>
      </c>
      <c r="H29" s="738">
        <f>$C$27*E29*F29/1000</f>
        <v>0</v>
      </c>
      <c r="I29" s="738">
        <f>G29*E29*$D$20/1000</f>
        <v>0</v>
      </c>
      <c r="J29" s="2">
        <f t="shared" si="13"/>
        <v>3.55</v>
      </c>
      <c r="K29" s="6">
        <f t="shared" si="13"/>
        <v>3.95</v>
      </c>
      <c r="L29" s="7">
        <f t="shared" si="1"/>
        <v>0</v>
      </c>
      <c r="M29" s="7">
        <f t="shared" si="1"/>
        <v>0</v>
      </c>
      <c r="N29" s="13">
        <f t="shared" si="7"/>
        <v>0</v>
      </c>
      <c r="O29" s="12">
        <f t="shared" si="8"/>
        <v>0</v>
      </c>
      <c r="Q29" s="553">
        <v>10</v>
      </c>
      <c r="R29" s="3"/>
      <c r="S29" s="3"/>
      <c r="T29" s="740">
        <f t="shared" si="14"/>
        <v>0</v>
      </c>
      <c r="U29" s="903">
        <f t="shared" si="9"/>
        <v>4.6323529411764694E-2</v>
      </c>
      <c r="V29" s="903">
        <f t="shared" si="9"/>
        <v>7.8512396694214878E-2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740">
        <f t="shared" si="12"/>
        <v>0</v>
      </c>
      <c r="F30" s="740">
        <v>0</v>
      </c>
      <c r="G30" s="741">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740">
        <f t="shared" si="14"/>
        <v>0</v>
      </c>
      <c r="U30" s="740">
        <f t="shared" si="9"/>
        <v>0</v>
      </c>
      <c r="V30" s="903">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740">
        <f t="shared" si="12"/>
        <v>0</v>
      </c>
      <c r="F31" s="740">
        <v>0</v>
      </c>
      <c r="G31" s="741">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740">
        <f t="shared" si="14"/>
        <v>0</v>
      </c>
      <c r="U31" s="740">
        <f t="shared" si="9"/>
        <v>0</v>
      </c>
      <c r="V31" s="903">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1055</v>
      </c>
    </row>
    <row r="57" spans="2:3">
      <c r="B57" s="609">
        <v>43927</v>
      </c>
      <c r="C57" s="608" t="s">
        <v>852</v>
      </c>
    </row>
    <row r="58" spans="2:3">
      <c r="B58" s="609">
        <v>44634</v>
      </c>
      <c r="C58" s="608" t="s">
        <v>1095</v>
      </c>
    </row>
    <row r="59" spans="2:3">
      <c r="C59" s="608" t="s">
        <v>1096</v>
      </c>
    </row>
    <row r="60" spans="2:3">
      <c r="C60" s="1" t="s">
        <v>1097</v>
      </c>
    </row>
    <row r="61" spans="2:3">
      <c r="C61" s="1" t="s">
        <v>1109</v>
      </c>
    </row>
    <row r="62" spans="2:3">
      <c r="C62" s="1" t="s">
        <v>1110</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623" t="str">
        <f ca="1">RIGHT(CELL("filename",C1),LEN(CELL("filename",C1))-FIND("]",CELL("filename",C1)))</f>
        <v>秩父市屋根断熱</v>
      </c>
    </row>
    <row r="2" spans="2:15">
      <c r="B2" s="2287"/>
      <c r="C2" s="2287"/>
      <c r="D2" s="2287"/>
      <c r="E2" s="2287"/>
      <c r="F2" s="2287"/>
      <c r="G2" s="2287"/>
      <c r="H2" s="2287"/>
      <c r="I2" s="2287"/>
      <c r="J2" s="2287"/>
      <c r="K2" s="2287"/>
      <c r="L2" s="2287"/>
      <c r="M2" s="2287"/>
      <c r="N2" s="2287"/>
      <c r="O2" s="2287"/>
    </row>
    <row r="3" spans="2:15">
      <c r="B3" s="794"/>
      <c r="C3" s="794"/>
      <c r="D3" s="794"/>
      <c r="E3" s="794"/>
      <c r="F3" s="794"/>
      <c r="G3" s="794"/>
      <c r="H3" s="794"/>
      <c r="I3" s="794"/>
      <c r="J3" s="794"/>
      <c r="K3" s="794"/>
      <c r="L3" s="794"/>
      <c r="M3" s="794"/>
      <c r="N3" s="794"/>
      <c r="O3" s="794"/>
    </row>
    <row r="4" spans="2:15">
      <c r="B4" s="722" t="s">
        <v>1069</v>
      </c>
      <c r="C4" s="723"/>
      <c r="D4" s="724"/>
      <c r="E4" s="725"/>
      <c r="F4" s="723"/>
      <c r="G4" s="723"/>
      <c r="H4" s="723"/>
      <c r="I4" s="726"/>
      <c r="J4" s="726"/>
      <c r="K4" s="726"/>
      <c r="L4" s="726"/>
      <c r="M4" s="726"/>
      <c r="N4" s="726"/>
      <c r="O4" s="794"/>
    </row>
    <row r="5" spans="2:15">
      <c r="B5" s="2252" t="s">
        <v>1070</v>
      </c>
      <c r="C5" s="2252"/>
      <c r="D5" s="2252" t="s">
        <v>1071</v>
      </c>
      <c r="E5" s="2252"/>
      <c r="F5" s="2252"/>
      <c r="G5" s="2253" t="s">
        <v>1072</v>
      </c>
      <c r="H5" s="2252" t="s">
        <v>1073</v>
      </c>
      <c r="I5" s="2252"/>
      <c r="J5" s="2252"/>
      <c r="K5" s="2252"/>
      <c r="L5" s="2252"/>
      <c r="M5" s="2252"/>
      <c r="N5" s="2252"/>
      <c r="O5" s="794"/>
    </row>
    <row r="6" spans="2:15">
      <c r="B6" s="2252"/>
      <c r="C6" s="2252"/>
      <c r="D6" s="727" t="s">
        <v>1074</v>
      </c>
      <c r="E6" s="727" t="s">
        <v>1075</v>
      </c>
      <c r="F6" s="727" t="s">
        <v>1076</v>
      </c>
      <c r="G6" s="2252"/>
      <c r="H6" s="2252"/>
      <c r="I6" s="2252"/>
      <c r="J6" s="2252"/>
      <c r="K6" s="2252"/>
      <c r="L6" s="2252"/>
      <c r="M6" s="2252"/>
      <c r="N6" s="2252"/>
      <c r="O6" s="794"/>
    </row>
    <row r="7" spans="2:15" ht="13" customHeight="1">
      <c r="B7" s="728" t="s">
        <v>1077</v>
      </c>
      <c r="C7" s="729" t="s">
        <v>1078</v>
      </c>
      <c r="D7" s="730">
        <f>結果!H30</f>
        <v>0</v>
      </c>
      <c r="E7" s="730">
        <f>結果!J30</f>
        <v>0</v>
      </c>
      <c r="F7" s="730">
        <f>結果!L30</f>
        <v>0</v>
      </c>
      <c r="G7" s="730">
        <f>結果!Q30</f>
        <v>0</v>
      </c>
      <c r="H7" s="2254" t="s">
        <v>1134</v>
      </c>
      <c r="I7" s="2254"/>
      <c r="J7" s="2254"/>
      <c r="K7" s="2254"/>
      <c r="L7" s="2254"/>
      <c r="M7" s="2254"/>
      <c r="N7" s="2254"/>
      <c r="O7" s="794"/>
    </row>
    <row r="8" spans="2:15" ht="13" customHeight="1">
      <c r="B8" s="728" t="s">
        <v>1362</v>
      </c>
      <c r="C8" s="910"/>
      <c r="D8" s="907"/>
      <c r="E8" s="908">
        <f>MAX(D7:F7)</f>
        <v>0</v>
      </c>
      <c r="F8" s="904"/>
      <c r="G8" s="904">
        <f>G7</f>
        <v>0</v>
      </c>
      <c r="H8" s="2254"/>
      <c r="I8" s="2254"/>
      <c r="J8" s="2254"/>
      <c r="K8" s="2254"/>
      <c r="L8" s="2254"/>
      <c r="M8" s="2254"/>
      <c r="N8" s="2254"/>
      <c r="O8" s="918"/>
    </row>
    <row r="9" spans="2:15">
      <c r="B9" s="728" t="s">
        <v>1080</v>
      </c>
      <c r="C9" s="729" t="s">
        <v>1081</v>
      </c>
      <c r="D9" s="730">
        <f>結果!H70</f>
        <v>0</v>
      </c>
      <c r="E9" s="730">
        <f>結果!J70</f>
        <v>0</v>
      </c>
      <c r="F9" s="730">
        <f>結果!L70</f>
        <v>0</v>
      </c>
      <c r="G9" s="731">
        <f>結果!Q70</f>
        <v>0</v>
      </c>
      <c r="H9" s="2254"/>
      <c r="I9" s="2254"/>
      <c r="J9" s="2254"/>
      <c r="K9" s="2254"/>
      <c r="L9" s="2254"/>
      <c r="M9" s="2254"/>
      <c r="N9" s="2254"/>
      <c r="O9" s="794"/>
    </row>
    <row r="10" spans="2:15">
      <c r="B10" s="728" t="s">
        <v>1082</v>
      </c>
      <c r="C10" s="729" t="s">
        <v>1083</v>
      </c>
      <c r="D10" s="731">
        <f>D7-D9</f>
        <v>0</v>
      </c>
      <c r="E10" s="731">
        <f t="shared" ref="E10:G10" si="0">E7-E9</f>
        <v>0</v>
      </c>
      <c r="F10" s="731">
        <f t="shared" si="0"/>
        <v>0</v>
      </c>
      <c r="G10" s="731">
        <f t="shared" si="0"/>
        <v>0</v>
      </c>
      <c r="H10" s="2254"/>
      <c r="I10" s="2254"/>
      <c r="J10" s="2254"/>
      <c r="K10" s="2254"/>
      <c r="L10" s="2254"/>
      <c r="M10" s="2254"/>
      <c r="N10" s="2254"/>
      <c r="O10" s="794"/>
    </row>
    <row r="11" spans="2:15" ht="36">
      <c r="B11" s="917" t="s">
        <v>1361</v>
      </c>
      <c r="C11" s="732" t="s">
        <v>1084</v>
      </c>
      <c r="D11" s="2255">
        <f>MAX(D10:F10)</f>
        <v>0</v>
      </c>
      <c r="E11" s="2255"/>
      <c r="F11" s="2255"/>
      <c r="G11" s="731">
        <f>MAX(G10)</f>
        <v>0</v>
      </c>
      <c r="H11" s="2254" t="s">
        <v>1085</v>
      </c>
      <c r="I11" s="2254"/>
      <c r="J11" s="2254"/>
      <c r="K11" s="2254"/>
      <c r="L11" s="2254"/>
      <c r="M11" s="2254"/>
      <c r="N11" s="2254"/>
      <c r="O11" s="794"/>
    </row>
    <row r="12" spans="2:15" ht="24" customHeight="1">
      <c r="B12" s="732" t="s">
        <v>1086</v>
      </c>
      <c r="C12" s="732" t="s">
        <v>1117</v>
      </c>
      <c r="D12" s="2255">
        <f>温度条件他根拠!E29</f>
        <v>0</v>
      </c>
      <c r="E12" s="2255"/>
      <c r="F12" s="2255"/>
      <c r="G12" s="731">
        <f>D12</f>
        <v>0</v>
      </c>
      <c r="H12" s="2262" t="s">
        <v>1111</v>
      </c>
      <c r="I12" s="2262"/>
      <c r="J12" s="2262"/>
      <c r="K12" s="2262"/>
      <c r="L12" s="2262"/>
      <c r="M12" s="2262"/>
      <c r="N12" s="2262"/>
      <c r="O12" s="794"/>
    </row>
    <row r="13" spans="2:15" ht="60">
      <c r="B13" s="732" t="s">
        <v>1089</v>
      </c>
      <c r="C13" s="732" t="s">
        <v>1090</v>
      </c>
      <c r="D13" s="2256">
        <f>D12*D11</f>
        <v>0</v>
      </c>
      <c r="E13" s="2257"/>
      <c r="F13" s="2258"/>
      <c r="G13" s="731">
        <f>G12*G11</f>
        <v>0</v>
      </c>
      <c r="H13" s="2259"/>
      <c r="I13" s="2260"/>
      <c r="J13" s="2260"/>
      <c r="K13" s="2260"/>
      <c r="L13" s="2260"/>
      <c r="M13" s="2260"/>
      <c r="N13" s="2261"/>
      <c r="O13" s="794"/>
    </row>
    <row r="14" spans="2:15">
      <c r="B14" s="794"/>
      <c r="C14" s="794"/>
      <c r="D14" s="794"/>
      <c r="E14" s="794"/>
      <c r="F14" s="794"/>
      <c r="G14" s="794"/>
      <c r="H14" s="794"/>
      <c r="I14" s="794"/>
      <c r="J14" s="794"/>
      <c r="K14" s="794"/>
      <c r="L14" s="794"/>
      <c r="M14" s="794"/>
      <c r="N14" s="794"/>
      <c r="O14" s="794"/>
    </row>
    <row r="15" spans="2:15">
      <c r="B15" s="794"/>
      <c r="C15" s="794"/>
      <c r="D15" s="794"/>
      <c r="E15" s="794"/>
      <c r="F15" s="794"/>
      <c r="G15" s="794"/>
      <c r="H15" s="794"/>
      <c r="I15" s="794"/>
      <c r="J15" s="794"/>
      <c r="K15" s="794"/>
      <c r="L15" s="794"/>
      <c r="M15" s="794"/>
      <c r="N15" s="794"/>
      <c r="O15" s="794"/>
    </row>
    <row r="16" spans="2:15">
      <c r="B16" s="1205" t="s">
        <v>183</v>
      </c>
      <c r="C16" s="1205"/>
      <c r="D16" s="1205"/>
      <c r="E16" s="1205"/>
      <c r="F16" s="1205"/>
      <c r="G16" s="1205"/>
      <c r="H16" s="1205"/>
      <c r="I16" s="1205"/>
      <c r="J16" s="1205"/>
      <c r="K16" s="1205"/>
      <c r="L16" s="1205"/>
      <c r="M16" s="1205"/>
      <c r="N16" s="1205"/>
      <c r="O16" s="1205"/>
    </row>
    <row r="17" spans="2:30" ht="36">
      <c r="B17" s="703" t="s">
        <v>0</v>
      </c>
      <c r="C17" s="716" t="s">
        <v>1093</v>
      </c>
      <c r="D17" s="716" t="s">
        <v>1094</v>
      </c>
      <c r="E17" s="716" t="s">
        <v>1092</v>
      </c>
      <c r="F17" s="20" t="s">
        <v>42</v>
      </c>
      <c r="G17" s="20" t="s">
        <v>43</v>
      </c>
      <c r="H17" s="18" t="s">
        <v>35</v>
      </c>
      <c r="I17" s="18" t="s">
        <v>36</v>
      </c>
      <c r="J17" s="20" t="s">
        <v>2</v>
      </c>
      <c r="K17" s="20" t="s">
        <v>3</v>
      </c>
      <c r="L17" s="20" t="s">
        <v>39</v>
      </c>
      <c r="M17" s="20" t="s">
        <v>38</v>
      </c>
      <c r="N17" s="20" t="s">
        <v>37</v>
      </c>
      <c r="O17" s="20" t="s">
        <v>44</v>
      </c>
      <c r="Q17" s="703" t="s">
        <v>0</v>
      </c>
      <c r="R17" s="919" t="s">
        <v>1367</v>
      </c>
      <c r="S17" s="919" t="s">
        <v>1368</v>
      </c>
      <c r="T17" s="916" t="s">
        <v>1092</v>
      </c>
      <c r="U17" s="20" t="s">
        <v>42</v>
      </c>
      <c r="V17" s="20" t="s">
        <v>43</v>
      </c>
      <c r="W17" s="18" t="s">
        <v>35</v>
      </c>
      <c r="X17" s="18" t="s">
        <v>36</v>
      </c>
      <c r="Y17" s="20" t="s">
        <v>2</v>
      </c>
      <c r="Z17" s="20" t="s">
        <v>3</v>
      </c>
      <c r="AA17" s="20" t="s">
        <v>39</v>
      </c>
      <c r="AB17" s="20" t="s">
        <v>38</v>
      </c>
      <c r="AC17" s="20" t="s">
        <v>37</v>
      </c>
      <c r="AD17" s="20" t="s">
        <v>44</v>
      </c>
    </row>
    <row r="18" spans="2:30" ht="36">
      <c r="B18" s="703" t="s">
        <v>14</v>
      </c>
      <c r="C18" s="20" t="s">
        <v>16</v>
      </c>
      <c r="D18" s="20" t="s">
        <v>17</v>
      </c>
      <c r="E18" s="622" t="s">
        <v>18</v>
      </c>
      <c r="F18" s="20" t="s">
        <v>19</v>
      </c>
      <c r="G18" s="20" t="s">
        <v>20</v>
      </c>
      <c r="H18" s="20" t="s">
        <v>30</v>
      </c>
      <c r="I18" s="20" t="s">
        <v>29</v>
      </c>
      <c r="J18" s="20" t="s">
        <v>21</v>
      </c>
      <c r="K18" s="20" t="s">
        <v>22</v>
      </c>
      <c r="L18" s="20" t="s">
        <v>608</v>
      </c>
      <c r="M18" s="20" t="s">
        <v>607</v>
      </c>
      <c r="N18" s="704" t="s">
        <v>25</v>
      </c>
      <c r="O18" s="20" t="s">
        <v>32</v>
      </c>
      <c r="Q18" s="703" t="s">
        <v>14</v>
      </c>
      <c r="R18" s="20" t="s">
        <v>16</v>
      </c>
      <c r="S18" s="20" t="s">
        <v>17</v>
      </c>
      <c r="T18" s="622" t="s">
        <v>18</v>
      </c>
      <c r="U18" s="20" t="s">
        <v>19</v>
      </c>
      <c r="V18" s="20" t="s">
        <v>20</v>
      </c>
      <c r="W18" s="20" t="s">
        <v>30</v>
      </c>
      <c r="X18" s="20" t="s">
        <v>29</v>
      </c>
      <c r="Y18" s="20" t="s">
        <v>21</v>
      </c>
      <c r="Z18" s="20" t="s">
        <v>22</v>
      </c>
      <c r="AA18" s="20" t="s">
        <v>608</v>
      </c>
      <c r="AB18" s="20" t="s">
        <v>607</v>
      </c>
      <c r="AC18" s="704" t="s">
        <v>25</v>
      </c>
      <c r="AD18" s="20" t="s">
        <v>32</v>
      </c>
    </row>
    <row r="19" spans="2:30">
      <c r="B19" s="700" t="s">
        <v>15</v>
      </c>
      <c r="C19" s="737" t="s">
        <v>1091</v>
      </c>
      <c r="D19" s="737" t="s">
        <v>1091</v>
      </c>
      <c r="E19" s="737" t="s">
        <v>172</v>
      </c>
      <c r="F19" s="5" t="s">
        <v>10</v>
      </c>
      <c r="G19" s="5" t="s">
        <v>10</v>
      </c>
      <c r="H19" s="5" t="s">
        <v>27</v>
      </c>
      <c r="I19" s="5" t="s">
        <v>27</v>
      </c>
      <c r="J19" s="5" t="s">
        <v>10</v>
      </c>
      <c r="K19" s="5" t="s">
        <v>10</v>
      </c>
      <c r="L19" s="5" t="s">
        <v>27</v>
      </c>
      <c r="M19" s="5" t="s">
        <v>27</v>
      </c>
      <c r="N19" s="5" t="s">
        <v>27</v>
      </c>
      <c r="O19" s="700" t="s">
        <v>31</v>
      </c>
      <c r="Q19" s="700" t="s">
        <v>15</v>
      </c>
      <c r="R19" s="737" t="s">
        <v>1091</v>
      </c>
      <c r="S19" s="737" t="s">
        <v>1091</v>
      </c>
      <c r="T19" s="737" t="s">
        <v>172</v>
      </c>
      <c r="U19" s="5" t="s">
        <v>10</v>
      </c>
      <c r="V19" s="5" t="s">
        <v>10</v>
      </c>
      <c r="W19" s="5" t="s">
        <v>27</v>
      </c>
      <c r="X19" s="5" t="s">
        <v>27</v>
      </c>
      <c r="Y19" s="5" t="s">
        <v>10</v>
      </c>
      <c r="Z19" s="5" t="s">
        <v>10</v>
      </c>
      <c r="AA19" s="5" t="s">
        <v>27</v>
      </c>
      <c r="AB19" s="5" t="s">
        <v>27</v>
      </c>
      <c r="AC19" s="5" t="s">
        <v>27</v>
      </c>
      <c r="AD19" s="700" t="s">
        <v>31</v>
      </c>
    </row>
    <row r="20" spans="2:30">
      <c r="B20" s="700">
        <v>1</v>
      </c>
      <c r="C20" s="3"/>
      <c r="D20" s="738">
        <f>G13</f>
        <v>0</v>
      </c>
      <c r="E20" s="739">
        <f>温度条件他根拠!E21</f>
        <v>0</v>
      </c>
      <c r="F20" s="740">
        <v>0</v>
      </c>
      <c r="G20" s="741">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00">
        <v>1</v>
      </c>
      <c r="R20" s="3"/>
      <c r="S20" s="738">
        <f>G8*G12</f>
        <v>0</v>
      </c>
      <c r="T20" s="739">
        <f>温度条件他根拠!E21</f>
        <v>0</v>
      </c>
      <c r="U20" s="740">
        <f>F20</f>
        <v>0</v>
      </c>
      <c r="V20" s="903">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00">
        <v>2</v>
      </c>
      <c r="C21" s="3"/>
      <c r="D21" s="3"/>
      <c r="E21" s="740">
        <f>E20</f>
        <v>0</v>
      </c>
      <c r="F21" s="740">
        <v>0</v>
      </c>
      <c r="G21" s="741">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00">
        <v>2</v>
      </c>
      <c r="R21" s="3"/>
      <c r="S21" s="3"/>
      <c r="T21" s="740">
        <f>T20</f>
        <v>0</v>
      </c>
      <c r="U21" s="740">
        <f t="shared" ref="U21:V31" si="9">F21</f>
        <v>0</v>
      </c>
      <c r="V21" s="903">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00">
        <v>3</v>
      </c>
      <c r="C22" s="3"/>
      <c r="D22" s="3"/>
      <c r="E22" s="740">
        <f t="shared" ref="E22:E31" si="12">E21</f>
        <v>0</v>
      </c>
      <c r="F22" s="740">
        <v>0</v>
      </c>
      <c r="G22" s="741">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700">
        <v>3</v>
      </c>
      <c r="R22" s="3"/>
      <c r="S22" s="3"/>
      <c r="T22" s="740">
        <f t="shared" ref="T22:T31" si="14">T21</f>
        <v>0</v>
      </c>
      <c r="U22" s="740">
        <f t="shared" si="9"/>
        <v>0</v>
      </c>
      <c r="V22" s="903">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700">
        <v>4</v>
      </c>
      <c r="C23" s="3"/>
      <c r="D23" s="3"/>
      <c r="E23" s="740">
        <f t="shared" si="12"/>
        <v>0</v>
      </c>
      <c r="F23" s="740">
        <v>0</v>
      </c>
      <c r="G23" s="741">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700">
        <v>4</v>
      </c>
      <c r="R23" s="3"/>
      <c r="S23" s="3"/>
      <c r="T23" s="740">
        <f t="shared" si="14"/>
        <v>0</v>
      </c>
      <c r="U23" s="740">
        <f t="shared" si="9"/>
        <v>0</v>
      </c>
      <c r="V23" s="903">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700">
        <v>5</v>
      </c>
      <c r="C24" s="3"/>
      <c r="D24" s="3"/>
      <c r="E24" s="740">
        <f t="shared" si="12"/>
        <v>0</v>
      </c>
      <c r="F24" s="741">
        <f>0.175*(温度条件他根拠!$F$7-温度条件他根拠!$F$9)/(温度条件他根拠!$F$7-23.1)</f>
        <v>6.2171052631578946E-2</v>
      </c>
      <c r="G24" s="741">
        <f>0.2*(温度条件他根拠!$F$10-11.2)/(温度条件他根拠!$F$10-温度条件他根拠!$F$8)</f>
        <v>7.2727272727272738E-2</v>
      </c>
      <c r="H24" s="738">
        <f>$C$27*E24*F24/1000</f>
        <v>0</v>
      </c>
      <c r="I24" s="738">
        <f>G24*E24*$D$20/1000</f>
        <v>0</v>
      </c>
      <c r="J24" s="2">
        <f t="shared" si="13"/>
        <v>3.55</v>
      </c>
      <c r="K24" s="6">
        <f t="shared" si="13"/>
        <v>3.95</v>
      </c>
      <c r="L24" s="7">
        <f t="shared" si="1"/>
        <v>0</v>
      </c>
      <c r="M24" s="7">
        <f t="shared" si="1"/>
        <v>0</v>
      </c>
      <c r="N24" s="13">
        <f t="shared" si="7"/>
        <v>0</v>
      </c>
      <c r="O24" s="12">
        <f t="shared" si="8"/>
        <v>0</v>
      </c>
      <c r="Q24" s="700">
        <v>5</v>
      </c>
      <c r="R24" s="3"/>
      <c r="S24" s="3"/>
      <c r="T24" s="740">
        <f t="shared" si="14"/>
        <v>0</v>
      </c>
      <c r="U24" s="903">
        <f t="shared" si="9"/>
        <v>6.2171052631578946E-2</v>
      </c>
      <c r="V24" s="903">
        <f t="shared" si="9"/>
        <v>7.2727272727272738E-2</v>
      </c>
      <c r="W24" s="738">
        <f t="shared" si="2"/>
        <v>0</v>
      </c>
      <c r="X24" s="738">
        <f t="shared" si="3"/>
        <v>0</v>
      </c>
      <c r="Y24" s="2">
        <f t="shared" si="15"/>
        <v>3.55</v>
      </c>
      <c r="Z24" s="6">
        <f t="shared" si="15"/>
        <v>3.95</v>
      </c>
      <c r="AA24" s="7">
        <f t="shared" si="4"/>
        <v>0</v>
      </c>
      <c r="AB24" s="7">
        <f t="shared" si="4"/>
        <v>0</v>
      </c>
      <c r="AC24" s="13">
        <f t="shared" si="10"/>
        <v>0</v>
      </c>
      <c r="AD24" s="12">
        <f t="shared" si="11"/>
        <v>0</v>
      </c>
    </row>
    <row r="25" spans="2:30">
      <c r="B25" s="700">
        <v>6</v>
      </c>
      <c r="C25" s="3"/>
      <c r="D25" s="3"/>
      <c r="E25" s="740">
        <f t="shared" si="12"/>
        <v>0</v>
      </c>
      <c r="F25" s="741">
        <f>0.7*(温度条件他根拠!$F$7-温度条件他根拠!$F$9)/(温度条件他根拠!$F$7-25.5)</f>
        <v>0.36346153846153839</v>
      </c>
      <c r="G25" s="740">
        <v>0</v>
      </c>
      <c r="H25" s="7">
        <f t="shared" si="5"/>
        <v>0</v>
      </c>
      <c r="I25" s="7">
        <f t="shared" si="6"/>
        <v>0</v>
      </c>
      <c r="J25" s="2">
        <f t="shared" si="13"/>
        <v>3.55</v>
      </c>
      <c r="K25" s="6">
        <f t="shared" si="13"/>
        <v>3.95</v>
      </c>
      <c r="L25" s="7">
        <f t="shared" si="1"/>
        <v>0</v>
      </c>
      <c r="M25" s="7">
        <f t="shared" si="1"/>
        <v>0</v>
      </c>
      <c r="N25" s="13">
        <f t="shared" si="7"/>
        <v>0</v>
      </c>
      <c r="O25" s="12">
        <f t="shared" si="8"/>
        <v>0</v>
      </c>
      <c r="Q25" s="700">
        <v>6</v>
      </c>
      <c r="R25" s="3"/>
      <c r="S25" s="3"/>
      <c r="T25" s="740">
        <f t="shared" si="14"/>
        <v>0</v>
      </c>
      <c r="U25" s="903">
        <f t="shared" si="9"/>
        <v>0.36346153846153839</v>
      </c>
      <c r="V25" s="740">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00">
        <v>7</v>
      </c>
      <c r="C26" s="3"/>
      <c r="D26" s="3"/>
      <c r="E26" s="740">
        <f t="shared" si="12"/>
        <v>0</v>
      </c>
      <c r="F26" s="741">
        <f>0.7*(温度条件他根拠!$F$7-温度条件他根拠!$F$9)/(温度条件他根拠!$F$7-28)</f>
        <v>0.7</v>
      </c>
      <c r="G26" s="740">
        <v>0</v>
      </c>
      <c r="H26" s="7">
        <f t="shared" si="5"/>
        <v>0</v>
      </c>
      <c r="I26" s="7">
        <f t="shared" si="6"/>
        <v>0</v>
      </c>
      <c r="J26" s="2">
        <f t="shared" si="13"/>
        <v>3.55</v>
      </c>
      <c r="K26" s="6">
        <f t="shared" si="13"/>
        <v>3.95</v>
      </c>
      <c r="L26" s="7">
        <f t="shared" si="1"/>
        <v>0</v>
      </c>
      <c r="M26" s="7">
        <f t="shared" si="1"/>
        <v>0</v>
      </c>
      <c r="N26" s="13">
        <f t="shared" si="7"/>
        <v>0</v>
      </c>
      <c r="O26" s="12">
        <f t="shared" si="8"/>
        <v>0</v>
      </c>
      <c r="Q26" s="700">
        <v>7</v>
      </c>
      <c r="R26" s="3"/>
      <c r="S26" s="3"/>
      <c r="T26" s="740">
        <f t="shared" si="14"/>
        <v>0</v>
      </c>
      <c r="U26" s="903">
        <f t="shared" si="9"/>
        <v>0.7</v>
      </c>
      <c r="V26" s="740">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00">
        <v>8</v>
      </c>
      <c r="C27" s="738">
        <f>D13</f>
        <v>0</v>
      </c>
      <c r="D27" s="3"/>
      <c r="E27" s="740">
        <f t="shared" si="12"/>
        <v>0</v>
      </c>
      <c r="F27" s="741">
        <f>0.7*(温度条件他根拠!$F$7-温度条件他根拠!$F$9)/(温度条件他根拠!$F$7-28)</f>
        <v>0.7</v>
      </c>
      <c r="G27" s="740">
        <v>0</v>
      </c>
      <c r="H27" s="7">
        <f t="shared" si="5"/>
        <v>0</v>
      </c>
      <c r="I27" s="7">
        <f t="shared" si="6"/>
        <v>0</v>
      </c>
      <c r="J27" s="2">
        <f t="shared" si="13"/>
        <v>3.55</v>
      </c>
      <c r="K27" s="6">
        <f t="shared" si="13"/>
        <v>3.95</v>
      </c>
      <c r="L27" s="7">
        <f t="shared" si="1"/>
        <v>0</v>
      </c>
      <c r="M27" s="7">
        <f t="shared" si="1"/>
        <v>0</v>
      </c>
      <c r="N27" s="13">
        <f t="shared" si="7"/>
        <v>0</v>
      </c>
      <c r="O27" s="12">
        <f t="shared" si="8"/>
        <v>0</v>
      </c>
      <c r="Q27" s="700">
        <v>8</v>
      </c>
      <c r="R27" s="738">
        <f>E8*D12</f>
        <v>0</v>
      </c>
      <c r="S27" s="3"/>
      <c r="T27" s="740">
        <f t="shared" si="14"/>
        <v>0</v>
      </c>
      <c r="U27" s="903">
        <f t="shared" si="9"/>
        <v>0.7</v>
      </c>
      <c r="V27" s="740">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00">
        <v>9</v>
      </c>
      <c r="C28" s="3"/>
      <c r="D28" s="3"/>
      <c r="E28" s="740">
        <f t="shared" si="12"/>
        <v>0</v>
      </c>
      <c r="F28" s="741">
        <f>0.7*(温度条件他根拠!$F$7-温度条件他根拠!$F$9)/(温度条件他根拠!$F$7-25.9)</f>
        <v>0.39374999999999982</v>
      </c>
      <c r="G28" s="740">
        <v>0</v>
      </c>
      <c r="H28" s="7">
        <f t="shared" si="5"/>
        <v>0</v>
      </c>
      <c r="I28" s="7">
        <f t="shared" si="6"/>
        <v>0</v>
      </c>
      <c r="J28" s="2">
        <f t="shared" si="13"/>
        <v>3.55</v>
      </c>
      <c r="K28" s="6">
        <f t="shared" si="13"/>
        <v>3.95</v>
      </c>
      <c r="L28" s="7">
        <f t="shared" si="1"/>
        <v>0</v>
      </c>
      <c r="M28" s="7">
        <f t="shared" si="1"/>
        <v>0</v>
      </c>
      <c r="N28" s="13">
        <f t="shared" si="7"/>
        <v>0</v>
      </c>
      <c r="O28" s="12">
        <f t="shared" si="8"/>
        <v>0</v>
      </c>
      <c r="Q28" s="700">
        <v>9</v>
      </c>
      <c r="R28" s="3"/>
      <c r="S28" s="3"/>
      <c r="T28" s="740">
        <f t="shared" si="14"/>
        <v>0</v>
      </c>
      <c r="U28" s="903">
        <f t="shared" si="9"/>
        <v>0.39374999999999982</v>
      </c>
      <c r="V28" s="740">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00">
        <v>10</v>
      </c>
      <c r="C29" s="3"/>
      <c r="D29" s="3"/>
      <c r="E29" s="740">
        <f t="shared" si="12"/>
        <v>0</v>
      </c>
      <c r="F29" s="741">
        <f>0.175*(温度条件他根拠!$F$7-温度条件他根拠!$F$9)/(温度条件他根拠!$F$7-20.5)</f>
        <v>4.6323529411764694E-2</v>
      </c>
      <c r="G29" s="741">
        <f>0.2*(温度条件他根拠!$F$10-10.5)/(温度条件他根拠!$F$10-温度条件他根拠!$F$8)</f>
        <v>7.8512396694214878E-2</v>
      </c>
      <c r="H29" s="738">
        <f>$C$27*E29*F29/1000</f>
        <v>0</v>
      </c>
      <c r="I29" s="738">
        <f>G29*E29*$D$20/1000</f>
        <v>0</v>
      </c>
      <c r="J29" s="2">
        <f t="shared" si="13"/>
        <v>3.55</v>
      </c>
      <c r="K29" s="6">
        <f t="shared" si="13"/>
        <v>3.95</v>
      </c>
      <c r="L29" s="7">
        <f t="shared" si="1"/>
        <v>0</v>
      </c>
      <c r="M29" s="7">
        <f t="shared" si="1"/>
        <v>0</v>
      </c>
      <c r="N29" s="13">
        <f t="shared" si="7"/>
        <v>0</v>
      </c>
      <c r="O29" s="12">
        <f t="shared" si="8"/>
        <v>0</v>
      </c>
      <c r="Q29" s="700">
        <v>10</v>
      </c>
      <c r="R29" s="3"/>
      <c r="S29" s="3"/>
      <c r="T29" s="740">
        <f t="shared" si="14"/>
        <v>0</v>
      </c>
      <c r="U29" s="903">
        <f t="shared" si="9"/>
        <v>4.6323529411764694E-2</v>
      </c>
      <c r="V29" s="903">
        <f t="shared" si="9"/>
        <v>7.8512396694214878E-2</v>
      </c>
      <c r="W29" s="738">
        <f>($R$27*T29*U29/1000)</f>
        <v>0</v>
      </c>
      <c r="X29" s="738">
        <f>(V29*T29*$S$20/1000)</f>
        <v>0</v>
      </c>
      <c r="Y29" s="2">
        <f t="shared" si="15"/>
        <v>3.55</v>
      </c>
      <c r="Z29" s="6">
        <f t="shared" si="15"/>
        <v>3.95</v>
      </c>
      <c r="AA29" s="7">
        <f t="shared" si="4"/>
        <v>0</v>
      </c>
      <c r="AB29" s="7">
        <f t="shared" si="4"/>
        <v>0</v>
      </c>
      <c r="AC29" s="13">
        <f t="shared" si="10"/>
        <v>0</v>
      </c>
      <c r="AD29" s="12">
        <f t="shared" si="11"/>
        <v>0</v>
      </c>
    </row>
    <row r="30" spans="2:30">
      <c r="B30" s="700">
        <v>11</v>
      </c>
      <c r="C30" s="3"/>
      <c r="D30" s="3"/>
      <c r="E30" s="740">
        <f t="shared" si="12"/>
        <v>0</v>
      </c>
      <c r="F30" s="740">
        <v>0</v>
      </c>
      <c r="G30" s="741">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700">
        <v>11</v>
      </c>
      <c r="R30" s="3"/>
      <c r="S30" s="3"/>
      <c r="T30" s="740">
        <f t="shared" si="14"/>
        <v>0</v>
      </c>
      <c r="U30" s="740">
        <f t="shared" si="9"/>
        <v>0</v>
      </c>
      <c r="V30" s="903">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00">
        <v>12</v>
      </c>
      <c r="C31" s="3"/>
      <c r="D31" s="3"/>
      <c r="E31" s="740">
        <f t="shared" si="12"/>
        <v>0</v>
      </c>
      <c r="F31" s="740">
        <v>0</v>
      </c>
      <c r="G31" s="741">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700">
        <v>12</v>
      </c>
      <c r="R31" s="3"/>
      <c r="S31" s="3"/>
      <c r="T31" s="740">
        <f t="shared" si="14"/>
        <v>0</v>
      </c>
      <c r="U31" s="740">
        <f t="shared" si="9"/>
        <v>0</v>
      </c>
      <c r="V31" s="903">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738">
        <f>SUM(E20:E31)</f>
        <v>0</v>
      </c>
      <c r="F32" s="3"/>
      <c r="G32" s="3"/>
      <c r="H32" s="7">
        <f>SUM(H20:H31)</f>
        <v>0</v>
      </c>
      <c r="I32" s="7">
        <f>SUM(I20:I31)</f>
        <v>0</v>
      </c>
      <c r="J32" s="3"/>
      <c r="K32" s="3"/>
      <c r="L32" s="7">
        <f>SUM(L20:L31)</f>
        <v>0</v>
      </c>
      <c r="M32" s="7">
        <f>SUM(M20:M31)</f>
        <v>0</v>
      </c>
      <c r="N32" s="13">
        <f>SUM(N20:N31)</f>
        <v>0</v>
      </c>
      <c r="O32" s="17">
        <f>SUM(O20:O31)</f>
        <v>0</v>
      </c>
      <c r="Q32" s="2" t="s">
        <v>1</v>
      </c>
      <c r="R32" s="3"/>
      <c r="S32" s="3"/>
      <c r="T32" s="738">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1055</v>
      </c>
    </row>
    <row r="57" spans="2:3">
      <c r="B57" s="609">
        <v>43927</v>
      </c>
      <c r="C57" s="608" t="s">
        <v>852</v>
      </c>
    </row>
    <row r="58" spans="2:3">
      <c r="B58" s="609">
        <v>44634</v>
      </c>
      <c r="C58" s="608" t="s">
        <v>1095</v>
      </c>
    </row>
    <row r="59" spans="2:3">
      <c r="C59" s="608" t="s">
        <v>1096</v>
      </c>
    </row>
    <row r="60" spans="2:3">
      <c r="C60" s="1" t="s">
        <v>1097</v>
      </c>
    </row>
    <row r="61" spans="2:3">
      <c r="C61" s="1" t="s">
        <v>1109</v>
      </c>
    </row>
    <row r="62" spans="2:3">
      <c r="C62" s="1" t="s">
        <v>1110</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秩父市外壁遮熱</v>
      </c>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thickBot="1">
      <c r="B13" s="2282"/>
      <c r="C13" s="780" t="s">
        <v>1378</v>
      </c>
      <c r="D13" s="752">
        <f>結果!H38</f>
        <v>0</v>
      </c>
      <c r="E13" s="752">
        <f>結果!J38</f>
        <v>0</v>
      </c>
      <c r="F13" s="752">
        <f>結果!L38</f>
        <v>0</v>
      </c>
      <c r="G13" s="782">
        <f>結果!Q38</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ht="13" customHeight="1">
      <c r="B16" s="2282"/>
      <c r="C16" s="748" t="str">
        <f t="shared" ref="C16:C32" si="4">C7</f>
        <v>北東</v>
      </c>
      <c r="D16" s="749">
        <f>結果!H72</f>
        <v>0</v>
      </c>
      <c r="E16" s="749">
        <f>結果!J72</f>
        <v>0</v>
      </c>
      <c r="F16" s="749">
        <f>結果!L72</f>
        <v>0</v>
      </c>
      <c r="G16" s="750">
        <f>結果!Q72</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4"/>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4"/>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4"/>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4"/>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4"/>
        <v>北西</v>
      </c>
      <c r="D22" s="752">
        <f>結果!H78</f>
        <v>0</v>
      </c>
      <c r="E22" s="752">
        <f>結果!J78</f>
        <v>0</v>
      </c>
      <c r="F22" s="752">
        <f>結果!L78</f>
        <v>0</v>
      </c>
      <c r="G22" s="753">
        <f>結果!Q78</f>
        <v>0</v>
      </c>
      <c r="H22" s="912"/>
      <c r="I22" s="912"/>
      <c r="J22" s="2291"/>
      <c r="K22" s="2264"/>
      <c r="L22" s="2264"/>
      <c r="M22" s="798"/>
      <c r="N22" s="2264"/>
      <c r="O22" s="2264"/>
      <c r="P22" s="2264"/>
    </row>
    <row r="23" spans="2:16" ht="13.5"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5"/>
      <c r="C34" s="796"/>
      <c r="D34" s="797"/>
      <c r="E34" s="796"/>
      <c r="F34" s="796"/>
      <c r="G34" s="797"/>
      <c r="H34" s="796"/>
      <c r="I34" s="796"/>
      <c r="J34" s="796"/>
      <c r="K34" s="796"/>
      <c r="L34" s="796"/>
      <c r="M34" s="798"/>
      <c r="N34" s="798"/>
      <c r="O34" s="798"/>
      <c r="P34" s="799"/>
      <c r="Q34" s="799"/>
      <c r="R34" s="799"/>
      <c r="S34" s="799"/>
      <c r="T34" s="799"/>
      <c r="U34" s="799"/>
      <c r="V34" s="799"/>
      <c r="W34" s="799"/>
      <c r="X34" s="799"/>
      <c r="Y34" s="799"/>
      <c r="Z34" s="799"/>
      <c r="AA34" s="799"/>
      <c r="AB34" s="799"/>
      <c r="AC34" s="799"/>
    </row>
    <row r="35" spans="2:30">
      <c r="B35" s="795"/>
      <c r="C35" s="796"/>
      <c r="D35" s="797"/>
      <c r="E35" s="796"/>
      <c r="F35" s="796"/>
      <c r="G35" s="797"/>
      <c r="H35" s="796"/>
      <c r="I35" s="796"/>
      <c r="J35" s="796"/>
      <c r="K35" s="796"/>
      <c r="L35" s="796"/>
      <c r="M35" s="798"/>
      <c r="N35" s="798"/>
      <c r="O35" s="798"/>
      <c r="P35" s="799"/>
      <c r="Q35" s="799"/>
      <c r="R35" s="799"/>
      <c r="S35" s="799"/>
      <c r="T35" s="799"/>
      <c r="U35" s="799"/>
      <c r="V35" s="799"/>
      <c r="W35" s="799"/>
      <c r="X35" s="799"/>
      <c r="Y35" s="799"/>
      <c r="Z35" s="799"/>
      <c r="AA35" s="799"/>
      <c r="AB35" s="799"/>
      <c r="AC35" s="799"/>
    </row>
    <row r="36" spans="2:30">
      <c r="B36" s="795"/>
      <c r="C36" s="796"/>
      <c r="D36" s="797"/>
      <c r="E36" s="796"/>
      <c r="F36" s="796"/>
      <c r="G36" s="797"/>
      <c r="H36" s="796"/>
      <c r="I36" s="796"/>
      <c r="J36" s="796"/>
      <c r="K36" s="796"/>
      <c r="L36" s="796"/>
      <c r="M36" s="798"/>
      <c r="N36" s="798"/>
      <c r="O36" s="798"/>
      <c r="P36" s="799"/>
      <c r="Q36" s="799"/>
      <c r="R36" s="799"/>
      <c r="S36" s="799"/>
      <c r="T36" s="799"/>
      <c r="U36" s="799"/>
      <c r="V36" s="799"/>
      <c r="W36" s="799"/>
      <c r="X36" s="799"/>
      <c r="Y36" s="799"/>
      <c r="Z36" s="799"/>
      <c r="AA36" s="799"/>
      <c r="AB36" s="799"/>
      <c r="AC36" s="799"/>
    </row>
    <row r="37" spans="2:30">
      <c r="B37" s="795"/>
      <c r="C37" s="796"/>
      <c r="D37" s="797"/>
      <c r="E37" s="796"/>
      <c r="F37" s="796"/>
      <c r="G37" s="797"/>
      <c r="H37" s="796"/>
      <c r="I37" s="796"/>
      <c r="J37" s="796"/>
      <c r="K37" s="796"/>
      <c r="L37" s="796"/>
      <c r="M37" s="798"/>
      <c r="N37" s="798"/>
      <c r="O37" s="798"/>
      <c r="P37" s="799"/>
      <c r="Q37" s="799"/>
      <c r="R37" s="799"/>
      <c r="S37" s="799"/>
      <c r="T37" s="799"/>
      <c r="U37" s="799"/>
      <c r="V37" s="799"/>
      <c r="W37" s="799"/>
      <c r="X37" s="799"/>
      <c r="Y37" s="799"/>
      <c r="Z37" s="799"/>
      <c r="AA37" s="799"/>
      <c r="AB37" s="799"/>
      <c r="AC37" s="799"/>
    </row>
    <row r="38" spans="2:30">
      <c r="B38" s="795"/>
      <c r="C38" s="796"/>
      <c r="D38" s="797"/>
      <c r="E38" s="796"/>
      <c r="F38" s="796"/>
      <c r="G38" s="797"/>
      <c r="H38" s="796"/>
      <c r="I38" s="796"/>
      <c r="J38" s="796"/>
      <c r="K38" s="796"/>
      <c r="L38" s="796"/>
      <c r="M38" s="798"/>
      <c r="N38" s="798"/>
      <c r="O38" s="798"/>
      <c r="P38" s="799"/>
      <c r="Q38" s="799"/>
      <c r="R38" s="799"/>
      <c r="S38" s="799"/>
      <c r="T38" s="799"/>
      <c r="U38" s="799"/>
      <c r="V38" s="799"/>
      <c r="W38" s="799"/>
      <c r="X38" s="799"/>
      <c r="Y38" s="799"/>
      <c r="Z38" s="799"/>
      <c r="AA38" s="799"/>
      <c r="AB38" s="799"/>
      <c r="AC38" s="799"/>
    </row>
    <row r="39" spans="2:30">
      <c r="B39" s="795"/>
      <c r="C39" s="796"/>
      <c r="D39" s="797"/>
      <c r="E39" s="796"/>
      <c r="F39" s="796"/>
      <c r="G39" s="797"/>
      <c r="H39" s="796"/>
      <c r="I39" s="796"/>
      <c r="J39" s="796"/>
      <c r="K39" s="796"/>
      <c r="L39" s="796"/>
      <c r="M39" s="798"/>
      <c r="N39" s="798"/>
      <c r="O39" s="798"/>
      <c r="P39" s="799"/>
      <c r="Q39" s="799"/>
      <c r="R39" s="799"/>
      <c r="S39" s="799"/>
      <c r="T39" s="799"/>
      <c r="U39" s="799"/>
      <c r="V39" s="799"/>
      <c r="W39" s="799"/>
      <c r="X39" s="799"/>
      <c r="Y39" s="799"/>
      <c r="Z39" s="799"/>
      <c r="AA39" s="799"/>
      <c r="AB39" s="799"/>
      <c r="AC39" s="799"/>
    </row>
    <row r="40" spans="2:30">
      <c r="B40" s="795"/>
      <c r="C40" s="796"/>
      <c r="D40" s="797"/>
      <c r="E40" s="796"/>
      <c r="F40" s="796"/>
      <c r="G40" s="797"/>
      <c r="H40" s="796"/>
      <c r="I40" s="796"/>
      <c r="J40" s="796"/>
      <c r="K40" s="796"/>
      <c r="L40" s="796"/>
      <c r="M40" s="798"/>
      <c r="N40" s="798"/>
      <c r="O40" s="798"/>
      <c r="P40" s="799"/>
      <c r="Q40" s="799"/>
      <c r="R40" s="799"/>
      <c r="S40" s="799"/>
      <c r="T40" s="799"/>
      <c r="U40" s="799"/>
      <c r="V40" s="799"/>
      <c r="W40" s="799"/>
      <c r="X40" s="799"/>
      <c r="Y40" s="799"/>
      <c r="Z40" s="799"/>
      <c r="AA40" s="799"/>
      <c r="AB40" s="799"/>
      <c r="AC40" s="799"/>
    </row>
    <row r="41" spans="2:30">
      <c r="B41" s="795"/>
      <c r="C41" s="796"/>
      <c r="D41" s="797"/>
      <c r="E41" s="796"/>
      <c r="F41" s="796"/>
      <c r="G41" s="797"/>
      <c r="H41" s="796"/>
      <c r="I41" s="796"/>
      <c r="J41" s="796"/>
      <c r="K41" s="796"/>
      <c r="L41" s="796"/>
      <c r="M41" s="798"/>
      <c r="N41" s="798"/>
      <c r="O41" s="798"/>
      <c r="P41" s="799"/>
      <c r="Q41" s="799"/>
      <c r="R41" s="799"/>
      <c r="S41" s="799"/>
      <c r="T41" s="799"/>
      <c r="U41" s="799"/>
      <c r="V41" s="799"/>
      <c r="W41" s="799"/>
      <c r="X41" s="799"/>
      <c r="Y41" s="799"/>
      <c r="Z41" s="799"/>
      <c r="AA41" s="799"/>
      <c r="AB41" s="799"/>
      <c r="AC41" s="799"/>
    </row>
    <row r="42" spans="2:30">
      <c r="B42" s="795"/>
      <c r="C42" s="796"/>
      <c r="D42" s="797"/>
      <c r="E42" s="796"/>
      <c r="F42" s="796"/>
      <c r="G42" s="797"/>
      <c r="H42" s="796"/>
      <c r="I42" s="796"/>
      <c r="J42" s="796"/>
      <c r="K42" s="796"/>
      <c r="L42" s="796"/>
      <c r="M42" s="798"/>
      <c r="N42" s="798"/>
      <c r="O42" s="798"/>
      <c r="P42" s="799"/>
      <c r="Q42" s="799"/>
      <c r="R42" s="799"/>
      <c r="S42" s="799"/>
      <c r="T42" s="799"/>
      <c r="U42" s="799"/>
      <c r="V42" s="799"/>
      <c r="W42" s="799"/>
      <c r="X42" s="799"/>
      <c r="Y42" s="799"/>
      <c r="Z42" s="799"/>
      <c r="AA42" s="799"/>
      <c r="AB42" s="799"/>
      <c r="AC42" s="799"/>
    </row>
    <row r="43" spans="2:30">
      <c r="B43" s="795"/>
      <c r="C43" s="796"/>
      <c r="D43" s="797"/>
      <c r="E43" s="796"/>
      <c r="F43" s="796"/>
      <c r="G43" s="797"/>
      <c r="H43" s="796"/>
      <c r="I43" s="796"/>
      <c r="J43" s="796"/>
      <c r="K43" s="796"/>
      <c r="L43" s="796"/>
      <c r="M43" s="798"/>
      <c r="N43" s="798"/>
      <c r="O43" s="798"/>
      <c r="P43" s="799"/>
      <c r="Q43" s="799"/>
      <c r="R43" s="799"/>
      <c r="S43" s="799"/>
      <c r="T43" s="799"/>
      <c r="U43" s="799"/>
      <c r="V43" s="799"/>
      <c r="W43" s="799"/>
      <c r="X43" s="799"/>
      <c r="Y43" s="799"/>
      <c r="Z43" s="799"/>
      <c r="AA43" s="799"/>
      <c r="AB43" s="799"/>
      <c r="AC43" s="799"/>
    </row>
    <row r="44" spans="2:30">
      <c r="B44" s="795"/>
      <c r="C44" s="796"/>
      <c r="D44" s="797"/>
      <c r="E44" s="796"/>
      <c r="F44" s="796"/>
      <c r="G44" s="797"/>
      <c r="H44" s="796"/>
      <c r="I44" s="796"/>
      <c r="J44" s="796"/>
      <c r="K44" s="796"/>
      <c r="L44" s="796"/>
      <c r="M44" s="798"/>
      <c r="N44" s="798"/>
      <c r="O44" s="798"/>
      <c r="P44" s="799"/>
      <c r="Q44" s="799"/>
      <c r="R44" s="799"/>
      <c r="S44" s="799"/>
      <c r="T44" s="799"/>
      <c r="U44" s="799"/>
      <c r="V44" s="799"/>
      <c r="W44" s="799"/>
      <c r="X44" s="799"/>
      <c r="Y44" s="799"/>
      <c r="Z44" s="799"/>
      <c r="AA44" s="799"/>
      <c r="AB44" s="799"/>
      <c r="AC44" s="799"/>
    </row>
    <row r="45" spans="2:30">
      <c r="B45" s="1205" t="s">
        <v>183</v>
      </c>
      <c r="C45" s="1205"/>
      <c r="D45" s="1205"/>
      <c r="E45" s="1205"/>
      <c r="F45" s="1205"/>
      <c r="G45" s="1205"/>
      <c r="H45" s="1205"/>
      <c r="I45" s="1205"/>
      <c r="J45" s="1205"/>
      <c r="K45" s="1205"/>
      <c r="L45" s="1205"/>
      <c r="M45" s="1205"/>
      <c r="N45" s="1205"/>
      <c r="O45" s="1205"/>
    </row>
    <row r="46" spans="2:30" ht="36">
      <c r="B46" s="554" t="s">
        <v>0</v>
      </c>
      <c r="C46" s="716" t="s">
        <v>1093</v>
      </c>
      <c r="D46" s="716" t="s">
        <v>1094</v>
      </c>
      <c r="E46" s="716" t="s">
        <v>1092</v>
      </c>
      <c r="F46" s="20" t="s">
        <v>42</v>
      </c>
      <c r="G46" s="20" t="s">
        <v>43</v>
      </c>
      <c r="H46" s="18" t="s">
        <v>35</v>
      </c>
      <c r="I46" s="18" t="s">
        <v>36</v>
      </c>
      <c r="J46" s="20" t="s">
        <v>2</v>
      </c>
      <c r="K46" s="20" t="s">
        <v>3</v>
      </c>
      <c r="L46" s="20" t="s">
        <v>39</v>
      </c>
      <c r="M46" s="20" t="s">
        <v>38</v>
      </c>
      <c r="N46" s="20" t="s">
        <v>37</v>
      </c>
      <c r="O46" s="20" t="s">
        <v>44</v>
      </c>
      <c r="Q46" s="554" t="s">
        <v>0</v>
      </c>
      <c r="R46" s="919" t="s">
        <v>1367</v>
      </c>
      <c r="S46" s="919" t="s">
        <v>1368</v>
      </c>
      <c r="T46" s="916" t="s">
        <v>1092</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1091</v>
      </c>
      <c r="D48" s="737" t="s">
        <v>1091</v>
      </c>
      <c r="E48" s="737" t="s">
        <v>172</v>
      </c>
      <c r="F48" s="5" t="s">
        <v>10</v>
      </c>
      <c r="G48" s="5" t="s">
        <v>10</v>
      </c>
      <c r="H48" s="5" t="s">
        <v>27</v>
      </c>
      <c r="I48" s="5" t="s">
        <v>27</v>
      </c>
      <c r="J48" s="5" t="s">
        <v>10</v>
      </c>
      <c r="K48" s="5" t="s">
        <v>10</v>
      </c>
      <c r="L48" s="5" t="s">
        <v>27</v>
      </c>
      <c r="M48" s="5" t="s">
        <v>27</v>
      </c>
      <c r="N48" s="5" t="s">
        <v>27</v>
      </c>
      <c r="O48" s="553" t="s">
        <v>31</v>
      </c>
      <c r="Q48" s="553" t="s">
        <v>15</v>
      </c>
      <c r="R48" s="737" t="s">
        <v>1091</v>
      </c>
      <c r="S48" s="737" t="s">
        <v>1091</v>
      </c>
      <c r="T48" s="737" t="s">
        <v>172</v>
      </c>
      <c r="U48" s="5" t="s">
        <v>10</v>
      </c>
      <c r="V48" s="5" t="s">
        <v>10</v>
      </c>
      <c r="W48" s="5" t="s">
        <v>27</v>
      </c>
      <c r="X48" s="5" t="s">
        <v>27</v>
      </c>
      <c r="Y48" s="5" t="s">
        <v>10</v>
      </c>
      <c r="Z48" s="5" t="s">
        <v>10</v>
      </c>
      <c r="AA48" s="5" t="s">
        <v>27</v>
      </c>
      <c r="AB48" s="5" t="s">
        <v>27</v>
      </c>
      <c r="AC48" s="5" t="s">
        <v>27</v>
      </c>
      <c r="AD48" s="553" t="s">
        <v>31</v>
      </c>
    </row>
    <row r="49" spans="2:30">
      <c r="B49" s="553">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738">
        <f>P14</f>
        <v>0</v>
      </c>
      <c r="T49" s="739">
        <f>温度条件他根拠!E21</f>
        <v>0</v>
      </c>
      <c r="U49" s="740">
        <f>F49</f>
        <v>0</v>
      </c>
      <c r="V49" s="920">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740">
        <f>E49</f>
        <v>0</v>
      </c>
      <c r="F50" s="740">
        <v>0</v>
      </c>
      <c r="G50" s="741">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740">
        <f>T49</f>
        <v>0</v>
      </c>
      <c r="U50" s="740">
        <f t="shared" ref="U50:V60" si="21">F50</f>
        <v>0</v>
      </c>
      <c r="V50" s="920">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740">
        <f t="shared" ref="E51:E60" si="24">E50</f>
        <v>0</v>
      </c>
      <c r="F51" s="740">
        <v>0</v>
      </c>
      <c r="G51" s="741">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740">
        <f t="shared" ref="T51:T60" si="26">T50</f>
        <v>0</v>
      </c>
      <c r="U51" s="740">
        <f t="shared" si="21"/>
        <v>0</v>
      </c>
      <c r="V51" s="920">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740">
        <f t="shared" si="24"/>
        <v>0</v>
      </c>
      <c r="F52" s="740">
        <v>0</v>
      </c>
      <c r="G52" s="741">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740">
        <f t="shared" si="26"/>
        <v>0</v>
      </c>
      <c r="U52" s="740">
        <f t="shared" si="21"/>
        <v>0</v>
      </c>
      <c r="V52" s="920">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740">
        <f t="shared" si="24"/>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5"/>
        <v>3.55</v>
      </c>
      <c r="K53" s="6">
        <f t="shared" si="25"/>
        <v>3.95</v>
      </c>
      <c r="L53" s="7">
        <f t="shared" si="13"/>
        <v>0</v>
      </c>
      <c r="M53" s="7">
        <f t="shared" si="13"/>
        <v>0</v>
      </c>
      <c r="N53" s="13">
        <f t="shared" si="19"/>
        <v>0</v>
      </c>
      <c r="O53" s="12">
        <f t="shared" si="20"/>
        <v>0</v>
      </c>
      <c r="Q53" s="553">
        <v>5</v>
      </c>
      <c r="R53" s="3"/>
      <c r="S53" s="3"/>
      <c r="T53" s="740">
        <f t="shared" si="26"/>
        <v>0</v>
      </c>
      <c r="U53" s="920">
        <f t="shared" si="21"/>
        <v>6.2171052631578946E-2</v>
      </c>
      <c r="V53" s="920">
        <f t="shared" si="21"/>
        <v>7.2727272727272738E-2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740">
        <f t="shared" si="24"/>
        <v>0</v>
      </c>
      <c r="F54" s="741">
        <f>0.7*(温度条件他根拠!$F$7-温度条件他根拠!$F$9)/(温度条件他根拠!$F$7-25.5)</f>
        <v>0.36346153846153839</v>
      </c>
      <c r="G54" s="740">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740">
        <f t="shared" si="26"/>
        <v>0</v>
      </c>
      <c r="U54" s="920">
        <f t="shared" si="21"/>
        <v>0.36346153846153839</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740">
        <f t="shared" si="24"/>
        <v>0</v>
      </c>
      <c r="F55" s="741">
        <f>0.7*(温度条件他根拠!$F$7-温度条件他根拠!$F$9)/(温度条件他根拠!$F$7-28)</f>
        <v>0.7</v>
      </c>
      <c r="G55" s="740">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740">
        <f t="shared" si="26"/>
        <v>0</v>
      </c>
      <c r="U55" s="920">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738">
        <f>L32</f>
        <v>0</v>
      </c>
      <c r="D56" s="3"/>
      <c r="E56" s="740">
        <f t="shared" si="24"/>
        <v>0</v>
      </c>
      <c r="F56" s="741">
        <f>0.7*(温度条件他根拠!$F$7-温度条件他根拠!$F$9)/(温度条件他根拠!$F$7-28)</f>
        <v>0.7</v>
      </c>
      <c r="G56" s="740">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738">
        <f>L14</f>
        <v>0</v>
      </c>
      <c r="S56" s="3"/>
      <c r="T56" s="740">
        <f t="shared" si="26"/>
        <v>0</v>
      </c>
      <c r="U56" s="920">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740">
        <f t="shared" si="24"/>
        <v>0</v>
      </c>
      <c r="F57" s="741">
        <f>0.7*(温度条件他根拠!$F$7-温度条件他根拠!$F$9)/(温度条件他根拠!$F$7-25.9)</f>
        <v>0.39374999999999982</v>
      </c>
      <c r="G57" s="740">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740">
        <f t="shared" si="26"/>
        <v>0</v>
      </c>
      <c r="U57" s="920">
        <f t="shared" si="21"/>
        <v>0.39374999999999982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740">
        <f t="shared" si="24"/>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5"/>
        <v>3.55</v>
      </c>
      <c r="K58" s="6">
        <f t="shared" si="25"/>
        <v>3.95</v>
      </c>
      <c r="L58" s="7">
        <f t="shared" si="13"/>
        <v>0</v>
      </c>
      <c r="M58" s="7">
        <f t="shared" si="13"/>
        <v>0</v>
      </c>
      <c r="N58" s="13">
        <f t="shared" si="19"/>
        <v>0</v>
      </c>
      <c r="O58" s="12">
        <f t="shared" si="20"/>
        <v>0</v>
      </c>
      <c r="Q58" s="553">
        <v>10</v>
      </c>
      <c r="R58" s="3"/>
      <c r="S58" s="3"/>
      <c r="T58" s="740">
        <f t="shared" si="26"/>
        <v>0</v>
      </c>
      <c r="U58" s="920">
        <f t="shared" si="21"/>
        <v>4.6323529411764694E-2</v>
      </c>
      <c r="V58" s="920">
        <f t="shared" si="21"/>
        <v>7.8512396694214878E-2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740">
        <f t="shared" si="24"/>
        <v>0</v>
      </c>
      <c r="F59" s="740">
        <v>0</v>
      </c>
      <c r="G59" s="741">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740">
        <f t="shared" si="26"/>
        <v>0</v>
      </c>
      <c r="U59" s="740">
        <f t="shared" si="21"/>
        <v>0</v>
      </c>
      <c r="V59" s="920">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740">
        <f t="shared" si="24"/>
        <v>0</v>
      </c>
      <c r="F60" s="740">
        <v>0</v>
      </c>
      <c r="G60" s="741">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740">
        <f t="shared" si="26"/>
        <v>0</v>
      </c>
      <c r="U60" s="740">
        <f t="shared" si="21"/>
        <v>0</v>
      </c>
      <c r="V60" s="920">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秩父市外壁断熱</v>
      </c>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結果!H31</f>
        <v>0</v>
      </c>
      <c r="E6" s="784">
        <f>結果!J31</f>
        <v>0</v>
      </c>
      <c r="F6" s="784">
        <f>結果!L31</f>
        <v>0</v>
      </c>
      <c r="G6" s="785">
        <f>結果!Q31</f>
        <v>0</v>
      </c>
      <c r="H6" s="796"/>
      <c r="I6" s="796"/>
      <c r="J6" s="1021">
        <f>IF(D32&gt;=D33,D6,IF(E32&gt;=D33,E6,F6))</f>
        <v>0</v>
      </c>
      <c r="K6" s="759">
        <f>K24</f>
        <v>0</v>
      </c>
      <c r="L6" s="761">
        <f>K6*J6</f>
        <v>0</v>
      </c>
      <c r="M6" s="798"/>
      <c r="N6" s="762">
        <f>G6</f>
        <v>0</v>
      </c>
      <c r="O6" s="760">
        <f>K6</f>
        <v>0</v>
      </c>
      <c r="P6" s="761">
        <f>O6*N6</f>
        <v>0</v>
      </c>
    </row>
    <row r="7" spans="2:16">
      <c r="B7" s="2282"/>
      <c r="C7" s="779" t="s">
        <v>1372</v>
      </c>
      <c r="D7" s="749">
        <f>結果!H32</f>
        <v>0</v>
      </c>
      <c r="E7" s="749">
        <f>結果!J32</f>
        <v>0</v>
      </c>
      <c r="F7" s="749">
        <f>結果!L32</f>
        <v>0</v>
      </c>
      <c r="G7" s="781">
        <f>結果!Q32</f>
        <v>0</v>
      </c>
      <c r="H7" s="796"/>
      <c r="I7" s="796"/>
      <c r="J7" s="1022">
        <f>IF(D32&gt;=D33,D7,IF(E32&gt;=D33,E7,F7))</f>
        <v>0</v>
      </c>
      <c r="K7" s="764">
        <f>K25</f>
        <v>0</v>
      </c>
      <c r="L7" s="766">
        <f t="shared" ref="L7:L13" si="0">K7*J7</f>
        <v>0</v>
      </c>
      <c r="M7" s="798"/>
      <c r="N7" s="767">
        <f>G7</f>
        <v>0</v>
      </c>
      <c r="O7" s="765">
        <f>K7</f>
        <v>0</v>
      </c>
      <c r="P7" s="766">
        <f t="shared" ref="P7:P13" si="1">O7*N7</f>
        <v>0</v>
      </c>
    </row>
    <row r="8" spans="2:16">
      <c r="B8" s="2282"/>
      <c r="C8" s="779" t="s">
        <v>1373</v>
      </c>
      <c r="D8" s="749">
        <f>結果!H33</f>
        <v>0</v>
      </c>
      <c r="E8" s="749">
        <f>結果!J33</f>
        <v>0</v>
      </c>
      <c r="F8" s="749">
        <f>結果!L33</f>
        <v>0</v>
      </c>
      <c r="G8" s="781">
        <f>結果!Q33</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6">
      <c r="B9" s="2282"/>
      <c r="C9" s="779" t="s">
        <v>1374</v>
      </c>
      <c r="D9" s="749">
        <f>結果!H34</f>
        <v>0</v>
      </c>
      <c r="E9" s="749">
        <f>結果!J34</f>
        <v>0</v>
      </c>
      <c r="F9" s="749">
        <f>結果!L34</f>
        <v>0</v>
      </c>
      <c r="G9" s="781">
        <f>結果!Q34</f>
        <v>0</v>
      </c>
      <c r="H9" s="796"/>
      <c r="I9" s="796"/>
      <c r="J9" s="1022">
        <f>IF(D32&gt;=D33,D9,IF(E32&gt;=D33,E9,F9))</f>
        <v>0</v>
      </c>
      <c r="K9" s="764">
        <f t="shared" si="2"/>
        <v>0</v>
      </c>
      <c r="L9" s="766">
        <f t="shared" si="0"/>
        <v>0</v>
      </c>
      <c r="M9" s="798"/>
      <c r="N9" s="767">
        <f t="shared" si="3"/>
        <v>0</v>
      </c>
      <c r="O9" s="765">
        <f t="shared" si="4"/>
        <v>0</v>
      </c>
      <c r="P9" s="766">
        <f t="shared" si="1"/>
        <v>0</v>
      </c>
    </row>
    <row r="10" spans="2:16">
      <c r="B10" s="2282"/>
      <c r="C10" s="779" t="s">
        <v>1375</v>
      </c>
      <c r="D10" s="749">
        <f>結果!H35</f>
        <v>0</v>
      </c>
      <c r="E10" s="749">
        <f>結果!J35</f>
        <v>0</v>
      </c>
      <c r="F10" s="749">
        <f>結果!L35</f>
        <v>0</v>
      </c>
      <c r="G10" s="781">
        <f>結果!Q35</f>
        <v>0</v>
      </c>
      <c r="H10" s="796"/>
      <c r="I10" s="796"/>
      <c r="J10" s="1022">
        <f>IF(D32&gt;=D33,D10,IF(E32&gt;=D33,E10,F10))</f>
        <v>0</v>
      </c>
      <c r="K10" s="764">
        <f t="shared" si="2"/>
        <v>0</v>
      </c>
      <c r="L10" s="766">
        <f t="shared" si="0"/>
        <v>0</v>
      </c>
      <c r="M10" s="798"/>
      <c r="N10" s="767">
        <f t="shared" si="3"/>
        <v>0</v>
      </c>
      <c r="O10" s="764">
        <f t="shared" si="4"/>
        <v>0</v>
      </c>
      <c r="P10" s="766">
        <f t="shared" si="1"/>
        <v>0</v>
      </c>
    </row>
    <row r="11" spans="2:16">
      <c r="B11" s="2282"/>
      <c r="C11" s="779" t="s">
        <v>1376</v>
      </c>
      <c r="D11" s="749">
        <f>結果!H36</f>
        <v>0</v>
      </c>
      <c r="E11" s="749">
        <f>結果!J36</f>
        <v>0</v>
      </c>
      <c r="F11" s="749">
        <f>結果!L36</f>
        <v>0</v>
      </c>
      <c r="G11" s="781">
        <f>結果!Q36</f>
        <v>0</v>
      </c>
      <c r="H11" s="796"/>
      <c r="I11" s="796"/>
      <c r="J11" s="1022">
        <f>IF(D32&gt;=D33,D11,IF(E32&gt;=D33,E11,F11))</f>
        <v>0</v>
      </c>
      <c r="K11" s="764">
        <f t="shared" si="2"/>
        <v>0</v>
      </c>
      <c r="L11" s="766">
        <f t="shared" si="0"/>
        <v>0</v>
      </c>
      <c r="M11" s="798"/>
      <c r="N11" s="767">
        <f t="shared" si="3"/>
        <v>0</v>
      </c>
      <c r="O11" s="765">
        <f t="shared" si="4"/>
        <v>0</v>
      </c>
      <c r="P11" s="766">
        <f t="shared" si="1"/>
        <v>0</v>
      </c>
    </row>
    <row r="12" spans="2:16">
      <c r="B12" s="2282"/>
      <c r="C12" s="779" t="s">
        <v>1377</v>
      </c>
      <c r="D12" s="749">
        <f>結果!H37</f>
        <v>0</v>
      </c>
      <c r="E12" s="749">
        <f>結果!J37</f>
        <v>0</v>
      </c>
      <c r="F12" s="749">
        <f>結果!L37</f>
        <v>0</v>
      </c>
      <c r="G12" s="781">
        <f>結果!Q37</f>
        <v>0</v>
      </c>
      <c r="H12" s="796"/>
      <c r="I12" s="796"/>
      <c r="J12" s="1022">
        <f>IF(D32&gt;=D33,D12,IF(E32&gt;=D33,E12,F12))</f>
        <v>0</v>
      </c>
      <c r="K12" s="764">
        <f t="shared" si="2"/>
        <v>0</v>
      </c>
      <c r="L12" s="766">
        <f t="shared" si="0"/>
        <v>0</v>
      </c>
      <c r="M12" s="798"/>
      <c r="N12" s="767">
        <f t="shared" si="3"/>
        <v>0</v>
      </c>
      <c r="O12" s="765">
        <f t="shared" si="4"/>
        <v>0</v>
      </c>
      <c r="P12" s="766">
        <f t="shared" si="1"/>
        <v>0</v>
      </c>
    </row>
    <row r="13" spans="2:16" ht="13.5" thickBot="1">
      <c r="B13" s="2282"/>
      <c r="C13" s="780" t="s">
        <v>1378</v>
      </c>
      <c r="D13" s="752">
        <f>結果!H38</f>
        <v>0</v>
      </c>
      <c r="E13" s="752">
        <f>結果!J38</f>
        <v>0</v>
      </c>
      <c r="F13" s="752">
        <f>結果!L38</f>
        <v>0</v>
      </c>
      <c r="G13" s="782">
        <f>結果!Q38</f>
        <v>0</v>
      </c>
      <c r="H13" s="796"/>
      <c r="I13" s="796"/>
      <c r="J13" s="1023">
        <f>IF(D32&gt;=D33,D13,IF(E32&gt;=D33,E13,F13))</f>
        <v>0</v>
      </c>
      <c r="K13" s="764">
        <f t="shared" si="2"/>
        <v>0</v>
      </c>
      <c r="L13" s="772">
        <f t="shared" si="0"/>
        <v>0</v>
      </c>
      <c r="M13" s="798"/>
      <c r="N13" s="767">
        <f>G13</f>
        <v>0</v>
      </c>
      <c r="O13" s="765">
        <f t="shared" si="4"/>
        <v>0</v>
      </c>
      <c r="P13" s="772">
        <f t="shared" si="1"/>
        <v>0</v>
      </c>
    </row>
    <row r="14" spans="2:16" ht="13.5" customHeight="1" thickBot="1">
      <c r="B14" s="2283"/>
      <c r="C14" s="786" t="s">
        <v>1100</v>
      </c>
      <c r="D14" s="787">
        <f>SUM(D6:D13)</f>
        <v>0</v>
      </c>
      <c r="E14" s="787">
        <f t="shared" ref="E14:G14" si="5">SUM(E6:E13)</f>
        <v>0</v>
      </c>
      <c r="F14" s="787">
        <f t="shared" si="5"/>
        <v>0</v>
      </c>
      <c r="G14" s="788">
        <f t="shared" si="5"/>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結果!H71</f>
        <v>0</v>
      </c>
      <c r="E15" s="746">
        <f>結果!J71</f>
        <v>0</v>
      </c>
      <c r="F15" s="746">
        <f>結果!L71</f>
        <v>0</v>
      </c>
      <c r="G15" s="747">
        <f>結果!Q71</f>
        <v>0</v>
      </c>
      <c r="H15" s="912"/>
      <c r="I15" s="912"/>
      <c r="J15" s="796"/>
      <c r="K15" s="796"/>
      <c r="L15" s="796"/>
      <c r="M15" s="798"/>
      <c r="N15" s="798"/>
      <c r="O15" s="798"/>
      <c r="P15" s="799"/>
    </row>
    <row r="16" spans="2:16">
      <c r="B16" s="2282"/>
      <c r="C16" s="748" t="str">
        <f t="shared" ref="C16:C32" si="6">C7</f>
        <v>北東</v>
      </c>
      <c r="D16" s="749">
        <f>結果!H72</f>
        <v>0</v>
      </c>
      <c r="E16" s="749">
        <f>結果!J72</f>
        <v>0</v>
      </c>
      <c r="F16" s="749">
        <f>結果!L72</f>
        <v>0</v>
      </c>
      <c r="G16" s="750">
        <f>結果!Q72</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結果!H73</f>
        <v>0</v>
      </c>
      <c r="E17" s="749">
        <f>結果!J73</f>
        <v>0</v>
      </c>
      <c r="F17" s="749">
        <f>結果!L73</f>
        <v>0</v>
      </c>
      <c r="G17" s="750">
        <f>結果!Q73</f>
        <v>0</v>
      </c>
      <c r="H17" s="912"/>
      <c r="I17" s="912"/>
      <c r="J17" s="2264"/>
      <c r="K17" s="2264"/>
      <c r="L17" s="2264"/>
      <c r="M17" s="798"/>
      <c r="N17" s="2264"/>
      <c r="O17" s="2264"/>
      <c r="P17" s="2264"/>
    </row>
    <row r="18" spans="2:16">
      <c r="B18" s="2282"/>
      <c r="C18" s="748" t="str">
        <f t="shared" si="6"/>
        <v>南東</v>
      </c>
      <c r="D18" s="749">
        <f>結果!H74</f>
        <v>0</v>
      </c>
      <c r="E18" s="749">
        <f>結果!J74</f>
        <v>0</v>
      </c>
      <c r="F18" s="749">
        <f>結果!L74</f>
        <v>0</v>
      </c>
      <c r="G18" s="750">
        <f>結果!Q74</f>
        <v>0</v>
      </c>
      <c r="H18" s="912"/>
      <c r="I18" s="912"/>
      <c r="J18" s="2264"/>
      <c r="K18" s="2264"/>
      <c r="L18" s="2264"/>
      <c r="M18" s="798"/>
      <c r="N18" s="2264"/>
      <c r="O18" s="2264"/>
      <c r="P18" s="2264"/>
    </row>
    <row r="19" spans="2:16">
      <c r="B19" s="2282"/>
      <c r="C19" s="748" t="str">
        <f t="shared" si="6"/>
        <v>南</v>
      </c>
      <c r="D19" s="749">
        <f>結果!H75</f>
        <v>0</v>
      </c>
      <c r="E19" s="749">
        <f>結果!J75</f>
        <v>0</v>
      </c>
      <c r="F19" s="749">
        <f>結果!L75</f>
        <v>0</v>
      </c>
      <c r="G19" s="750">
        <f>結果!Q75</f>
        <v>0</v>
      </c>
      <c r="H19" s="912"/>
      <c r="I19" s="912"/>
      <c r="J19" s="2264"/>
      <c r="K19" s="2264"/>
      <c r="L19" s="2264"/>
      <c r="M19" s="798"/>
      <c r="N19" s="2264"/>
      <c r="O19" s="2264"/>
      <c r="P19" s="2264"/>
    </row>
    <row r="20" spans="2:16">
      <c r="B20" s="2282"/>
      <c r="C20" s="748" t="str">
        <f t="shared" si="6"/>
        <v>南西</v>
      </c>
      <c r="D20" s="749">
        <f>結果!H76</f>
        <v>0</v>
      </c>
      <c r="E20" s="749">
        <f>結果!J76</f>
        <v>0</v>
      </c>
      <c r="F20" s="749">
        <f>結果!L76</f>
        <v>0</v>
      </c>
      <c r="G20" s="750">
        <f>結果!Q76</f>
        <v>0</v>
      </c>
      <c r="H20" s="912"/>
      <c r="I20" s="912"/>
      <c r="J20" s="2264"/>
      <c r="K20" s="2264"/>
      <c r="L20" s="2264"/>
      <c r="M20" s="798"/>
      <c r="N20" s="2264"/>
      <c r="O20" s="2264"/>
      <c r="P20" s="2264"/>
    </row>
    <row r="21" spans="2:16">
      <c r="B21" s="2282"/>
      <c r="C21" s="748" t="str">
        <f t="shared" si="6"/>
        <v>西</v>
      </c>
      <c r="D21" s="749">
        <f>結果!H77</f>
        <v>0</v>
      </c>
      <c r="E21" s="749">
        <f>結果!J77</f>
        <v>0</v>
      </c>
      <c r="F21" s="749">
        <f>結果!L77</f>
        <v>0</v>
      </c>
      <c r="G21" s="750">
        <f>結果!Q77</f>
        <v>0</v>
      </c>
      <c r="H21" s="912"/>
      <c r="I21" s="912"/>
      <c r="J21" s="2264"/>
      <c r="K21" s="2264"/>
      <c r="L21" s="2264"/>
      <c r="M21" s="798"/>
      <c r="N21" s="2264"/>
      <c r="O21" s="2264"/>
      <c r="P21" s="2264"/>
    </row>
    <row r="22" spans="2:16" ht="13.5" thickBot="1">
      <c r="B22" s="2282"/>
      <c r="C22" s="751" t="str">
        <f t="shared" si="6"/>
        <v>北西</v>
      </c>
      <c r="D22" s="752">
        <f>結果!H78</f>
        <v>0</v>
      </c>
      <c r="E22" s="752">
        <f>結果!J78</f>
        <v>0</v>
      </c>
      <c r="F22" s="752">
        <f>結果!L78</f>
        <v>0</v>
      </c>
      <c r="G22" s="753">
        <f>結果!Q78</f>
        <v>0</v>
      </c>
      <c r="H22" s="912"/>
      <c r="I22" s="912"/>
      <c r="J22" s="2291"/>
      <c r="K22" s="2264"/>
      <c r="L22" s="2264"/>
      <c r="M22" s="798"/>
      <c r="N22" s="2264"/>
      <c r="O22" s="2264"/>
      <c r="P22" s="2264"/>
    </row>
    <row r="23" spans="2:16" ht="13.5"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10">
        <f>温度条件他根拠!E29</f>
        <v>0</v>
      </c>
      <c r="L24" s="761">
        <f>K24*J24</f>
        <v>0</v>
      </c>
      <c r="M24" s="798"/>
      <c r="N24" s="762">
        <f>G24</f>
        <v>0</v>
      </c>
      <c r="O24" s="762">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11">
        <f>K24</f>
        <v>0</v>
      </c>
      <c r="L25" s="766">
        <f t="shared" ref="L25:L31" si="10">K25*J25</f>
        <v>0</v>
      </c>
      <c r="M25" s="798"/>
      <c r="N25" s="767">
        <f>G25</f>
        <v>0</v>
      </c>
      <c r="O25" s="767">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11">
        <f>K24</f>
        <v>0</v>
      </c>
      <c r="L26" s="766">
        <f t="shared" si="10"/>
        <v>0</v>
      </c>
      <c r="M26" s="798"/>
      <c r="N26" s="767">
        <f t="shared" ref="N26:N31" si="12">G26</f>
        <v>0</v>
      </c>
      <c r="O26" s="767">
        <f t="shared" ref="O26:O31" si="13">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11">
        <f t="shared" ref="K27:K31" si="14">K25</f>
        <v>0</v>
      </c>
      <c r="L27" s="766">
        <f t="shared" si="10"/>
        <v>0</v>
      </c>
      <c r="M27" s="798"/>
      <c r="N27" s="767">
        <f t="shared" si="12"/>
        <v>0</v>
      </c>
      <c r="O27" s="767">
        <f t="shared" si="13"/>
        <v>0</v>
      </c>
      <c r="P27" s="766">
        <f t="shared" si="11"/>
        <v>0</v>
      </c>
    </row>
    <row r="28" spans="2:16">
      <c r="B28" s="2282"/>
      <c r="C28" s="763" t="str">
        <f t="shared" si="6"/>
        <v>南</v>
      </c>
      <c r="D28" s="749">
        <f t="shared" si="9"/>
        <v>0</v>
      </c>
      <c r="E28" s="749">
        <f t="shared" si="9"/>
        <v>0</v>
      </c>
      <c r="F28" s="749">
        <f t="shared" si="9"/>
        <v>0</v>
      </c>
      <c r="G28" s="750">
        <f t="shared" si="9"/>
        <v>0</v>
      </c>
      <c r="H28" s="912"/>
      <c r="I28" s="912"/>
      <c r="J28" s="764">
        <f>IF(D32&gt;=D33,D28,IF(E32&gt;=D33,E28,F28))</f>
        <v>0</v>
      </c>
      <c r="K28" s="811">
        <f t="shared" si="14"/>
        <v>0</v>
      </c>
      <c r="L28" s="766">
        <f t="shared" si="10"/>
        <v>0</v>
      </c>
      <c r="M28" s="798"/>
      <c r="N28" s="767">
        <f t="shared" si="12"/>
        <v>0</v>
      </c>
      <c r="O28" s="767">
        <f t="shared" si="13"/>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11">
        <f t="shared" si="14"/>
        <v>0</v>
      </c>
      <c r="L29" s="766">
        <f t="shared" si="10"/>
        <v>0</v>
      </c>
      <c r="M29" s="798"/>
      <c r="N29" s="767">
        <f t="shared" si="12"/>
        <v>0</v>
      </c>
      <c r="O29" s="767">
        <f t="shared" si="13"/>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11">
        <f t="shared" si="14"/>
        <v>0</v>
      </c>
      <c r="L30" s="766">
        <f t="shared" si="10"/>
        <v>0</v>
      </c>
      <c r="M30" s="798"/>
      <c r="N30" s="767">
        <f t="shared" si="12"/>
        <v>0</v>
      </c>
      <c r="O30" s="767">
        <f t="shared" si="13"/>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11">
        <f t="shared" si="14"/>
        <v>0</v>
      </c>
      <c r="L31" s="772">
        <f t="shared" si="10"/>
        <v>0</v>
      </c>
      <c r="M31" s="798"/>
      <c r="N31" s="767">
        <f t="shared" si="12"/>
        <v>0</v>
      </c>
      <c r="O31" s="767">
        <f t="shared" si="13"/>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s="799" customFormat="1">
      <c r="B34" s="795"/>
      <c r="C34" s="796"/>
      <c r="D34" s="797"/>
      <c r="E34" s="796"/>
      <c r="F34" s="796"/>
      <c r="G34" s="797"/>
      <c r="H34" s="796"/>
      <c r="I34" s="796"/>
      <c r="J34" s="796"/>
      <c r="K34" s="796"/>
      <c r="L34" s="796"/>
      <c r="M34" s="798"/>
      <c r="N34" s="798"/>
      <c r="O34" s="798"/>
    </row>
    <row r="35" spans="2:30" s="799" customFormat="1">
      <c r="B35" s="795"/>
      <c r="C35" s="796"/>
      <c r="D35" s="797"/>
      <c r="E35" s="796"/>
      <c r="F35" s="796"/>
      <c r="G35" s="797"/>
      <c r="H35" s="796"/>
      <c r="I35" s="796"/>
      <c r="J35" s="796"/>
      <c r="K35" s="796"/>
      <c r="L35" s="796"/>
      <c r="M35" s="798"/>
      <c r="N35" s="798"/>
      <c r="O35" s="798"/>
    </row>
    <row r="36" spans="2:30" s="799" customFormat="1">
      <c r="B36" s="795"/>
      <c r="C36" s="796"/>
      <c r="D36" s="797"/>
      <c r="E36" s="796"/>
      <c r="F36" s="796"/>
      <c r="G36" s="797"/>
      <c r="H36" s="796"/>
      <c r="I36" s="796"/>
      <c r="J36" s="796"/>
      <c r="K36" s="796"/>
      <c r="L36" s="796"/>
      <c r="M36" s="798"/>
      <c r="N36" s="798"/>
      <c r="O36" s="798"/>
    </row>
    <row r="37" spans="2:30" s="799" customFormat="1">
      <c r="B37" s="795"/>
      <c r="C37" s="796"/>
      <c r="D37" s="797"/>
      <c r="E37" s="796"/>
      <c r="F37" s="796"/>
      <c r="G37" s="797"/>
      <c r="H37" s="796"/>
      <c r="I37" s="796"/>
      <c r="J37" s="796"/>
      <c r="K37" s="796"/>
      <c r="L37" s="796"/>
      <c r="M37" s="798"/>
      <c r="N37" s="798"/>
      <c r="O37" s="798"/>
    </row>
    <row r="38" spans="2:30" s="799" customFormat="1">
      <c r="B38" s="795"/>
      <c r="C38" s="796"/>
      <c r="D38" s="797"/>
      <c r="E38" s="796"/>
      <c r="F38" s="796"/>
      <c r="G38" s="797"/>
      <c r="H38" s="796"/>
      <c r="I38" s="796"/>
      <c r="J38" s="796"/>
      <c r="K38" s="796"/>
      <c r="L38" s="796"/>
      <c r="M38" s="798"/>
      <c r="N38" s="798"/>
      <c r="O38" s="798"/>
    </row>
    <row r="39" spans="2:30" s="799" customFormat="1">
      <c r="B39" s="795"/>
      <c r="C39" s="796"/>
      <c r="D39" s="797"/>
      <c r="E39" s="796"/>
      <c r="F39" s="796"/>
      <c r="G39" s="797"/>
      <c r="H39" s="796"/>
      <c r="I39" s="796"/>
      <c r="J39" s="796"/>
      <c r="K39" s="796"/>
      <c r="L39" s="796"/>
      <c r="M39" s="798"/>
      <c r="N39" s="798"/>
      <c r="O39" s="798"/>
    </row>
    <row r="40" spans="2:30" s="799" customFormat="1">
      <c r="B40" s="795"/>
      <c r="C40" s="796"/>
      <c r="D40" s="797"/>
      <c r="E40" s="796"/>
      <c r="F40" s="796"/>
      <c r="G40" s="797"/>
      <c r="H40" s="796"/>
      <c r="I40" s="796"/>
      <c r="J40" s="796"/>
      <c r="K40" s="796"/>
      <c r="L40" s="796"/>
      <c r="M40" s="798"/>
      <c r="N40" s="798"/>
      <c r="O40" s="798"/>
    </row>
    <row r="41" spans="2:30" s="799" customFormat="1">
      <c r="B41" s="795"/>
      <c r="C41" s="796"/>
      <c r="D41" s="797"/>
      <c r="E41" s="796"/>
      <c r="F41" s="796"/>
      <c r="G41" s="797"/>
      <c r="H41" s="796"/>
      <c r="I41" s="796"/>
      <c r="J41" s="796"/>
      <c r="K41" s="796"/>
      <c r="L41" s="796"/>
      <c r="M41" s="798"/>
      <c r="N41" s="798"/>
      <c r="O41" s="798"/>
    </row>
    <row r="42" spans="2:30" s="799" customFormat="1">
      <c r="B42" s="795"/>
      <c r="C42" s="796"/>
      <c r="D42" s="797"/>
      <c r="E42" s="796"/>
      <c r="F42" s="796"/>
      <c r="G42" s="797"/>
      <c r="H42" s="796"/>
      <c r="I42" s="796"/>
      <c r="J42" s="796"/>
      <c r="K42" s="796"/>
      <c r="L42" s="796"/>
      <c r="M42" s="798"/>
      <c r="N42" s="798"/>
      <c r="O42" s="798"/>
    </row>
    <row r="43" spans="2:30" s="799" customFormat="1">
      <c r="B43" s="795"/>
      <c r="C43" s="796"/>
      <c r="D43" s="797"/>
      <c r="E43" s="796"/>
      <c r="F43" s="796"/>
      <c r="G43" s="797"/>
      <c r="H43" s="796"/>
      <c r="I43" s="796"/>
      <c r="J43" s="796"/>
      <c r="K43" s="796"/>
      <c r="L43" s="796"/>
      <c r="M43" s="798"/>
      <c r="N43" s="798"/>
      <c r="O43" s="798"/>
    </row>
    <row r="44" spans="2:30" s="799" customFormat="1">
      <c r="B44" s="795"/>
      <c r="C44" s="796"/>
      <c r="D44" s="797"/>
      <c r="E44" s="796"/>
      <c r="F44" s="796"/>
      <c r="G44" s="797"/>
      <c r="H44" s="796"/>
      <c r="I44" s="796"/>
      <c r="J44" s="796"/>
      <c r="K44" s="796"/>
      <c r="L44" s="796"/>
      <c r="M44" s="798"/>
      <c r="N44" s="798"/>
      <c r="O44" s="798"/>
    </row>
    <row r="45" spans="2:30">
      <c r="B45" s="1205" t="s">
        <v>183</v>
      </c>
      <c r="C45" s="1205"/>
      <c r="D45" s="1205"/>
      <c r="E45" s="1205"/>
      <c r="F45" s="1205"/>
      <c r="G45" s="1205"/>
      <c r="H45" s="1205"/>
      <c r="I45" s="1205"/>
      <c r="J45" s="1205"/>
      <c r="K45" s="1205"/>
      <c r="L45" s="1205"/>
      <c r="M45" s="1205"/>
      <c r="N45" s="1205"/>
      <c r="O45" s="1205"/>
    </row>
    <row r="46" spans="2:30" ht="36">
      <c r="B46" s="703" t="s">
        <v>0</v>
      </c>
      <c r="C46" s="716" t="s">
        <v>1093</v>
      </c>
      <c r="D46" s="716" t="s">
        <v>1094</v>
      </c>
      <c r="E46" s="716" t="s">
        <v>1092</v>
      </c>
      <c r="F46" s="20" t="s">
        <v>42</v>
      </c>
      <c r="G46" s="20" t="s">
        <v>43</v>
      </c>
      <c r="H46" s="18" t="s">
        <v>35</v>
      </c>
      <c r="I46" s="18" t="s">
        <v>36</v>
      </c>
      <c r="J46" s="20" t="s">
        <v>2</v>
      </c>
      <c r="K46" s="20" t="s">
        <v>3</v>
      </c>
      <c r="L46" s="20" t="s">
        <v>39</v>
      </c>
      <c r="M46" s="20" t="s">
        <v>38</v>
      </c>
      <c r="N46" s="20" t="s">
        <v>37</v>
      </c>
      <c r="O46" s="20" t="s">
        <v>44</v>
      </c>
      <c r="Q46" s="703" t="s">
        <v>0</v>
      </c>
      <c r="R46" s="916" t="s">
        <v>1367</v>
      </c>
      <c r="S46" s="916" t="s">
        <v>1368</v>
      </c>
      <c r="T46" s="916" t="s">
        <v>1092</v>
      </c>
      <c r="U46" s="20" t="s">
        <v>42</v>
      </c>
      <c r="V46" s="20" t="s">
        <v>43</v>
      </c>
      <c r="W46" s="18" t="s">
        <v>35</v>
      </c>
      <c r="X46" s="18" t="s">
        <v>36</v>
      </c>
      <c r="Y46" s="20" t="s">
        <v>2</v>
      </c>
      <c r="Z46" s="20" t="s">
        <v>3</v>
      </c>
      <c r="AA46" s="20" t="s">
        <v>39</v>
      </c>
      <c r="AB46" s="20" t="s">
        <v>38</v>
      </c>
      <c r="AC46" s="20" t="s">
        <v>37</v>
      </c>
      <c r="AD46" s="20" t="s">
        <v>44</v>
      </c>
    </row>
    <row r="47" spans="2:30" ht="36">
      <c r="B47" s="703" t="s">
        <v>14</v>
      </c>
      <c r="C47" s="20" t="s">
        <v>16</v>
      </c>
      <c r="D47" s="20" t="s">
        <v>17</v>
      </c>
      <c r="E47" s="622" t="s">
        <v>18</v>
      </c>
      <c r="F47" s="20" t="s">
        <v>19</v>
      </c>
      <c r="G47" s="20" t="s">
        <v>20</v>
      </c>
      <c r="H47" s="20" t="s">
        <v>30</v>
      </c>
      <c r="I47" s="20" t="s">
        <v>29</v>
      </c>
      <c r="J47" s="20" t="s">
        <v>21</v>
      </c>
      <c r="K47" s="20" t="s">
        <v>22</v>
      </c>
      <c r="L47" s="20" t="s">
        <v>608</v>
      </c>
      <c r="M47" s="20" t="s">
        <v>607</v>
      </c>
      <c r="N47" s="704" t="s">
        <v>25</v>
      </c>
      <c r="O47" s="20" t="s">
        <v>32</v>
      </c>
      <c r="Q47" s="703" t="s">
        <v>14</v>
      </c>
      <c r="R47" s="20" t="s">
        <v>16</v>
      </c>
      <c r="S47" s="20" t="s">
        <v>17</v>
      </c>
      <c r="T47" s="20" t="s">
        <v>18</v>
      </c>
      <c r="U47" s="20" t="s">
        <v>19</v>
      </c>
      <c r="V47" s="20" t="s">
        <v>20</v>
      </c>
      <c r="W47" s="20" t="s">
        <v>30</v>
      </c>
      <c r="X47" s="20" t="s">
        <v>29</v>
      </c>
      <c r="Y47" s="20" t="s">
        <v>21</v>
      </c>
      <c r="Z47" s="20" t="s">
        <v>22</v>
      </c>
      <c r="AA47" s="20" t="s">
        <v>608</v>
      </c>
      <c r="AB47" s="20" t="s">
        <v>607</v>
      </c>
      <c r="AC47" s="704" t="s">
        <v>25</v>
      </c>
      <c r="AD47" s="20" t="s">
        <v>32</v>
      </c>
    </row>
    <row r="48" spans="2:30">
      <c r="B48" s="700" t="s">
        <v>15</v>
      </c>
      <c r="C48" s="737" t="s">
        <v>1091</v>
      </c>
      <c r="D48" s="737" t="s">
        <v>1091</v>
      </c>
      <c r="E48" s="737" t="s">
        <v>172</v>
      </c>
      <c r="F48" s="5" t="s">
        <v>10</v>
      </c>
      <c r="G48" s="5" t="s">
        <v>10</v>
      </c>
      <c r="H48" s="5" t="s">
        <v>27</v>
      </c>
      <c r="I48" s="5" t="s">
        <v>27</v>
      </c>
      <c r="J48" s="5" t="s">
        <v>10</v>
      </c>
      <c r="K48" s="5" t="s">
        <v>10</v>
      </c>
      <c r="L48" s="5" t="s">
        <v>27</v>
      </c>
      <c r="M48" s="5" t="s">
        <v>27</v>
      </c>
      <c r="N48" s="5" t="s">
        <v>27</v>
      </c>
      <c r="O48" s="700" t="s">
        <v>31</v>
      </c>
      <c r="Q48" s="700" t="s">
        <v>15</v>
      </c>
      <c r="R48" s="737" t="s">
        <v>1091</v>
      </c>
      <c r="S48" s="737" t="s">
        <v>1091</v>
      </c>
      <c r="T48" s="737" t="s">
        <v>172</v>
      </c>
      <c r="U48" s="5" t="s">
        <v>10</v>
      </c>
      <c r="V48" s="5" t="s">
        <v>10</v>
      </c>
      <c r="W48" s="5" t="s">
        <v>27</v>
      </c>
      <c r="X48" s="5" t="s">
        <v>27</v>
      </c>
      <c r="Y48" s="5" t="s">
        <v>10</v>
      </c>
      <c r="Z48" s="5" t="s">
        <v>10</v>
      </c>
      <c r="AA48" s="5" t="s">
        <v>27</v>
      </c>
      <c r="AB48" s="5" t="s">
        <v>27</v>
      </c>
      <c r="AC48" s="5" t="s">
        <v>27</v>
      </c>
      <c r="AD48" s="700" t="s">
        <v>31</v>
      </c>
    </row>
    <row r="49" spans="2:30">
      <c r="B49" s="700">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00">
        <v>1</v>
      </c>
      <c r="R49" s="3"/>
      <c r="S49" s="738">
        <f>P14</f>
        <v>0</v>
      </c>
      <c r="T49" s="739">
        <f>温度条件他根拠!E21</f>
        <v>0</v>
      </c>
      <c r="U49" s="740">
        <f>F49</f>
        <v>0</v>
      </c>
      <c r="V49" s="903">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00">
        <v>2</v>
      </c>
      <c r="C50" s="3"/>
      <c r="D50" s="3"/>
      <c r="E50" s="740">
        <f>E49</f>
        <v>0</v>
      </c>
      <c r="F50" s="740">
        <v>0</v>
      </c>
      <c r="G50" s="741">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00">
        <v>2</v>
      </c>
      <c r="R50" s="3"/>
      <c r="S50" s="3"/>
      <c r="T50" s="740">
        <f>T49</f>
        <v>0</v>
      </c>
      <c r="U50" s="740">
        <f t="shared" ref="U50:V60" si="24">F50</f>
        <v>0</v>
      </c>
      <c r="V50" s="903">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00">
        <v>3</v>
      </c>
      <c r="C51" s="3"/>
      <c r="D51" s="3"/>
      <c r="E51" s="740">
        <f t="shared" ref="E51:E60" si="27">E50</f>
        <v>0</v>
      </c>
      <c r="F51" s="740">
        <v>0</v>
      </c>
      <c r="G51" s="741">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700">
        <v>3</v>
      </c>
      <c r="R51" s="3"/>
      <c r="S51" s="3"/>
      <c r="T51" s="740">
        <f t="shared" ref="T51:T60" si="29">T50</f>
        <v>0</v>
      </c>
      <c r="U51" s="740">
        <f t="shared" si="24"/>
        <v>0</v>
      </c>
      <c r="V51" s="903">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700">
        <v>4</v>
      </c>
      <c r="C52" s="3"/>
      <c r="D52" s="3"/>
      <c r="E52" s="740">
        <f t="shared" si="27"/>
        <v>0</v>
      </c>
      <c r="F52" s="740">
        <v>0</v>
      </c>
      <c r="G52" s="741">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700">
        <v>4</v>
      </c>
      <c r="R52" s="3"/>
      <c r="S52" s="3"/>
      <c r="T52" s="740">
        <f t="shared" si="29"/>
        <v>0</v>
      </c>
      <c r="U52" s="740">
        <f t="shared" si="24"/>
        <v>0</v>
      </c>
      <c r="V52" s="903">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700">
        <v>5</v>
      </c>
      <c r="C53" s="3"/>
      <c r="D53" s="3"/>
      <c r="E53" s="740">
        <f t="shared" si="27"/>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8"/>
        <v>3.55</v>
      </c>
      <c r="K53" s="6">
        <f t="shared" si="28"/>
        <v>3.95</v>
      </c>
      <c r="L53" s="7">
        <f t="shared" si="16"/>
        <v>0</v>
      </c>
      <c r="M53" s="7">
        <f t="shared" si="16"/>
        <v>0</v>
      </c>
      <c r="N53" s="13">
        <f t="shared" si="22"/>
        <v>0</v>
      </c>
      <c r="O53" s="12">
        <f t="shared" si="23"/>
        <v>0</v>
      </c>
      <c r="Q53" s="700">
        <v>5</v>
      </c>
      <c r="R53" s="3"/>
      <c r="S53" s="3"/>
      <c r="T53" s="740">
        <f t="shared" si="29"/>
        <v>0</v>
      </c>
      <c r="U53" s="903">
        <f t="shared" si="24"/>
        <v>6.2171052631578946E-2</v>
      </c>
      <c r="V53" s="903">
        <f t="shared" si="24"/>
        <v>7.2727272727272738E-2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700">
        <v>6</v>
      </c>
      <c r="C54" s="3"/>
      <c r="D54" s="3"/>
      <c r="E54" s="740">
        <f t="shared" si="27"/>
        <v>0</v>
      </c>
      <c r="F54" s="741">
        <f>0.7*(温度条件他根拠!$F$7-温度条件他根拠!$F$9)/(温度条件他根拠!$F$7-25.5)</f>
        <v>0.36346153846153839</v>
      </c>
      <c r="G54" s="740">
        <v>0</v>
      </c>
      <c r="H54" s="7">
        <f t="shared" si="20"/>
        <v>0</v>
      </c>
      <c r="I54" s="7">
        <f t="shared" si="21"/>
        <v>0</v>
      </c>
      <c r="J54" s="2">
        <f t="shared" si="28"/>
        <v>3.55</v>
      </c>
      <c r="K54" s="6">
        <f t="shared" si="28"/>
        <v>3.95</v>
      </c>
      <c r="L54" s="7">
        <f t="shared" si="16"/>
        <v>0</v>
      </c>
      <c r="M54" s="7">
        <f t="shared" si="16"/>
        <v>0</v>
      </c>
      <c r="N54" s="13">
        <f t="shared" si="22"/>
        <v>0</v>
      </c>
      <c r="O54" s="12">
        <f t="shared" si="23"/>
        <v>0</v>
      </c>
      <c r="Q54" s="700">
        <v>6</v>
      </c>
      <c r="R54" s="3"/>
      <c r="S54" s="3"/>
      <c r="T54" s="740">
        <f t="shared" si="29"/>
        <v>0</v>
      </c>
      <c r="U54" s="903">
        <f t="shared" si="24"/>
        <v>0.36346153846153839</v>
      </c>
      <c r="V54" s="740">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00">
        <v>7</v>
      </c>
      <c r="C55" s="3"/>
      <c r="D55" s="3"/>
      <c r="E55" s="740">
        <f t="shared" si="27"/>
        <v>0</v>
      </c>
      <c r="F55" s="741">
        <f>0.7*(温度条件他根拠!$F$7-温度条件他根拠!$F$9)/(温度条件他根拠!$F$7-28)</f>
        <v>0.7</v>
      </c>
      <c r="G55" s="740">
        <v>0</v>
      </c>
      <c r="H55" s="7">
        <f t="shared" si="20"/>
        <v>0</v>
      </c>
      <c r="I55" s="7">
        <f t="shared" si="21"/>
        <v>0</v>
      </c>
      <c r="J55" s="2">
        <f t="shared" si="28"/>
        <v>3.55</v>
      </c>
      <c r="K55" s="6">
        <f t="shared" si="28"/>
        <v>3.95</v>
      </c>
      <c r="L55" s="7">
        <f t="shared" si="16"/>
        <v>0</v>
      </c>
      <c r="M55" s="7">
        <f t="shared" si="16"/>
        <v>0</v>
      </c>
      <c r="N55" s="13">
        <f t="shared" si="22"/>
        <v>0</v>
      </c>
      <c r="O55" s="12">
        <f t="shared" si="23"/>
        <v>0</v>
      </c>
      <c r="Q55" s="700">
        <v>7</v>
      </c>
      <c r="R55" s="3"/>
      <c r="S55" s="3"/>
      <c r="T55" s="740">
        <f t="shared" si="29"/>
        <v>0</v>
      </c>
      <c r="U55" s="903">
        <f t="shared" si="24"/>
        <v>0.7</v>
      </c>
      <c r="V55" s="740">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00">
        <v>8</v>
      </c>
      <c r="C56" s="738">
        <f>L32</f>
        <v>0</v>
      </c>
      <c r="D56" s="3"/>
      <c r="E56" s="740">
        <f t="shared" si="27"/>
        <v>0</v>
      </c>
      <c r="F56" s="741">
        <f>0.7*(温度条件他根拠!$F$7-温度条件他根拠!$F$9)/(温度条件他根拠!$F$7-28)</f>
        <v>0.7</v>
      </c>
      <c r="G56" s="740">
        <v>0</v>
      </c>
      <c r="H56" s="7">
        <f t="shared" si="20"/>
        <v>0</v>
      </c>
      <c r="I56" s="7">
        <f t="shared" si="21"/>
        <v>0</v>
      </c>
      <c r="J56" s="2">
        <f t="shared" si="28"/>
        <v>3.55</v>
      </c>
      <c r="K56" s="6">
        <f t="shared" si="28"/>
        <v>3.95</v>
      </c>
      <c r="L56" s="7">
        <f t="shared" si="16"/>
        <v>0</v>
      </c>
      <c r="M56" s="7">
        <f t="shared" si="16"/>
        <v>0</v>
      </c>
      <c r="N56" s="13">
        <f t="shared" si="22"/>
        <v>0</v>
      </c>
      <c r="O56" s="12">
        <f t="shared" si="23"/>
        <v>0</v>
      </c>
      <c r="Q56" s="700">
        <v>8</v>
      </c>
      <c r="R56" s="738">
        <f>L14</f>
        <v>0</v>
      </c>
      <c r="S56" s="3"/>
      <c r="T56" s="740">
        <f t="shared" si="29"/>
        <v>0</v>
      </c>
      <c r="U56" s="903">
        <f t="shared" si="24"/>
        <v>0.7</v>
      </c>
      <c r="V56" s="740">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00">
        <v>9</v>
      </c>
      <c r="C57" s="3"/>
      <c r="D57" s="3"/>
      <c r="E57" s="740">
        <f t="shared" si="27"/>
        <v>0</v>
      </c>
      <c r="F57" s="741">
        <f>0.7*(温度条件他根拠!$F$7-温度条件他根拠!$F$9)/(温度条件他根拠!$F$7-25.9)</f>
        <v>0.39374999999999982</v>
      </c>
      <c r="G57" s="740">
        <v>0</v>
      </c>
      <c r="H57" s="7">
        <f t="shared" si="20"/>
        <v>0</v>
      </c>
      <c r="I57" s="7">
        <f t="shared" si="21"/>
        <v>0</v>
      </c>
      <c r="J57" s="2">
        <f t="shared" si="28"/>
        <v>3.55</v>
      </c>
      <c r="K57" s="6">
        <f t="shared" si="28"/>
        <v>3.95</v>
      </c>
      <c r="L57" s="7">
        <f t="shared" si="16"/>
        <v>0</v>
      </c>
      <c r="M57" s="7">
        <f t="shared" si="16"/>
        <v>0</v>
      </c>
      <c r="N57" s="13">
        <f t="shared" si="22"/>
        <v>0</v>
      </c>
      <c r="O57" s="12">
        <f t="shared" si="23"/>
        <v>0</v>
      </c>
      <c r="Q57" s="700">
        <v>9</v>
      </c>
      <c r="R57" s="3"/>
      <c r="S57" s="3"/>
      <c r="T57" s="740">
        <f t="shared" si="29"/>
        <v>0</v>
      </c>
      <c r="U57" s="903">
        <f t="shared" si="24"/>
        <v>0.39374999999999982</v>
      </c>
      <c r="V57" s="740">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00">
        <v>10</v>
      </c>
      <c r="C58" s="3"/>
      <c r="D58" s="3"/>
      <c r="E58" s="740">
        <f t="shared" si="27"/>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8"/>
        <v>3.55</v>
      </c>
      <c r="K58" s="6">
        <f t="shared" si="28"/>
        <v>3.95</v>
      </c>
      <c r="L58" s="7">
        <f t="shared" si="16"/>
        <v>0</v>
      </c>
      <c r="M58" s="7">
        <f t="shared" si="16"/>
        <v>0</v>
      </c>
      <c r="N58" s="13">
        <f t="shared" si="22"/>
        <v>0</v>
      </c>
      <c r="O58" s="12">
        <f t="shared" si="23"/>
        <v>0</v>
      </c>
      <c r="Q58" s="700">
        <v>10</v>
      </c>
      <c r="R58" s="3"/>
      <c r="S58" s="3"/>
      <c r="T58" s="740">
        <f t="shared" si="29"/>
        <v>0</v>
      </c>
      <c r="U58" s="903">
        <f t="shared" si="24"/>
        <v>4.6323529411764694E-2</v>
      </c>
      <c r="V58" s="903">
        <f t="shared" si="24"/>
        <v>7.8512396694214878E-2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700">
        <v>11</v>
      </c>
      <c r="C59" s="3"/>
      <c r="D59" s="3"/>
      <c r="E59" s="740">
        <f t="shared" si="27"/>
        <v>0</v>
      </c>
      <c r="F59" s="740">
        <v>0</v>
      </c>
      <c r="G59" s="741">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700">
        <v>11</v>
      </c>
      <c r="R59" s="3"/>
      <c r="S59" s="3"/>
      <c r="T59" s="740">
        <f t="shared" si="29"/>
        <v>0</v>
      </c>
      <c r="U59" s="740">
        <f t="shared" si="24"/>
        <v>0</v>
      </c>
      <c r="V59" s="903">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00">
        <v>12</v>
      </c>
      <c r="C60" s="3"/>
      <c r="D60" s="3"/>
      <c r="E60" s="740">
        <f t="shared" si="27"/>
        <v>0</v>
      </c>
      <c r="F60" s="740">
        <v>0</v>
      </c>
      <c r="G60" s="741">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700">
        <v>12</v>
      </c>
      <c r="R60" s="3"/>
      <c r="S60" s="3"/>
      <c r="T60" s="740">
        <f t="shared" si="29"/>
        <v>0</v>
      </c>
      <c r="U60" s="740">
        <f t="shared" si="24"/>
        <v>0</v>
      </c>
      <c r="V60" s="903">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922">
        <f>T64-E64</f>
        <v>0</v>
      </c>
      <c r="AC64" s="11" t="s">
        <v>7</v>
      </c>
    </row>
    <row r="85" spans="2:3">
      <c r="B85" s="1" t="s">
        <v>1055</v>
      </c>
    </row>
    <row r="86" spans="2:3">
      <c r="B86" s="609">
        <v>43927</v>
      </c>
      <c r="C86" s="608" t="s">
        <v>852</v>
      </c>
    </row>
    <row r="87" spans="2:3">
      <c r="B87" s="609">
        <v>44634</v>
      </c>
      <c r="C87" s="608" t="s">
        <v>1095</v>
      </c>
    </row>
    <row r="88" spans="2:3">
      <c r="C88" s="608" t="s">
        <v>1096</v>
      </c>
    </row>
    <row r="89" spans="2:3">
      <c r="C89" s="1" t="s">
        <v>1097</v>
      </c>
    </row>
    <row r="90" spans="2:3">
      <c r="C90" s="1" t="s">
        <v>1109</v>
      </c>
    </row>
    <row r="91" spans="2:3">
      <c r="C91" s="1" t="s">
        <v>1110</v>
      </c>
    </row>
  </sheetData>
  <mergeCells count="21">
    <mergeCell ref="P3:P5"/>
    <mergeCell ref="J16:J22"/>
    <mergeCell ref="K16:K23"/>
    <mergeCell ref="L16:L23"/>
    <mergeCell ref="N16:N22"/>
    <mergeCell ref="O16:O23"/>
    <mergeCell ref="P16:P23"/>
    <mergeCell ref="B15:B23"/>
    <mergeCell ref="B24:B33"/>
    <mergeCell ref="D33:F33"/>
    <mergeCell ref="B45:O45"/>
    <mergeCell ref="B2:O2"/>
    <mergeCell ref="B4:C5"/>
    <mergeCell ref="D4:F4"/>
    <mergeCell ref="G4:G5"/>
    <mergeCell ref="B6:B14"/>
    <mergeCell ref="J3:J5"/>
    <mergeCell ref="K3:K5"/>
    <mergeCell ref="L3:L5"/>
    <mergeCell ref="N3:N5"/>
    <mergeCell ref="O3:O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D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秩父市窓遮熱</v>
      </c>
      <c r="F1" s="81"/>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方位別日射時間
(h/日）</v>
      </c>
      <c r="L3" s="2272" t="str">
        <f>L16</f>
        <v>①
＝ΣD×E
方位別
日冷房
負荷
削減量
（W・h/日）</v>
      </c>
      <c r="M3" s="799"/>
      <c r="N3" s="2266" t="str">
        <f>N16</f>
        <v>F
時間帯合計値の最大値の方位別暖房負荷（計算採用値）</v>
      </c>
      <c r="O3" s="2269" t="str">
        <f>O16</f>
        <v>E
方位別日射時間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結果!H54</f>
        <v>0</v>
      </c>
      <c r="E6" s="784">
        <f>結果!J54</f>
        <v>0</v>
      </c>
      <c r="F6" s="784">
        <f>結果!L54</f>
        <v>0</v>
      </c>
      <c r="G6" s="785">
        <f>結果!Q54</f>
        <v>0</v>
      </c>
      <c r="H6" s="796"/>
      <c r="I6" s="796"/>
      <c r="J6" s="1021">
        <f>IF(D32&gt;=D33,D6,IF(E32&gt;=D33,E6,F6))</f>
        <v>0</v>
      </c>
      <c r="K6" s="760">
        <f>温度条件他根拠!C36</f>
        <v>0</v>
      </c>
      <c r="L6" s="761">
        <f>K6*J6</f>
        <v>0</v>
      </c>
      <c r="M6" s="798"/>
      <c r="N6" s="762">
        <v>0</v>
      </c>
      <c r="O6" s="760">
        <f>K6</f>
        <v>0</v>
      </c>
      <c r="P6" s="761">
        <f>O6*N6</f>
        <v>0</v>
      </c>
    </row>
    <row r="7" spans="2:16">
      <c r="B7" s="2282"/>
      <c r="C7" s="779" t="s">
        <v>1372</v>
      </c>
      <c r="D7" s="749">
        <f>結果!H55</f>
        <v>0</v>
      </c>
      <c r="E7" s="749">
        <f>結果!J55</f>
        <v>0</v>
      </c>
      <c r="F7" s="749">
        <f>結果!L55</f>
        <v>0</v>
      </c>
      <c r="G7" s="781">
        <f>結果!Q55</f>
        <v>0</v>
      </c>
      <c r="H7" s="796"/>
      <c r="I7" s="796"/>
      <c r="J7" s="1022">
        <f>IF(D32&gt;=D33,D7,IF(E32&gt;=D33,E7,F7))</f>
        <v>0</v>
      </c>
      <c r="K7" s="765">
        <f>温度条件他根拠!D36</f>
        <v>2.5</v>
      </c>
      <c r="L7" s="766">
        <f t="shared" ref="L7:L13" si="0">K7*J7</f>
        <v>0</v>
      </c>
      <c r="M7" s="798"/>
      <c r="N7" s="767">
        <v>0</v>
      </c>
      <c r="O7" s="765">
        <f>K7</f>
        <v>2.5</v>
      </c>
      <c r="P7" s="766">
        <f t="shared" ref="P7:P13" si="1">O7*N7</f>
        <v>0</v>
      </c>
    </row>
    <row r="8" spans="2:16">
      <c r="B8" s="2282"/>
      <c r="C8" s="779" t="s">
        <v>1373</v>
      </c>
      <c r="D8" s="749">
        <f>結果!H56</f>
        <v>0</v>
      </c>
      <c r="E8" s="749">
        <f>結果!J56</f>
        <v>0</v>
      </c>
      <c r="F8" s="749">
        <f>結果!L56</f>
        <v>0</v>
      </c>
      <c r="G8" s="781">
        <f>結果!Q56</f>
        <v>0</v>
      </c>
      <c r="H8" s="796"/>
      <c r="I8" s="796"/>
      <c r="J8" s="1022">
        <f>IF(D32&gt;=D33,D8,IF(E32&gt;=D33,E8,F8))</f>
        <v>0</v>
      </c>
      <c r="K8" s="765">
        <f>温度条件他根拠!E36</f>
        <v>3.5</v>
      </c>
      <c r="L8" s="766">
        <f t="shared" si="0"/>
        <v>0</v>
      </c>
      <c r="M8" s="798"/>
      <c r="N8" s="767">
        <v>0</v>
      </c>
      <c r="O8" s="765">
        <f t="shared" ref="O8:O13" si="2">K8</f>
        <v>3.5</v>
      </c>
      <c r="P8" s="766">
        <f t="shared" si="1"/>
        <v>0</v>
      </c>
    </row>
    <row r="9" spans="2:16">
      <c r="B9" s="2282"/>
      <c r="C9" s="779" t="s">
        <v>1374</v>
      </c>
      <c r="D9" s="749">
        <f>結果!H57</f>
        <v>0</v>
      </c>
      <c r="E9" s="749">
        <f>結果!J57</f>
        <v>0</v>
      </c>
      <c r="F9" s="749">
        <f>結果!L57</f>
        <v>0</v>
      </c>
      <c r="G9" s="781">
        <f>結果!Q57</f>
        <v>0</v>
      </c>
      <c r="H9" s="796"/>
      <c r="I9" s="796"/>
      <c r="J9" s="1022">
        <f>IF(D32&gt;=D33,D9,IF(E32&gt;=D33,E9,F9))</f>
        <v>0</v>
      </c>
      <c r="K9" s="765">
        <f>温度条件他根拠!F36</f>
        <v>4.5</v>
      </c>
      <c r="L9" s="766">
        <f t="shared" si="0"/>
        <v>0</v>
      </c>
      <c r="M9" s="798"/>
      <c r="N9" s="767">
        <v>0</v>
      </c>
      <c r="O9" s="765">
        <f t="shared" si="2"/>
        <v>4.5</v>
      </c>
      <c r="P9" s="766">
        <f t="shared" si="1"/>
        <v>0</v>
      </c>
    </row>
    <row r="10" spans="2:16">
      <c r="B10" s="2282"/>
      <c r="C10" s="779" t="s">
        <v>1375</v>
      </c>
      <c r="D10" s="749">
        <f>結果!H58</f>
        <v>0</v>
      </c>
      <c r="E10" s="749">
        <f>結果!J58</f>
        <v>0</v>
      </c>
      <c r="F10" s="749">
        <f>結果!L58</f>
        <v>0</v>
      </c>
      <c r="G10" s="781">
        <f>結果!Q58</f>
        <v>0</v>
      </c>
      <c r="H10" s="796"/>
      <c r="I10" s="796"/>
      <c r="J10" s="1022">
        <f>IF(D32&gt;=D33,D10,IF(E32&gt;=D33,E10,F10))</f>
        <v>0</v>
      </c>
      <c r="K10" s="768">
        <f>温度条件他根拠!G36</f>
        <v>5</v>
      </c>
      <c r="L10" s="766">
        <f t="shared" si="0"/>
        <v>0</v>
      </c>
      <c r="M10" s="798"/>
      <c r="N10" s="767">
        <v>0</v>
      </c>
      <c r="O10" s="768">
        <f t="shared" si="2"/>
        <v>5</v>
      </c>
      <c r="P10" s="766">
        <f t="shared" si="1"/>
        <v>0</v>
      </c>
    </row>
    <row r="11" spans="2:16">
      <c r="B11" s="2282"/>
      <c r="C11" s="779" t="s">
        <v>1376</v>
      </c>
      <c r="D11" s="749">
        <f>結果!H59</f>
        <v>0</v>
      </c>
      <c r="E11" s="749">
        <f>結果!J59</f>
        <v>0</v>
      </c>
      <c r="F11" s="749">
        <f>結果!L59</f>
        <v>0</v>
      </c>
      <c r="G11" s="781">
        <f>結果!Q59</f>
        <v>0</v>
      </c>
      <c r="H11" s="796"/>
      <c r="I11" s="796"/>
      <c r="J11" s="1022">
        <f>IF(D32&gt;=D33,D11,IF(E32&gt;=D33,E11,F11))</f>
        <v>0</v>
      </c>
      <c r="K11" s="765">
        <f>温度条件他根拠!H36</f>
        <v>4.5</v>
      </c>
      <c r="L11" s="766">
        <f t="shared" si="0"/>
        <v>0</v>
      </c>
      <c r="M11" s="798"/>
      <c r="N11" s="767">
        <v>0</v>
      </c>
      <c r="O11" s="765">
        <f t="shared" si="2"/>
        <v>4.5</v>
      </c>
      <c r="P11" s="766">
        <f t="shared" si="1"/>
        <v>0</v>
      </c>
    </row>
    <row r="12" spans="2:16">
      <c r="B12" s="2282"/>
      <c r="C12" s="779" t="s">
        <v>1377</v>
      </c>
      <c r="D12" s="749">
        <f>結果!H60</f>
        <v>0</v>
      </c>
      <c r="E12" s="749">
        <f>結果!J60</f>
        <v>0</v>
      </c>
      <c r="F12" s="749">
        <f>結果!L60</f>
        <v>0</v>
      </c>
      <c r="G12" s="781">
        <f>結果!Q60</f>
        <v>0</v>
      </c>
      <c r="H12" s="796"/>
      <c r="I12" s="796"/>
      <c r="J12" s="1022">
        <f>IF(D32&gt;=D33,D12,IF(E32&gt;=D33,E12,F12))</f>
        <v>0</v>
      </c>
      <c r="K12" s="765">
        <f>温度条件他根拠!I36</f>
        <v>3.5</v>
      </c>
      <c r="L12" s="766">
        <f t="shared" si="0"/>
        <v>0</v>
      </c>
      <c r="M12" s="798"/>
      <c r="N12" s="767">
        <v>0</v>
      </c>
      <c r="O12" s="765">
        <f t="shared" si="2"/>
        <v>3.5</v>
      </c>
      <c r="P12" s="766">
        <f t="shared" si="1"/>
        <v>0</v>
      </c>
    </row>
    <row r="13" spans="2:16" ht="13.5" thickBot="1">
      <c r="B13" s="2282"/>
      <c r="C13" s="780" t="s">
        <v>1378</v>
      </c>
      <c r="D13" s="749">
        <f>結果!H61</f>
        <v>0</v>
      </c>
      <c r="E13" s="749">
        <f>結果!J61</f>
        <v>0</v>
      </c>
      <c r="F13" s="749">
        <f>結果!L61</f>
        <v>0</v>
      </c>
      <c r="G13" s="781">
        <f>結果!Q61</f>
        <v>0</v>
      </c>
      <c r="H13" s="796"/>
      <c r="I13" s="796"/>
      <c r="J13" s="1023">
        <f>IF(D32&gt;=D33,D13,IF(E32&gt;=D33,E13,F13))</f>
        <v>0</v>
      </c>
      <c r="K13" s="771">
        <f>温度条件他根拠!J36</f>
        <v>2.5</v>
      </c>
      <c r="L13" s="772">
        <f t="shared" si="0"/>
        <v>0</v>
      </c>
      <c r="M13" s="798"/>
      <c r="N13" s="767">
        <v>0</v>
      </c>
      <c r="O13" s="765">
        <f t="shared" si="2"/>
        <v>2.5</v>
      </c>
      <c r="P13" s="772">
        <f t="shared" si="1"/>
        <v>0</v>
      </c>
    </row>
    <row r="14" spans="2:16" ht="13.5" customHeight="1" thickBot="1">
      <c r="B14" s="2283"/>
      <c r="C14" s="786" t="s">
        <v>1100</v>
      </c>
      <c r="D14" s="787">
        <f>SUM(D6:D13)</f>
        <v>0</v>
      </c>
      <c r="E14" s="787">
        <f t="shared" ref="E14:G14" si="3">SUM(E6:E13)</f>
        <v>0</v>
      </c>
      <c r="F14" s="787">
        <f t="shared" si="3"/>
        <v>0</v>
      </c>
      <c r="G14" s="788">
        <f t="shared" si="3"/>
        <v>0</v>
      </c>
      <c r="H14" s="796"/>
      <c r="I14" s="796"/>
      <c r="J14" s="776">
        <f>SUM(J6:J13)</f>
        <v>0</v>
      </c>
      <c r="K14" s="777"/>
      <c r="L14" s="778">
        <f>SUM(L6:L13)</f>
        <v>0</v>
      </c>
      <c r="M14" s="798"/>
      <c r="N14" s="776">
        <f>SUM(N6:N13)</f>
        <v>0</v>
      </c>
      <c r="O14" s="777"/>
      <c r="P14" s="778">
        <f>SUM(P6:P13)</f>
        <v>0</v>
      </c>
    </row>
    <row r="15" spans="2:16" ht="13.5" thickBot="1">
      <c r="B15" s="2275" t="s">
        <v>1104</v>
      </c>
      <c r="C15" s="745" t="str">
        <f>C6</f>
        <v>北</v>
      </c>
      <c r="D15" s="746">
        <f>結果!H94</f>
        <v>0</v>
      </c>
      <c r="E15" s="746">
        <f>結果!J94</f>
        <v>0</v>
      </c>
      <c r="F15" s="746">
        <f>結果!L94</f>
        <v>0</v>
      </c>
      <c r="G15" s="747">
        <f>結果!Q94</f>
        <v>0</v>
      </c>
      <c r="H15" s="912"/>
      <c r="I15" s="912"/>
      <c r="J15" s="796"/>
      <c r="K15" s="796"/>
      <c r="L15" s="796"/>
      <c r="M15" s="798"/>
      <c r="N15" s="798"/>
      <c r="O15" s="798"/>
      <c r="P15" s="799"/>
    </row>
    <row r="16" spans="2:16">
      <c r="B16" s="2282"/>
      <c r="C16" s="748" t="str">
        <f t="shared" ref="C16:C32" si="4">C7</f>
        <v>北東</v>
      </c>
      <c r="D16" s="749">
        <f>結果!H95</f>
        <v>0</v>
      </c>
      <c r="E16" s="749">
        <f>結果!J95</f>
        <v>0</v>
      </c>
      <c r="F16" s="749">
        <f>結果!L95</f>
        <v>0</v>
      </c>
      <c r="G16" s="750">
        <f>結果!Q95</f>
        <v>0</v>
      </c>
      <c r="H16" s="912"/>
      <c r="I16" s="912"/>
      <c r="J16" s="2263" t="s">
        <v>1101</v>
      </c>
      <c r="K16" s="2263" t="s">
        <v>1365</v>
      </c>
      <c r="L16" s="2263" t="s">
        <v>1102</v>
      </c>
      <c r="M16" s="798"/>
      <c r="N16" s="2263" t="s">
        <v>1103</v>
      </c>
      <c r="O16" s="2263" t="s">
        <v>1365</v>
      </c>
      <c r="P16" s="2263" t="s">
        <v>1366</v>
      </c>
    </row>
    <row r="17" spans="2:16">
      <c r="B17" s="2282"/>
      <c r="C17" s="748" t="str">
        <f t="shared" si="4"/>
        <v>東</v>
      </c>
      <c r="D17" s="749">
        <f>結果!H96</f>
        <v>0</v>
      </c>
      <c r="E17" s="749">
        <f>結果!J96</f>
        <v>0</v>
      </c>
      <c r="F17" s="749">
        <f>結果!L96</f>
        <v>0</v>
      </c>
      <c r="G17" s="750">
        <f>結果!Q96</f>
        <v>0</v>
      </c>
      <c r="H17" s="912"/>
      <c r="I17" s="912"/>
      <c r="J17" s="2264"/>
      <c r="K17" s="2264"/>
      <c r="L17" s="2264"/>
      <c r="M17" s="798"/>
      <c r="N17" s="2264"/>
      <c r="O17" s="2264"/>
      <c r="P17" s="2264"/>
    </row>
    <row r="18" spans="2:16">
      <c r="B18" s="2282"/>
      <c r="C18" s="748" t="str">
        <f t="shared" si="4"/>
        <v>南東</v>
      </c>
      <c r="D18" s="749">
        <f>結果!H97</f>
        <v>0</v>
      </c>
      <c r="E18" s="749">
        <f>結果!J97</f>
        <v>0</v>
      </c>
      <c r="F18" s="749">
        <f>結果!L97</f>
        <v>0</v>
      </c>
      <c r="G18" s="750">
        <f>結果!Q97</f>
        <v>0</v>
      </c>
      <c r="H18" s="912"/>
      <c r="I18" s="912"/>
      <c r="J18" s="2264"/>
      <c r="K18" s="2264"/>
      <c r="L18" s="2264"/>
      <c r="M18" s="798"/>
      <c r="N18" s="2264"/>
      <c r="O18" s="2264"/>
      <c r="P18" s="2264"/>
    </row>
    <row r="19" spans="2:16">
      <c r="B19" s="2282"/>
      <c r="C19" s="748" t="str">
        <f t="shared" si="4"/>
        <v>南</v>
      </c>
      <c r="D19" s="749">
        <f>結果!H98</f>
        <v>0</v>
      </c>
      <c r="E19" s="749">
        <f>結果!J98</f>
        <v>0</v>
      </c>
      <c r="F19" s="749">
        <f>結果!L98</f>
        <v>0</v>
      </c>
      <c r="G19" s="750">
        <f>結果!Q98</f>
        <v>0</v>
      </c>
      <c r="H19" s="912"/>
      <c r="I19" s="912"/>
      <c r="J19" s="2264"/>
      <c r="K19" s="2264"/>
      <c r="L19" s="2264"/>
      <c r="M19" s="798"/>
      <c r="N19" s="2264"/>
      <c r="O19" s="2264"/>
      <c r="P19" s="2264"/>
    </row>
    <row r="20" spans="2:16">
      <c r="B20" s="2282"/>
      <c r="C20" s="748" t="str">
        <f t="shared" si="4"/>
        <v>南西</v>
      </c>
      <c r="D20" s="749">
        <f>結果!H99</f>
        <v>0</v>
      </c>
      <c r="E20" s="749">
        <f>結果!J99</f>
        <v>0</v>
      </c>
      <c r="F20" s="749">
        <f>結果!L99</f>
        <v>0</v>
      </c>
      <c r="G20" s="750">
        <f>結果!Q99</f>
        <v>0</v>
      </c>
      <c r="H20" s="912"/>
      <c r="I20" s="912"/>
      <c r="J20" s="2264"/>
      <c r="K20" s="2264"/>
      <c r="L20" s="2264"/>
      <c r="M20" s="798"/>
      <c r="N20" s="2264"/>
      <c r="O20" s="2264"/>
      <c r="P20" s="2264"/>
    </row>
    <row r="21" spans="2:16">
      <c r="B21" s="2282"/>
      <c r="C21" s="748" t="str">
        <f t="shared" si="4"/>
        <v>西</v>
      </c>
      <c r="D21" s="749">
        <f>結果!H100</f>
        <v>0</v>
      </c>
      <c r="E21" s="749">
        <f>結果!J100</f>
        <v>0</v>
      </c>
      <c r="F21" s="749">
        <f>結果!L100</f>
        <v>0</v>
      </c>
      <c r="G21" s="750">
        <f>結果!Q100</f>
        <v>0</v>
      </c>
      <c r="H21" s="912"/>
      <c r="I21" s="912"/>
      <c r="J21" s="2264"/>
      <c r="K21" s="2264"/>
      <c r="L21" s="2264"/>
      <c r="M21" s="798"/>
      <c r="N21" s="2264"/>
      <c r="O21" s="2264"/>
      <c r="P21" s="2264"/>
    </row>
    <row r="22" spans="2:16" ht="13.5" thickBot="1">
      <c r="B22" s="2282"/>
      <c r="C22" s="751" t="str">
        <f t="shared" si="4"/>
        <v>北西</v>
      </c>
      <c r="D22" s="749">
        <f>結果!H101</f>
        <v>0</v>
      </c>
      <c r="E22" s="749">
        <f>結果!J101</f>
        <v>0</v>
      </c>
      <c r="F22" s="749">
        <f>結果!L101</f>
        <v>0</v>
      </c>
      <c r="G22" s="750">
        <f>結果!Q101</f>
        <v>0</v>
      </c>
      <c r="H22" s="912"/>
      <c r="I22" s="912"/>
      <c r="J22" s="2291"/>
      <c r="K22" s="2264"/>
      <c r="L22" s="2264"/>
      <c r="M22" s="798"/>
      <c r="N22" s="2264"/>
      <c r="O22" s="2264"/>
      <c r="P22" s="2264"/>
    </row>
    <row r="23" spans="2:16" ht="13.5" thickBot="1">
      <c r="B23" s="2284"/>
      <c r="C23" s="754" t="str">
        <f t="shared" si="4"/>
        <v>合計</v>
      </c>
      <c r="D23" s="755">
        <f>SUM(D15:D22)</f>
        <v>0</v>
      </c>
      <c r="E23" s="755">
        <f t="shared" ref="E23:G23" si="5">SUM(E15:E22)</f>
        <v>0</v>
      </c>
      <c r="F23" s="755">
        <f t="shared" si="5"/>
        <v>0</v>
      </c>
      <c r="G23" s="756">
        <f t="shared" si="5"/>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6">E6-E15</f>
        <v>0</v>
      </c>
      <c r="F24" s="746">
        <f t="shared" si="6"/>
        <v>0</v>
      </c>
      <c r="G24" s="747">
        <f t="shared" si="6"/>
        <v>0</v>
      </c>
      <c r="H24" s="912"/>
      <c r="I24" s="912"/>
      <c r="J24" s="759">
        <f>IF(D32&gt;=D33,D24,IF(E32&gt;=D33,E24,F24))</f>
        <v>0</v>
      </c>
      <c r="K24" s="760">
        <f>温度条件他根拠!C36</f>
        <v>0</v>
      </c>
      <c r="L24" s="761">
        <f>K24*J24</f>
        <v>0</v>
      </c>
      <c r="M24" s="798"/>
      <c r="N24" s="762">
        <f>G24</f>
        <v>0</v>
      </c>
      <c r="O24" s="760">
        <f>K24</f>
        <v>0</v>
      </c>
      <c r="P24" s="761">
        <f>O24*N24</f>
        <v>0</v>
      </c>
    </row>
    <row r="25" spans="2:16">
      <c r="B25" s="2282"/>
      <c r="C25" s="763" t="str">
        <f t="shared" si="4"/>
        <v>北東</v>
      </c>
      <c r="D25" s="749">
        <f t="shared" ref="D25:G31" si="7">D7-D16</f>
        <v>0</v>
      </c>
      <c r="E25" s="749">
        <f t="shared" si="7"/>
        <v>0</v>
      </c>
      <c r="F25" s="749">
        <f t="shared" si="7"/>
        <v>0</v>
      </c>
      <c r="G25" s="750">
        <f t="shared" si="7"/>
        <v>0</v>
      </c>
      <c r="H25" s="912"/>
      <c r="I25" s="912"/>
      <c r="J25" s="764">
        <f>IF(D32&gt;=D33,D25,IF(E32&gt;=D33,E25,F25))</f>
        <v>0</v>
      </c>
      <c r="K25" s="765">
        <f>温度条件他根拠!D36</f>
        <v>2.5</v>
      </c>
      <c r="L25" s="766">
        <f t="shared" ref="L25:L31" si="8">K25*J25</f>
        <v>0</v>
      </c>
      <c r="M25" s="798"/>
      <c r="N25" s="767">
        <f>G25</f>
        <v>0</v>
      </c>
      <c r="O25" s="765">
        <f>K25</f>
        <v>2.5</v>
      </c>
      <c r="P25" s="766">
        <f t="shared" ref="P25:P31" si="9">O25*N25</f>
        <v>0</v>
      </c>
    </row>
    <row r="26" spans="2:16">
      <c r="B26" s="2282"/>
      <c r="C26" s="763" t="str">
        <f t="shared" si="4"/>
        <v>東</v>
      </c>
      <c r="D26" s="749">
        <f t="shared" si="7"/>
        <v>0</v>
      </c>
      <c r="E26" s="749">
        <f t="shared" si="7"/>
        <v>0</v>
      </c>
      <c r="F26" s="749">
        <f t="shared" si="7"/>
        <v>0</v>
      </c>
      <c r="G26" s="750">
        <f t="shared" si="7"/>
        <v>0</v>
      </c>
      <c r="H26" s="912"/>
      <c r="I26" s="912"/>
      <c r="J26" s="764">
        <f>IF(D32&gt;=D33,D26,IF(E32&gt;=D33,E26,F26))</f>
        <v>0</v>
      </c>
      <c r="K26" s="765">
        <f>温度条件他根拠!E36</f>
        <v>3.5</v>
      </c>
      <c r="L26" s="766">
        <f t="shared" si="8"/>
        <v>0</v>
      </c>
      <c r="M26" s="798"/>
      <c r="N26" s="767">
        <f t="shared" ref="N26:N31" si="10">G26</f>
        <v>0</v>
      </c>
      <c r="O26" s="765">
        <f t="shared" ref="O26:O31" si="11">K26</f>
        <v>3.5</v>
      </c>
      <c r="P26" s="766">
        <f t="shared" si="9"/>
        <v>0</v>
      </c>
    </row>
    <row r="27" spans="2:16">
      <c r="B27" s="2282"/>
      <c r="C27" s="763" t="str">
        <f t="shared" si="4"/>
        <v>南東</v>
      </c>
      <c r="D27" s="749">
        <f t="shared" si="7"/>
        <v>0</v>
      </c>
      <c r="E27" s="749">
        <f t="shared" si="7"/>
        <v>0</v>
      </c>
      <c r="F27" s="749">
        <f t="shared" si="7"/>
        <v>0</v>
      </c>
      <c r="G27" s="750">
        <f t="shared" si="7"/>
        <v>0</v>
      </c>
      <c r="H27" s="912"/>
      <c r="I27" s="912"/>
      <c r="J27" s="764">
        <f>IF(D32&gt;=D33,D27,IF(E32&gt;=D33,E27,F27))</f>
        <v>0</v>
      </c>
      <c r="K27" s="765">
        <f>温度条件他根拠!F36</f>
        <v>4.5</v>
      </c>
      <c r="L27" s="766">
        <f t="shared" si="8"/>
        <v>0</v>
      </c>
      <c r="M27" s="798"/>
      <c r="N27" s="767">
        <f t="shared" si="10"/>
        <v>0</v>
      </c>
      <c r="O27" s="765">
        <f t="shared" si="11"/>
        <v>4.5</v>
      </c>
      <c r="P27" s="766">
        <f t="shared" si="9"/>
        <v>0</v>
      </c>
    </row>
    <row r="28" spans="2:16">
      <c r="B28" s="2282"/>
      <c r="C28" s="763" t="str">
        <f t="shared" si="4"/>
        <v>南</v>
      </c>
      <c r="D28" s="749">
        <f t="shared" si="7"/>
        <v>0</v>
      </c>
      <c r="E28" s="749">
        <f t="shared" si="7"/>
        <v>0</v>
      </c>
      <c r="F28" s="749">
        <f t="shared" si="7"/>
        <v>0</v>
      </c>
      <c r="G28" s="750">
        <f t="shared" si="7"/>
        <v>0</v>
      </c>
      <c r="H28" s="912"/>
      <c r="I28" s="912"/>
      <c r="J28" s="764">
        <f>IF(D32&gt;=D33,D28,IF(E32&gt;=D33,E28,F28))</f>
        <v>0</v>
      </c>
      <c r="K28" s="768">
        <f>温度条件他根拠!G36</f>
        <v>5</v>
      </c>
      <c r="L28" s="766">
        <f t="shared" si="8"/>
        <v>0</v>
      </c>
      <c r="M28" s="798"/>
      <c r="N28" s="767">
        <f t="shared" si="10"/>
        <v>0</v>
      </c>
      <c r="O28" s="768">
        <f t="shared" si="11"/>
        <v>5</v>
      </c>
      <c r="P28" s="766">
        <f t="shared" si="9"/>
        <v>0</v>
      </c>
    </row>
    <row r="29" spans="2:16">
      <c r="B29" s="2282"/>
      <c r="C29" s="763" t="str">
        <f t="shared" si="4"/>
        <v>南西</v>
      </c>
      <c r="D29" s="749">
        <f t="shared" si="7"/>
        <v>0</v>
      </c>
      <c r="E29" s="749">
        <f t="shared" si="7"/>
        <v>0</v>
      </c>
      <c r="F29" s="749">
        <f t="shared" si="7"/>
        <v>0</v>
      </c>
      <c r="G29" s="750">
        <f t="shared" si="7"/>
        <v>0</v>
      </c>
      <c r="H29" s="912"/>
      <c r="I29" s="912"/>
      <c r="J29" s="764">
        <f>IF(D32&gt;=D33,D29,IF(E32&gt;=D33,E29,F29))</f>
        <v>0</v>
      </c>
      <c r="K29" s="765">
        <f>温度条件他根拠!H36</f>
        <v>4.5</v>
      </c>
      <c r="L29" s="766">
        <f t="shared" si="8"/>
        <v>0</v>
      </c>
      <c r="M29" s="798"/>
      <c r="N29" s="767">
        <f t="shared" si="10"/>
        <v>0</v>
      </c>
      <c r="O29" s="765">
        <f t="shared" si="11"/>
        <v>4.5</v>
      </c>
      <c r="P29" s="766">
        <f t="shared" si="9"/>
        <v>0</v>
      </c>
    </row>
    <row r="30" spans="2:16">
      <c r="B30" s="2282"/>
      <c r="C30" s="763" t="str">
        <f t="shared" si="4"/>
        <v>西</v>
      </c>
      <c r="D30" s="749">
        <f t="shared" si="7"/>
        <v>0</v>
      </c>
      <c r="E30" s="749">
        <f t="shared" si="7"/>
        <v>0</v>
      </c>
      <c r="F30" s="749">
        <f t="shared" si="7"/>
        <v>0</v>
      </c>
      <c r="G30" s="750">
        <f t="shared" si="7"/>
        <v>0</v>
      </c>
      <c r="H30" s="912"/>
      <c r="I30" s="912"/>
      <c r="J30" s="764">
        <f>IF(D32&gt;=D33,D30,IF(E32&gt;=D33,E30,F30))</f>
        <v>0</v>
      </c>
      <c r="K30" s="765">
        <f>温度条件他根拠!I36</f>
        <v>3.5</v>
      </c>
      <c r="L30" s="766">
        <f t="shared" si="8"/>
        <v>0</v>
      </c>
      <c r="M30" s="798"/>
      <c r="N30" s="767">
        <f t="shared" si="10"/>
        <v>0</v>
      </c>
      <c r="O30" s="765">
        <f t="shared" si="11"/>
        <v>3.5</v>
      </c>
      <c r="P30" s="766">
        <f t="shared" si="9"/>
        <v>0</v>
      </c>
    </row>
    <row r="31" spans="2:16" ht="13.5" thickBot="1">
      <c r="B31" s="2282"/>
      <c r="C31" s="769" t="str">
        <f t="shared" si="4"/>
        <v>北西</v>
      </c>
      <c r="D31" s="752">
        <f t="shared" si="7"/>
        <v>0</v>
      </c>
      <c r="E31" s="752">
        <f t="shared" si="7"/>
        <v>0</v>
      </c>
      <c r="F31" s="752">
        <f t="shared" si="7"/>
        <v>0</v>
      </c>
      <c r="G31" s="753">
        <f t="shared" si="7"/>
        <v>0</v>
      </c>
      <c r="H31" s="912"/>
      <c r="I31" s="912"/>
      <c r="J31" s="770">
        <f>IF(D32&gt;=D33,D31,IF(E32&gt;=D33,E31,F31))</f>
        <v>0</v>
      </c>
      <c r="K31" s="771">
        <f>温度条件他根拠!J36</f>
        <v>2.5</v>
      </c>
      <c r="L31" s="772">
        <f t="shared" si="8"/>
        <v>0</v>
      </c>
      <c r="M31" s="798"/>
      <c r="N31" s="767">
        <f t="shared" si="10"/>
        <v>0</v>
      </c>
      <c r="O31" s="765">
        <f t="shared" si="11"/>
        <v>2.5</v>
      </c>
      <c r="P31" s="772">
        <f t="shared" si="9"/>
        <v>0</v>
      </c>
    </row>
    <row r="32" spans="2:16" ht="13.5" thickBot="1">
      <c r="B32" s="2286"/>
      <c r="C32" s="773" t="str">
        <f t="shared" si="4"/>
        <v>合計</v>
      </c>
      <c r="D32" s="774">
        <f>SUM(D24:D31)</f>
        <v>0</v>
      </c>
      <c r="E32" s="774">
        <f t="shared" ref="E32:G32" si="12">SUM(E24:E31)</f>
        <v>0</v>
      </c>
      <c r="F32" s="774">
        <f t="shared" si="12"/>
        <v>0</v>
      </c>
      <c r="G32" s="775">
        <f t="shared" si="12"/>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4"/>
      <c r="C34" s="794"/>
      <c r="D34" s="794"/>
      <c r="E34" s="794"/>
      <c r="F34" s="794"/>
      <c r="G34" s="794"/>
      <c r="H34" s="798"/>
      <c r="I34" s="798"/>
      <c r="J34" s="794"/>
      <c r="K34" s="794"/>
      <c r="L34" s="794"/>
      <c r="M34" s="798"/>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05" t="s">
        <v>183</v>
      </c>
      <c r="C45" s="1205"/>
      <c r="D45" s="1205"/>
      <c r="E45" s="1205"/>
      <c r="F45" s="1205"/>
      <c r="G45" s="1205"/>
      <c r="H45" s="1205"/>
      <c r="I45" s="1205"/>
      <c r="J45" s="1205"/>
      <c r="K45" s="1205"/>
      <c r="L45" s="1205"/>
      <c r="M45" s="1205"/>
      <c r="N45" s="1205"/>
      <c r="O45" s="1205"/>
    </row>
    <row r="46" spans="2:30" ht="36">
      <c r="B46" s="604" t="s">
        <v>0</v>
      </c>
      <c r="C46" s="716" t="s">
        <v>1093</v>
      </c>
      <c r="D46" s="716" t="s">
        <v>1094</v>
      </c>
      <c r="E46" s="716" t="s">
        <v>1092</v>
      </c>
      <c r="F46" s="20" t="s">
        <v>42</v>
      </c>
      <c r="G46" s="20" t="s">
        <v>43</v>
      </c>
      <c r="H46" s="18" t="s">
        <v>35</v>
      </c>
      <c r="I46" s="18" t="s">
        <v>36</v>
      </c>
      <c r="J46" s="20" t="s">
        <v>2</v>
      </c>
      <c r="K46" s="20" t="s">
        <v>3</v>
      </c>
      <c r="L46" s="20" t="s">
        <v>39</v>
      </c>
      <c r="M46" s="20" t="s">
        <v>38</v>
      </c>
      <c r="N46" s="20" t="s">
        <v>37</v>
      </c>
      <c r="O46" s="20" t="s">
        <v>44</v>
      </c>
      <c r="Q46" s="604" t="s">
        <v>0</v>
      </c>
      <c r="R46" s="919" t="s">
        <v>1367</v>
      </c>
      <c r="S46" s="919" t="s">
        <v>1368</v>
      </c>
      <c r="T46" s="919" t="s">
        <v>1092</v>
      </c>
      <c r="U46" s="20" t="s">
        <v>42</v>
      </c>
      <c r="V46" s="20" t="s">
        <v>43</v>
      </c>
      <c r="W46" s="18" t="s">
        <v>35</v>
      </c>
      <c r="X46" s="18" t="s">
        <v>36</v>
      </c>
      <c r="Y46" s="20" t="s">
        <v>2</v>
      </c>
      <c r="Z46" s="20" t="s">
        <v>3</v>
      </c>
      <c r="AA46" s="20" t="s">
        <v>39</v>
      </c>
      <c r="AB46" s="20" t="s">
        <v>38</v>
      </c>
      <c r="AC46" s="20" t="s">
        <v>37</v>
      </c>
      <c r="AD46" s="20" t="s">
        <v>44</v>
      </c>
    </row>
    <row r="47" spans="2:30" ht="36">
      <c r="B47" s="604" t="s">
        <v>14</v>
      </c>
      <c r="C47" s="20" t="s">
        <v>16</v>
      </c>
      <c r="D47" s="20" t="s">
        <v>17</v>
      </c>
      <c r="E47" s="622" t="s">
        <v>18</v>
      </c>
      <c r="F47" s="20" t="s">
        <v>19</v>
      </c>
      <c r="G47" s="20" t="s">
        <v>20</v>
      </c>
      <c r="H47" s="20" t="s">
        <v>30</v>
      </c>
      <c r="I47" s="20" t="s">
        <v>29</v>
      </c>
      <c r="J47" s="20" t="s">
        <v>21</v>
      </c>
      <c r="K47" s="20" t="s">
        <v>22</v>
      </c>
      <c r="L47" s="20" t="s">
        <v>608</v>
      </c>
      <c r="M47" s="20" t="s">
        <v>607</v>
      </c>
      <c r="N47" s="605" t="s">
        <v>25</v>
      </c>
      <c r="O47" s="20" t="s">
        <v>32</v>
      </c>
      <c r="Q47" s="604" t="s">
        <v>14</v>
      </c>
      <c r="R47" s="20" t="s">
        <v>16</v>
      </c>
      <c r="S47" s="20" t="s">
        <v>17</v>
      </c>
      <c r="T47" s="622" t="s">
        <v>18</v>
      </c>
      <c r="U47" s="20" t="s">
        <v>19</v>
      </c>
      <c r="V47" s="20" t="s">
        <v>20</v>
      </c>
      <c r="W47" s="20" t="s">
        <v>30</v>
      </c>
      <c r="X47" s="20" t="s">
        <v>29</v>
      </c>
      <c r="Y47" s="20" t="s">
        <v>21</v>
      </c>
      <c r="Z47" s="20" t="s">
        <v>22</v>
      </c>
      <c r="AA47" s="20" t="s">
        <v>608</v>
      </c>
      <c r="AB47" s="20" t="s">
        <v>607</v>
      </c>
      <c r="AC47" s="605" t="s">
        <v>25</v>
      </c>
      <c r="AD47" s="20" t="s">
        <v>32</v>
      </c>
    </row>
    <row r="48" spans="2:30">
      <c r="B48" s="602" t="s">
        <v>15</v>
      </c>
      <c r="C48" s="737" t="s">
        <v>1091</v>
      </c>
      <c r="D48" s="737" t="s">
        <v>1091</v>
      </c>
      <c r="E48" s="737" t="s">
        <v>172</v>
      </c>
      <c r="F48" s="5" t="s">
        <v>10</v>
      </c>
      <c r="G48" s="5" t="s">
        <v>10</v>
      </c>
      <c r="H48" s="5" t="s">
        <v>27</v>
      </c>
      <c r="I48" s="5" t="s">
        <v>27</v>
      </c>
      <c r="J48" s="5" t="s">
        <v>10</v>
      </c>
      <c r="K48" s="5" t="s">
        <v>10</v>
      </c>
      <c r="L48" s="5" t="s">
        <v>27</v>
      </c>
      <c r="M48" s="5" t="s">
        <v>27</v>
      </c>
      <c r="N48" s="5" t="s">
        <v>27</v>
      </c>
      <c r="O48" s="602" t="s">
        <v>31</v>
      </c>
      <c r="Q48" s="602" t="s">
        <v>15</v>
      </c>
      <c r="R48" s="737" t="s">
        <v>1091</v>
      </c>
      <c r="S48" s="737" t="s">
        <v>1091</v>
      </c>
      <c r="T48" s="737" t="s">
        <v>172</v>
      </c>
      <c r="U48" s="5" t="s">
        <v>10</v>
      </c>
      <c r="V48" s="5" t="s">
        <v>10</v>
      </c>
      <c r="W48" s="5" t="s">
        <v>27</v>
      </c>
      <c r="X48" s="5" t="s">
        <v>27</v>
      </c>
      <c r="Y48" s="5" t="s">
        <v>10</v>
      </c>
      <c r="Z48" s="5" t="s">
        <v>10</v>
      </c>
      <c r="AA48" s="5" t="s">
        <v>27</v>
      </c>
      <c r="AB48" s="5" t="s">
        <v>27</v>
      </c>
      <c r="AC48" s="5" t="s">
        <v>27</v>
      </c>
      <c r="AD48" s="602" t="s">
        <v>31</v>
      </c>
    </row>
    <row r="49" spans="2:30">
      <c r="B49" s="602">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02">
        <v>1</v>
      </c>
      <c r="R49" s="3"/>
      <c r="S49" s="738">
        <f>P14</f>
        <v>0</v>
      </c>
      <c r="T49" s="739">
        <f>温度条件他根拠!E21</f>
        <v>0</v>
      </c>
      <c r="U49" s="740">
        <f>F49</f>
        <v>0</v>
      </c>
      <c r="V49" s="903">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02">
        <v>2</v>
      </c>
      <c r="C50" s="3"/>
      <c r="D50" s="3"/>
      <c r="E50" s="740">
        <f>E49</f>
        <v>0</v>
      </c>
      <c r="F50" s="740">
        <v>0</v>
      </c>
      <c r="G50" s="741">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02">
        <v>2</v>
      </c>
      <c r="R50" s="3"/>
      <c r="S50" s="3"/>
      <c r="T50" s="740">
        <f>T49</f>
        <v>0</v>
      </c>
      <c r="U50" s="740">
        <f t="shared" ref="U50:V60" si="21">F50</f>
        <v>0</v>
      </c>
      <c r="V50" s="903">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02">
        <v>3</v>
      </c>
      <c r="C51" s="3"/>
      <c r="D51" s="3"/>
      <c r="E51" s="740">
        <f t="shared" ref="E51:E60" si="24">E50</f>
        <v>0</v>
      </c>
      <c r="F51" s="740">
        <v>0</v>
      </c>
      <c r="G51" s="741">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02">
        <v>3</v>
      </c>
      <c r="R51" s="3"/>
      <c r="S51" s="3"/>
      <c r="T51" s="740">
        <f t="shared" ref="T51:T60" si="26">T50</f>
        <v>0</v>
      </c>
      <c r="U51" s="740">
        <f t="shared" si="21"/>
        <v>0</v>
      </c>
      <c r="V51" s="903">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02">
        <v>4</v>
      </c>
      <c r="C52" s="3"/>
      <c r="D52" s="3"/>
      <c r="E52" s="740">
        <f t="shared" si="24"/>
        <v>0</v>
      </c>
      <c r="F52" s="740">
        <v>0</v>
      </c>
      <c r="G52" s="741">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02">
        <v>4</v>
      </c>
      <c r="R52" s="3"/>
      <c r="S52" s="3"/>
      <c r="T52" s="740">
        <f t="shared" si="26"/>
        <v>0</v>
      </c>
      <c r="U52" s="740">
        <f t="shared" si="21"/>
        <v>0</v>
      </c>
      <c r="V52" s="903">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02">
        <v>5</v>
      </c>
      <c r="C53" s="3"/>
      <c r="D53" s="3"/>
      <c r="E53" s="740">
        <f t="shared" si="24"/>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5"/>
        <v>3.55</v>
      </c>
      <c r="K53" s="6">
        <f t="shared" si="25"/>
        <v>3.95</v>
      </c>
      <c r="L53" s="7">
        <f t="shared" si="13"/>
        <v>0</v>
      </c>
      <c r="M53" s="7">
        <f t="shared" si="13"/>
        <v>0</v>
      </c>
      <c r="N53" s="13">
        <f t="shared" si="19"/>
        <v>0</v>
      </c>
      <c r="O53" s="12">
        <f t="shared" si="20"/>
        <v>0</v>
      </c>
      <c r="Q53" s="602">
        <v>5</v>
      </c>
      <c r="R53" s="3"/>
      <c r="S53" s="3"/>
      <c r="T53" s="740">
        <f t="shared" si="26"/>
        <v>0</v>
      </c>
      <c r="U53" s="903">
        <f t="shared" si="21"/>
        <v>6.2171052631578946E-2</v>
      </c>
      <c r="V53" s="903">
        <f t="shared" si="21"/>
        <v>7.2727272727272738E-2</v>
      </c>
      <c r="W53" s="738">
        <f t="shared" si="14"/>
        <v>0</v>
      </c>
      <c r="X53" s="738">
        <f t="shared" si="15"/>
        <v>0</v>
      </c>
      <c r="Y53" s="2">
        <f t="shared" si="27"/>
        <v>3.55</v>
      </c>
      <c r="Z53" s="6">
        <f t="shared" si="27"/>
        <v>3.95</v>
      </c>
      <c r="AA53" s="7">
        <f t="shared" si="16"/>
        <v>0</v>
      </c>
      <c r="AB53" s="7">
        <f t="shared" si="16"/>
        <v>0</v>
      </c>
      <c r="AC53" s="13">
        <f t="shared" si="22"/>
        <v>0</v>
      </c>
      <c r="AD53" s="12">
        <f t="shared" si="23"/>
        <v>0</v>
      </c>
    </row>
    <row r="54" spans="2:30">
      <c r="B54" s="602">
        <v>6</v>
      </c>
      <c r="C54" s="3"/>
      <c r="D54" s="3"/>
      <c r="E54" s="740">
        <f t="shared" si="24"/>
        <v>0</v>
      </c>
      <c r="F54" s="741">
        <f>0.7*(温度条件他根拠!$F$7-温度条件他根拠!$F$9)/(温度条件他根拠!$F$7-25.5)</f>
        <v>0.36346153846153839</v>
      </c>
      <c r="G54" s="740">
        <v>0</v>
      </c>
      <c r="H54" s="7">
        <f t="shared" si="17"/>
        <v>0</v>
      </c>
      <c r="I54" s="7">
        <f t="shared" si="18"/>
        <v>0</v>
      </c>
      <c r="J54" s="2">
        <f t="shared" si="25"/>
        <v>3.55</v>
      </c>
      <c r="K54" s="6">
        <f t="shared" si="25"/>
        <v>3.95</v>
      </c>
      <c r="L54" s="7">
        <f t="shared" si="13"/>
        <v>0</v>
      </c>
      <c r="M54" s="7">
        <f t="shared" si="13"/>
        <v>0</v>
      </c>
      <c r="N54" s="13">
        <f t="shared" si="19"/>
        <v>0</v>
      </c>
      <c r="O54" s="12">
        <f t="shared" si="20"/>
        <v>0</v>
      </c>
      <c r="Q54" s="602">
        <v>6</v>
      </c>
      <c r="R54" s="3"/>
      <c r="S54" s="3"/>
      <c r="T54" s="740">
        <f t="shared" si="26"/>
        <v>0</v>
      </c>
      <c r="U54" s="903">
        <f t="shared" si="21"/>
        <v>0.36346153846153839</v>
      </c>
      <c r="V54" s="740">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02">
        <v>7</v>
      </c>
      <c r="C55" s="3"/>
      <c r="D55" s="3"/>
      <c r="E55" s="740">
        <f t="shared" si="24"/>
        <v>0</v>
      </c>
      <c r="F55" s="741">
        <f>0.7*(温度条件他根拠!$F$7-温度条件他根拠!$F$9)/(温度条件他根拠!$F$7-28)</f>
        <v>0.7</v>
      </c>
      <c r="G55" s="740">
        <v>0</v>
      </c>
      <c r="H55" s="7">
        <f t="shared" si="17"/>
        <v>0</v>
      </c>
      <c r="I55" s="7">
        <f t="shared" si="18"/>
        <v>0</v>
      </c>
      <c r="J55" s="2">
        <f t="shared" si="25"/>
        <v>3.55</v>
      </c>
      <c r="K55" s="6">
        <f t="shared" si="25"/>
        <v>3.95</v>
      </c>
      <c r="L55" s="7">
        <f t="shared" si="13"/>
        <v>0</v>
      </c>
      <c r="M55" s="7">
        <f t="shared" si="13"/>
        <v>0</v>
      </c>
      <c r="N55" s="13">
        <f t="shared" si="19"/>
        <v>0</v>
      </c>
      <c r="O55" s="12">
        <f t="shared" si="20"/>
        <v>0</v>
      </c>
      <c r="Q55" s="602">
        <v>7</v>
      </c>
      <c r="R55" s="3"/>
      <c r="S55" s="3"/>
      <c r="T55" s="740">
        <f t="shared" si="26"/>
        <v>0</v>
      </c>
      <c r="U55" s="903">
        <f t="shared" si="21"/>
        <v>0.7</v>
      </c>
      <c r="V55" s="740">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02">
        <v>8</v>
      </c>
      <c r="C56" s="738">
        <f>L32</f>
        <v>0</v>
      </c>
      <c r="D56" s="3"/>
      <c r="E56" s="740">
        <f t="shared" si="24"/>
        <v>0</v>
      </c>
      <c r="F56" s="741">
        <f>0.7*(温度条件他根拠!$F$7-温度条件他根拠!$F$9)/(温度条件他根拠!$F$7-28)</f>
        <v>0.7</v>
      </c>
      <c r="G56" s="740">
        <v>0</v>
      </c>
      <c r="H56" s="7">
        <f t="shared" si="17"/>
        <v>0</v>
      </c>
      <c r="I56" s="7">
        <f t="shared" si="18"/>
        <v>0</v>
      </c>
      <c r="J56" s="2">
        <f t="shared" si="25"/>
        <v>3.55</v>
      </c>
      <c r="K56" s="6">
        <f t="shared" si="25"/>
        <v>3.95</v>
      </c>
      <c r="L56" s="7">
        <f t="shared" si="13"/>
        <v>0</v>
      </c>
      <c r="M56" s="7">
        <f t="shared" si="13"/>
        <v>0</v>
      </c>
      <c r="N56" s="13">
        <f t="shared" si="19"/>
        <v>0</v>
      </c>
      <c r="O56" s="12">
        <f t="shared" si="20"/>
        <v>0</v>
      </c>
      <c r="Q56" s="602">
        <v>8</v>
      </c>
      <c r="R56" s="738">
        <f>L14</f>
        <v>0</v>
      </c>
      <c r="S56" s="3"/>
      <c r="T56" s="740">
        <f t="shared" si="26"/>
        <v>0</v>
      </c>
      <c r="U56" s="903">
        <f t="shared" si="21"/>
        <v>0.7</v>
      </c>
      <c r="V56" s="740">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02">
        <v>9</v>
      </c>
      <c r="C57" s="3"/>
      <c r="D57" s="3"/>
      <c r="E57" s="740">
        <f t="shared" si="24"/>
        <v>0</v>
      </c>
      <c r="F57" s="741">
        <f>0.7*(温度条件他根拠!$F$7-温度条件他根拠!$F$9)/(温度条件他根拠!$F$7-25.9)</f>
        <v>0.39374999999999982</v>
      </c>
      <c r="G57" s="740">
        <v>0</v>
      </c>
      <c r="H57" s="7">
        <f t="shared" si="17"/>
        <v>0</v>
      </c>
      <c r="I57" s="7">
        <f t="shared" si="18"/>
        <v>0</v>
      </c>
      <c r="J57" s="2">
        <f t="shared" si="25"/>
        <v>3.55</v>
      </c>
      <c r="K57" s="6">
        <f t="shared" si="25"/>
        <v>3.95</v>
      </c>
      <c r="L57" s="7">
        <f t="shared" si="13"/>
        <v>0</v>
      </c>
      <c r="M57" s="7">
        <f t="shared" si="13"/>
        <v>0</v>
      </c>
      <c r="N57" s="13">
        <f t="shared" si="19"/>
        <v>0</v>
      </c>
      <c r="O57" s="12">
        <f t="shared" si="20"/>
        <v>0</v>
      </c>
      <c r="Q57" s="602">
        <v>9</v>
      </c>
      <c r="R57" s="3"/>
      <c r="S57" s="3"/>
      <c r="T57" s="740">
        <f t="shared" si="26"/>
        <v>0</v>
      </c>
      <c r="U57" s="903">
        <f t="shared" si="21"/>
        <v>0.39374999999999982</v>
      </c>
      <c r="V57" s="740">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02">
        <v>10</v>
      </c>
      <c r="C58" s="3"/>
      <c r="D58" s="3"/>
      <c r="E58" s="740">
        <f t="shared" si="24"/>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5"/>
        <v>3.55</v>
      </c>
      <c r="K58" s="6">
        <f t="shared" si="25"/>
        <v>3.95</v>
      </c>
      <c r="L58" s="7">
        <f t="shared" si="13"/>
        <v>0</v>
      </c>
      <c r="M58" s="7">
        <f t="shared" si="13"/>
        <v>0</v>
      </c>
      <c r="N58" s="13">
        <f t="shared" si="19"/>
        <v>0</v>
      </c>
      <c r="O58" s="12">
        <f t="shared" si="20"/>
        <v>0</v>
      </c>
      <c r="Q58" s="602">
        <v>10</v>
      </c>
      <c r="R58" s="3"/>
      <c r="S58" s="3"/>
      <c r="T58" s="740">
        <f t="shared" si="26"/>
        <v>0</v>
      </c>
      <c r="U58" s="903">
        <f t="shared" si="21"/>
        <v>4.6323529411764694E-2</v>
      </c>
      <c r="V58" s="903">
        <f t="shared" si="21"/>
        <v>7.8512396694214878E-2</v>
      </c>
      <c r="W58" s="738">
        <f>($R$56*T58*U58/1000)</f>
        <v>0</v>
      </c>
      <c r="X58" s="738">
        <f>(V58*T58*$S$49/1000)</f>
        <v>0</v>
      </c>
      <c r="Y58" s="2">
        <f t="shared" si="27"/>
        <v>3.55</v>
      </c>
      <c r="Z58" s="6">
        <f t="shared" si="27"/>
        <v>3.95</v>
      </c>
      <c r="AA58" s="7">
        <f t="shared" si="16"/>
        <v>0</v>
      </c>
      <c r="AB58" s="7">
        <f t="shared" si="16"/>
        <v>0</v>
      </c>
      <c r="AC58" s="13">
        <f t="shared" si="22"/>
        <v>0</v>
      </c>
      <c r="AD58" s="12">
        <f t="shared" si="23"/>
        <v>0</v>
      </c>
    </row>
    <row r="59" spans="2:30">
      <c r="B59" s="602">
        <v>11</v>
      </c>
      <c r="C59" s="3"/>
      <c r="D59" s="3"/>
      <c r="E59" s="740">
        <f t="shared" si="24"/>
        <v>0</v>
      </c>
      <c r="F59" s="740">
        <v>0</v>
      </c>
      <c r="G59" s="741">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02">
        <v>11</v>
      </c>
      <c r="R59" s="3"/>
      <c r="S59" s="3"/>
      <c r="T59" s="740">
        <f t="shared" si="26"/>
        <v>0</v>
      </c>
      <c r="U59" s="740">
        <f t="shared" si="21"/>
        <v>0</v>
      </c>
      <c r="V59" s="903">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02">
        <v>12</v>
      </c>
      <c r="C60" s="3"/>
      <c r="D60" s="3"/>
      <c r="E60" s="740">
        <f t="shared" si="24"/>
        <v>0</v>
      </c>
      <c r="F60" s="740">
        <v>0</v>
      </c>
      <c r="G60" s="741">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02">
        <v>12</v>
      </c>
      <c r="R60" s="3"/>
      <c r="S60" s="3"/>
      <c r="T60" s="740">
        <f t="shared" si="26"/>
        <v>0</v>
      </c>
      <c r="U60" s="740">
        <f t="shared" si="21"/>
        <v>0</v>
      </c>
      <c r="V60" s="903">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802" t="s">
        <v>851</v>
      </c>
    </row>
    <row r="87" spans="2:3">
      <c r="B87" s="609">
        <v>43927</v>
      </c>
      <c r="C87" s="608" t="s">
        <v>852</v>
      </c>
    </row>
    <row r="88" spans="2:3">
      <c r="B88" s="609">
        <v>44634</v>
      </c>
      <c r="C88" s="608" t="s">
        <v>1095</v>
      </c>
    </row>
    <row r="89" spans="2:3">
      <c r="C89" s="608" t="s">
        <v>1096</v>
      </c>
    </row>
    <row r="90" spans="2:3">
      <c r="C90" s="1" t="s">
        <v>1097</v>
      </c>
    </row>
    <row r="91" spans="2:3">
      <c r="C91" s="1" t="s">
        <v>1109</v>
      </c>
    </row>
    <row r="92" spans="2:3">
      <c r="C92" s="1" t="s">
        <v>1110</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topLeftCell="H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623" t="str">
        <f ca="1">RIGHT(CELL("filename",C1),LEN(CELL("filename",C1))-FIND("]",CELL("filename",C1)))</f>
        <v>秩父市窓断熱</v>
      </c>
    </row>
    <row r="2" spans="2:16" ht="13.5" thickBot="1">
      <c r="B2" s="2287"/>
      <c r="C2" s="2287"/>
      <c r="D2" s="2287"/>
      <c r="E2" s="2287"/>
      <c r="F2" s="2287"/>
      <c r="G2" s="2287"/>
      <c r="H2" s="2287"/>
      <c r="I2" s="2287"/>
      <c r="J2" s="2287"/>
      <c r="K2" s="2287"/>
      <c r="L2" s="2287"/>
      <c r="M2" s="2287"/>
      <c r="N2" s="2287"/>
      <c r="O2" s="2287"/>
    </row>
    <row r="3" spans="2:16" ht="13.5" thickBot="1">
      <c r="B3" s="742" t="s">
        <v>1069</v>
      </c>
      <c r="C3" s="792"/>
      <c r="D3" s="743"/>
      <c r="E3" s="743"/>
      <c r="F3" s="743"/>
      <c r="G3" s="743"/>
      <c r="H3" s="912"/>
      <c r="I3" s="912"/>
      <c r="J3" s="2266" t="str">
        <f>J16</f>
        <v>D
時間帯合計値の最大値の方位別冷房負荷（計算採用値）</v>
      </c>
      <c r="K3" s="2269" t="str">
        <f>K16</f>
        <v>E
操業時間
(h/日)</v>
      </c>
      <c r="L3" s="2272" t="str">
        <f>L16</f>
        <v>①
＝ΣD×E
方位別
日冷房
負荷
削減量
（W・h/日）</v>
      </c>
      <c r="M3" s="799"/>
      <c r="N3" s="2266" t="str">
        <f>N16</f>
        <v>F
時間帯合計値の最大値の方位別暖房負荷（計算採用値）</v>
      </c>
      <c r="O3" s="2269" t="str">
        <f>O16</f>
        <v>E
操業時間
(h/日)</v>
      </c>
      <c r="P3" s="2272" t="str">
        <f>P16</f>
        <v>②
＝ΣF×E
方位別
日暖房
負荷
削減量
（W・h/日）</v>
      </c>
    </row>
    <row r="4" spans="2:16">
      <c r="B4" s="2275" t="s">
        <v>1070</v>
      </c>
      <c r="C4" s="2276"/>
      <c r="D4" s="2276" t="s">
        <v>1071</v>
      </c>
      <c r="E4" s="2276"/>
      <c r="F4" s="2276"/>
      <c r="G4" s="2279" t="s">
        <v>1098</v>
      </c>
      <c r="H4" s="796"/>
      <c r="I4" s="796"/>
      <c r="J4" s="2267"/>
      <c r="K4" s="2270"/>
      <c r="L4" s="2273"/>
      <c r="M4" s="798"/>
      <c r="N4" s="2267"/>
      <c r="O4" s="2270"/>
      <c r="P4" s="2273"/>
    </row>
    <row r="5" spans="2:16" ht="13.5" thickBot="1">
      <c r="B5" s="2277"/>
      <c r="C5" s="2278"/>
      <c r="D5" s="744" t="s">
        <v>1074</v>
      </c>
      <c r="E5" s="744" t="s">
        <v>1075</v>
      </c>
      <c r="F5" s="744" t="s">
        <v>1076</v>
      </c>
      <c r="G5" s="2280"/>
      <c r="H5" s="796"/>
      <c r="I5" s="796"/>
      <c r="J5" s="2268"/>
      <c r="K5" s="2271"/>
      <c r="L5" s="2274"/>
      <c r="M5" s="798"/>
      <c r="N5" s="2268"/>
      <c r="O5" s="2271"/>
      <c r="P5" s="2274"/>
    </row>
    <row r="6" spans="2:16">
      <c r="B6" s="2281" t="s">
        <v>1099</v>
      </c>
      <c r="C6" s="783" t="s">
        <v>1371</v>
      </c>
      <c r="D6" s="784">
        <f>結果!H40+結果!H54</f>
        <v>0</v>
      </c>
      <c r="E6" s="784">
        <f>結果!J40+結果!J54</f>
        <v>0</v>
      </c>
      <c r="F6" s="784">
        <f>結果!L40+結果!L54</f>
        <v>0</v>
      </c>
      <c r="G6" s="785">
        <f>結果!Q40</f>
        <v>0</v>
      </c>
      <c r="H6" s="796"/>
      <c r="I6" s="796"/>
      <c r="J6" s="1021">
        <f>IF(D32&gt;=D33,D6,IF(E32&gt;=D33,E6,F6))</f>
        <v>0</v>
      </c>
      <c r="K6" s="759">
        <f>K24</f>
        <v>0</v>
      </c>
      <c r="L6" s="761">
        <f>K6*J6</f>
        <v>0</v>
      </c>
      <c r="M6" s="798"/>
      <c r="N6" s="762">
        <f>G6</f>
        <v>0</v>
      </c>
      <c r="O6" s="760">
        <f>K6</f>
        <v>0</v>
      </c>
      <c r="P6" s="761">
        <f>O6*N6</f>
        <v>0</v>
      </c>
    </row>
    <row r="7" spans="2:16">
      <c r="B7" s="2282"/>
      <c r="C7" s="779" t="s">
        <v>1372</v>
      </c>
      <c r="D7" s="784">
        <f>結果!H41+結果!H55</f>
        <v>0</v>
      </c>
      <c r="E7" s="784">
        <f>結果!J41+結果!J55</f>
        <v>0</v>
      </c>
      <c r="F7" s="784">
        <f>結果!L41+結果!L55</f>
        <v>0</v>
      </c>
      <c r="G7" s="781">
        <f>結果!Q41</f>
        <v>0</v>
      </c>
      <c r="H7" s="796"/>
      <c r="I7" s="796"/>
      <c r="J7" s="1022">
        <f>IF(D32&gt;=D33,D7,IF(E32&gt;=D33,E7,F7))</f>
        <v>0</v>
      </c>
      <c r="K7" s="764">
        <f>K25</f>
        <v>0</v>
      </c>
      <c r="L7" s="766">
        <f t="shared" ref="L7:L13" si="0">K7*J7</f>
        <v>0</v>
      </c>
      <c r="M7" s="798"/>
      <c r="N7" s="767">
        <f>G7</f>
        <v>0</v>
      </c>
      <c r="O7" s="765">
        <f>K7</f>
        <v>0</v>
      </c>
      <c r="P7" s="766">
        <f t="shared" ref="P7:P13" si="1">O7*N7</f>
        <v>0</v>
      </c>
    </row>
    <row r="8" spans="2:16">
      <c r="B8" s="2282"/>
      <c r="C8" s="779" t="s">
        <v>1373</v>
      </c>
      <c r="D8" s="784">
        <f>結果!H42+結果!H56</f>
        <v>0</v>
      </c>
      <c r="E8" s="784">
        <f>結果!J42+結果!J56</f>
        <v>0</v>
      </c>
      <c r="F8" s="784">
        <f>結果!L42+結果!L56</f>
        <v>0</v>
      </c>
      <c r="G8" s="781">
        <f>結果!Q42</f>
        <v>0</v>
      </c>
      <c r="H8" s="796"/>
      <c r="I8" s="796"/>
      <c r="J8" s="1022">
        <f>IF(D32&gt;=D33,D8,IF(E32&gt;=D33,E8,F8))</f>
        <v>0</v>
      </c>
      <c r="K8" s="764">
        <f t="shared" ref="K8:K13" si="2">K26</f>
        <v>0</v>
      </c>
      <c r="L8" s="766">
        <f t="shared" si="0"/>
        <v>0</v>
      </c>
      <c r="M8" s="798"/>
      <c r="N8" s="767">
        <f t="shared" ref="N8:N12" si="3">G8</f>
        <v>0</v>
      </c>
      <c r="O8" s="765">
        <f t="shared" ref="O8:O13" si="4">K8</f>
        <v>0</v>
      </c>
      <c r="P8" s="766">
        <f t="shared" si="1"/>
        <v>0</v>
      </c>
    </row>
    <row r="9" spans="2:16">
      <c r="B9" s="2282"/>
      <c r="C9" s="779" t="s">
        <v>1374</v>
      </c>
      <c r="D9" s="784">
        <f>結果!H43+結果!H57</f>
        <v>0</v>
      </c>
      <c r="E9" s="784">
        <f>結果!J43+結果!J57</f>
        <v>0</v>
      </c>
      <c r="F9" s="784">
        <f>結果!L43+結果!L57</f>
        <v>0</v>
      </c>
      <c r="G9" s="781">
        <f>結果!Q43</f>
        <v>0</v>
      </c>
      <c r="H9" s="796"/>
      <c r="I9" s="796"/>
      <c r="J9" s="1022">
        <f>IF(D32&gt;=D33,D9,IF(E32&gt;=D33,E9,F9))</f>
        <v>0</v>
      </c>
      <c r="K9" s="764">
        <f t="shared" si="2"/>
        <v>0</v>
      </c>
      <c r="L9" s="766">
        <f t="shared" si="0"/>
        <v>0</v>
      </c>
      <c r="M9" s="798"/>
      <c r="N9" s="767">
        <f t="shared" si="3"/>
        <v>0</v>
      </c>
      <c r="O9" s="765">
        <f t="shared" si="4"/>
        <v>0</v>
      </c>
      <c r="P9" s="766">
        <f t="shared" si="1"/>
        <v>0</v>
      </c>
    </row>
    <row r="10" spans="2:16">
      <c r="B10" s="2282"/>
      <c r="C10" s="779" t="s">
        <v>1375</v>
      </c>
      <c r="D10" s="784">
        <f>結果!H44+結果!H58</f>
        <v>0</v>
      </c>
      <c r="E10" s="784">
        <f>結果!J44+結果!J58</f>
        <v>0</v>
      </c>
      <c r="F10" s="784">
        <f>結果!L44+結果!L58</f>
        <v>0</v>
      </c>
      <c r="G10" s="781">
        <f>結果!Q44</f>
        <v>0</v>
      </c>
      <c r="H10" s="796"/>
      <c r="I10" s="796"/>
      <c r="J10" s="1022">
        <f>IF(D32&gt;=D33,D10,IF(E32&gt;=D33,E10,F10))</f>
        <v>0</v>
      </c>
      <c r="K10" s="764">
        <f t="shared" si="2"/>
        <v>0</v>
      </c>
      <c r="L10" s="766">
        <f t="shared" si="0"/>
        <v>0</v>
      </c>
      <c r="M10" s="798"/>
      <c r="N10" s="767">
        <f t="shared" si="3"/>
        <v>0</v>
      </c>
      <c r="O10" s="764">
        <f t="shared" si="4"/>
        <v>0</v>
      </c>
      <c r="P10" s="766">
        <f t="shared" si="1"/>
        <v>0</v>
      </c>
    </row>
    <row r="11" spans="2:16">
      <c r="B11" s="2282"/>
      <c r="C11" s="779" t="s">
        <v>1376</v>
      </c>
      <c r="D11" s="784">
        <f>結果!H45+結果!H59</f>
        <v>0</v>
      </c>
      <c r="E11" s="784">
        <f>結果!J45+結果!J59</f>
        <v>0</v>
      </c>
      <c r="F11" s="784">
        <f>結果!L45+結果!L59</f>
        <v>0</v>
      </c>
      <c r="G11" s="781">
        <f>結果!Q45</f>
        <v>0</v>
      </c>
      <c r="H11" s="796"/>
      <c r="I11" s="796"/>
      <c r="J11" s="1022">
        <f>IF(D32&gt;=D33,D11,IF(E32&gt;=D33,E11,F11))</f>
        <v>0</v>
      </c>
      <c r="K11" s="764">
        <f t="shared" si="2"/>
        <v>0</v>
      </c>
      <c r="L11" s="766">
        <f t="shared" si="0"/>
        <v>0</v>
      </c>
      <c r="M11" s="798"/>
      <c r="N11" s="767">
        <f t="shared" si="3"/>
        <v>0</v>
      </c>
      <c r="O11" s="765">
        <f t="shared" si="4"/>
        <v>0</v>
      </c>
      <c r="P11" s="766">
        <f t="shared" si="1"/>
        <v>0</v>
      </c>
    </row>
    <row r="12" spans="2:16">
      <c r="B12" s="2282"/>
      <c r="C12" s="779" t="s">
        <v>1377</v>
      </c>
      <c r="D12" s="784">
        <f>結果!H46+結果!H60</f>
        <v>0</v>
      </c>
      <c r="E12" s="784">
        <f>結果!J46+結果!J60</f>
        <v>0</v>
      </c>
      <c r="F12" s="784">
        <f>結果!L46+結果!L60</f>
        <v>0</v>
      </c>
      <c r="G12" s="781">
        <f>結果!Q46</f>
        <v>0</v>
      </c>
      <c r="H12" s="796"/>
      <c r="I12" s="796"/>
      <c r="J12" s="1022">
        <f>IF(D32&gt;=D33,D12,IF(E32&gt;=D33,E12,F12))</f>
        <v>0</v>
      </c>
      <c r="K12" s="764">
        <f t="shared" si="2"/>
        <v>0</v>
      </c>
      <c r="L12" s="766">
        <f t="shared" si="0"/>
        <v>0</v>
      </c>
      <c r="M12" s="798"/>
      <c r="N12" s="767">
        <f t="shared" si="3"/>
        <v>0</v>
      </c>
      <c r="O12" s="765">
        <f t="shared" si="4"/>
        <v>0</v>
      </c>
      <c r="P12" s="766">
        <f t="shared" si="1"/>
        <v>0</v>
      </c>
    </row>
    <row r="13" spans="2:16" ht="13.5" thickBot="1">
      <c r="B13" s="2282"/>
      <c r="C13" s="780" t="s">
        <v>1378</v>
      </c>
      <c r="D13" s="784">
        <f>結果!H47+結果!H61</f>
        <v>0</v>
      </c>
      <c r="E13" s="784">
        <f>結果!J47+結果!J61</f>
        <v>0</v>
      </c>
      <c r="F13" s="784">
        <f>結果!L47+結果!L61</f>
        <v>0</v>
      </c>
      <c r="G13" s="781">
        <f>結果!Q47</f>
        <v>0</v>
      </c>
      <c r="H13" s="796"/>
      <c r="I13" s="796"/>
      <c r="J13" s="1023">
        <f>IF(D32&gt;=D33,D13,IF(E32&gt;=D33,E13,F13))</f>
        <v>0</v>
      </c>
      <c r="K13" s="764">
        <f t="shared" si="2"/>
        <v>0</v>
      </c>
      <c r="L13" s="772">
        <f t="shared" si="0"/>
        <v>0</v>
      </c>
      <c r="M13" s="798"/>
      <c r="N13" s="767">
        <f>G13</f>
        <v>0</v>
      </c>
      <c r="O13" s="765">
        <f t="shared" si="4"/>
        <v>0</v>
      </c>
      <c r="P13" s="772">
        <f t="shared" si="1"/>
        <v>0</v>
      </c>
    </row>
    <row r="14" spans="2:16" ht="13.5" customHeight="1" thickBot="1">
      <c r="B14" s="2283"/>
      <c r="C14" s="754" t="s">
        <v>1100</v>
      </c>
      <c r="D14" s="755">
        <f>SUM(D6:D13)</f>
        <v>0</v>
      </c>
      <c r="E14" s="755">
        <f t="shared" ref="E14:G14" si="5">SUM(E6:E13)</f>
        <v>0</v>
      </c>
      <c r="F14" s="755">
        <f t="shared" si="5"/>
        <v>0</v>
      </c>
      <c r="G14" s="756">
        <f t="shared" si="5"/>
        <v>0</v>
      </c>
      <c r="H14" s="796"/>
      <c r="I14" s="796"/>
      <c r="J14" s="776">
        <f>SUM(J6:J13)</f>
        <v>0</v>
      </c>
      <c r="K14" s="777"/>
      <c r="L14" s="778">
        <f>SUM(L6:L13)</f>
        <v>0</v>
      </c>
      <c r="M14" s="798"/>
      <c r="N14" s="776">
        <f>SUM(N6:N13)</f>
        <v>0</v>
      </c>
      <c r="O14" s="777"/>
      <c r="P14" s="778">
        <f>SUM(P6:P13)</f>
        <v>0</v>
      </c>
    </row>
    <row r="15" spans="2:16" ht="13.5" thickBot="1">
      <c r="B15" s="2275" t="s">
        <v>1104</v>
      </c>
      <c r="C15" s="800" t="str">
        <f>C6</f>
        <v>北</v>
      </c>
      <c r="D15" s="784">
        <f>結果!H80+結果!H94</f>
        <v>0</v>
      </c>
      <c r="E15" s="784">
        <f>結果!J80+結果!J94</f>
        <v>0</v>
      </c>
      <c r="F15" s="784">
        <f>結果!L80+結果!L94</f>
        <v>0</v>
      </c>
      <c r="G15" s="801">
        <f>結果!Q80</f>
        <v>0</v>
      </c>
      <c r="H15" s="912"/>
      <c r="I15" s="912"/>
      <c r="J15" s="796"/>
      <c r="K15" s="796"/>
      <c r="L15" s="796"/>
      <c r="M15" s="798"/>
      <c r="N15" s="798"/>
      <c r="O15" s="798"/>
      <c r="P15" s="799"/>
    </row>
    <row r="16" spans="2:16">
      <c r="B16" s="2282"/>
      <c r="C16" s="748" t="str">
        <f t="shared" ref="C16:C32" si="6">C7</f>
        <v>北東</v>
      </c>
      <c r="D16" s="749">
        <f>結果!H81+結果!H95</f>
        <v>0</v>
      </c>
      <c r="E16" s="749">
        <f>結果!J81+結果!J95</f>
        <v>0</v>
      </c>
      <c r="F16" s="749">
        <f>結果!L81+結果!L95</f>
        <v>0</v>
      </c>
      <c r="G16" s="750">
        <f>結果!Q81</f>
        <v>0</v>
      </c>
      <c r="H16" s="912"/>
      <c r="I16" s="912"/>
      <c r="J16" s="2263" t="s">
        <v>1101</v>
      </c>
      <c r="K16" s="2263" t="s">
        <v>1116</v>
      </c>
      <c r="L16" s="2263" t="s">
        <v>1102</v>
      </c>
      <c r="M16" s="798"/>
      <c r="N16" s="2263" t="s">
        <v>1103</v>
      </c>
      <c r="O16" s="2263" t="s">
        <v>1116</v>
      </c>
      <c r="P16" s="2263" t="s">
        <v>1366</v>
      </c>
    </row>
    <row r="17" spans="2:16">
      <c r="B17" s="2282"/>
      <c r="C17" s="748" t="str">
        <f t="shared" si="6"/>
        <v>東</v>
      </c>
      <c r="D17" s="749">
        <f>結果!H82+結果!H96</f>
        <v>0</v>
      </c>
      <c r="E17" s="749">
        <f>結果!J82+結果!J96</f>
        <v>0</v>
      </c>
      <c r="F17" s="749">
        <f>結果!L82+結果!L96</f>
        <v>0</v>
      </c>
      <c r="G17" s="750">
        <f>結果!Q82</f>
        <v>0</v>
      </c>
      <c r="H17" s="912"/>
      <c r="I17" s="912"/>
      <c r="J17" s="2264"/>
      <c r="K17" s="2264"/>
      <c r="L17" s="2264"/>
      <c r="M17" s="798"/>
      <c r="N17" s="2264"/>
      <c r="O17" s="2264"/>
      <c r="P17" s="2264"/>
    </row>
    <row r="18" spans="2:16">
      <c r="B18" s="2282"/>
      <c r="C18" s="748" t="str">
        <f t="shared" si="6"/>
        <v>南東</v>
      </c>
      <c r="D18" s="749">
        <f>結果!H83+結果!H97</f>
        <v>0</v>
      </c>
      <c r="E18" s="749">
        <f>結果!J83+結果!J97</f>
        <v>0</v>
      </c>
      <c r="F18" s="749">
        <f>結果!L83+結果!L97</f>
        <v>0</v>
      </c>
      <c r="G18" s="750">
        <f>結果!Q83</f>
        <v>0</v>
      </c>
      <c r="H18" s="912"/>
      <c r="I18" s="912"/>
      <c r="J18" s="2264"/>
      <c r="K18" s="2264"/>
      <c r="L18" s="2264"/>
      <c r="M18" s="798"/>
      <c r="N18" s="2264"/>
      <c r="O18" s="2264"/>
      <c r="P18" s="2264"/>
    </row>
    <row r="19" spans="2:16">
      <c r="B19" s="2282"/>
      <c r="C19" s="748" t="str">
        <f t="shared" si="6"/>
        <v>南</v>
      </c>
      <c r="D19" s="749">
        <f>結果!H84+結果!H98</f>
        <v>0</v>
      </c>
      <c r="E19" s="749">
        <f>結果!J84+結果!J98</f>
        <v>0</v>
      </c>
      <c r="F19" s="749">
        <f>結果!L84+結果!L98</f>
        <v>0</v>
      </c>
      <c r="G19" s="750">
        <f>結果!Q84</f>
        <v>0</v>
      </c>
      <c r="H19" s="912"/>
      <c r="I19" s="912"/>
      <c r="J19" s="2264"/>
      <c r="K19" s="2264"/>
      <c r="L19" s="2264"/>
      <c r="M19" s="798"/>
      <c r="N19" s="2264"/>
      <c r="O19" s="2264"/>
      <c r="P19" s="2264"/>
    </row>
    <row r="20" spans="2:16">
      <c r="B20" s="2282"/>
      <c r="C20" s="748" t="str">
        <f t="shared" si="6"/>
        <v>南西</v>
      </c>
      <c r="D20" s="749">
        <f>結果!H85+結果!H99</f>
        <v>0</v>
      </c>
      <c r="E20" s="749">
        <f>結果!J85+結果!J99</f>
        <v>0</v>
      </c>
      <c r="F20" s="749">
        <f>結果!L85+結果!L99</f>
        <v>0</v>
      </c>
      <c r="G20" s="750">
        <f>結果!Q85</f>
        <v>0</v>
      </c>
      <c r="H20" s="912"/>
      <c r="I20" s="912"/>
      <c r="J20" s="2264"/>
      <c r="K20" s="2264"/>
      <c r="L20" s="2264"/>
      <c r="M20" s="798"/>
      <c r="N20" s="2264"/>
      <c r="O20" s="2264"/>
      <c r="P20" s="2264"/>
    </row>
    <row r="21" spans="2:16">
      <c r="B21" s="2282"/>
      <c r="C21" s="748" t="str">
        <f t="shared" si="6"/>
        <v>西</v>
      </c>
      <c r="D21" s="749">
        <f>結果!H86+結果!H100</f>
        <v>0</v>
      </c>
      <c r="E21" s="749">
        <f>結果!J86+結果!J100</f>
        <v>0</v>
      </c>
      <c r="F21" s="749">
        <f>結果!L86+結果!L100</f>
        <v>0</v>
      </c>
      <c r="G21" s="750">
        <f>結果!Q86</f>
        <v>0</v>
      </c>
      <c r="H21" s="912"/>
      <c r="I21" s="912"/>
      <c r="J21" s="2264"/>
      <c r="K21" s="2264"/>
      <c r="L21" s="2264"/>
      <c r="M21" s="798"/>
      <c r="N21" s="2264"/>
      <c r="O21" s="2264"/>
      <c r="P21" s="2264"/>
    </row>
    <row r="22" spans="2:16" ht="13.5" thickBot="1">
      <c r="B22" s="2282"/>
      <c r="C22" s="751" t="str">
        <f t="shared" si="6"/>
        <v>北西</v>
      </c>
      <c r="D22" s="752">
        <f>結果!H87+結果!H101</f>
        <v>0</v>
      </c>
      <c r="E22" s="752">
        <f>結果!J87+結果!J101</f>
        <v>0</v>
      </c>
      <c r="F22" s="752">
        <f>結果!L87+結果!L101</f>
        <v>0</v>
      </c>
      <c r="G22" s="753">
        <f>結果!Q87</f>
        <v>0</v>
      </c>
      <c r="H22" s="912"/>
      <c r="I22" s="912"/>
      <c r="J22" s="2291"/>
      <c r="K22" s="2264"/>
      <c r="L22" s="2264"/>
      <c r="M22" s="798"/>
      <c r="N22" s="2264"/>
      <c r="O22" s="2264"/>
      <c r="P22" s="2264"/>
    </row>
    <row r="23" spans="2:16" ht="13.5" thickBot="1">
      <c r="B23" s="2284"/>
      <c r="C23" s="754" t="str">
        <f t="shared" si="6"/>
        <v>合計</v>
      </c>
      <c r="D23" s="755">
        <f>SUM(D15:D22)</f>
        <v>0</v>
      </c>
      <c r="E23" s="755">
        <f t="shared" ref="E23:G23" si="7">SUM(E15:E22)</f>
        <v>0</v>
      </c>
      <c r="F23" s="755">
        <f t="shared" si="7"/>
        <v>0</v>
      </c>
      <c r="G23" s="756">
        <f t="shared" si="7"/>
        <v>0</v>
      </c>
      <c r="H23" s="912"/>
      <c r="I23" s="912"/>
      <c r="J23" s="757" t="str">
        <f>IF(D32&gt;=D33,"９時",IF(E32&gt;=D33,"１２時","１５時"))</f>
        <v>９時</v>
      </c>
      <c r="K23" s="2265"/>
      <c r="L23" s="2265"/>
      <c r="M23" s="798"/>
      <c r="N23" s="901"/>
      <c r="O23" s="2265"/>
      <c r="P23" s="2265"/>
    </row>
    <row r="24" spans="2:16">
      <c r="B24" s="2285" t="s">
        <v>1105</v>
      </c>
      <c r="C24" s="758" t="str">
        <f>C15</f>
        <v>北</v>
      </c>
      <c r="D24" s="746">
        <f>D6-D15</f>
        <v>0</v>
      </c>
      <c r="E24" s="746">
        <f t="shared" ref="E24:G24" si="8">E6-E15</f>
        <v>0</v>
      </c>
      <c r="F24" s="746">
        <f t="shared" si="8"/>
        <v>0</v>
      </c>
      <c r="G24" s="747">
        <f t="shared" si="8"/>
        <v>0</v>
      </c>
      <c r="H24" s="912"/>
      <c r="I24" s="912"/>
      <c r="J24" s="759">
        <f>IF(D32&gt;=D33,D24,IF(E32&gt;=D33,E24,F24))</f>
        <v>0</v>
      </c>
      <c r="K24" s="803">
        <f>温度条件他根拠!E29</f>
        <v>0</v>
      </c>
      <c r="L24" s="761">
        <f>K24*J24</f>
        <v>0</v>
      </c>
      <c r="M24" s="798"/>
      <c r="N24" s="762">
        <f>G24</f>
        <v>0</v>
      </c>
      <c r="O24" s="760">
        <f>K24</f>
        <v>0</v>
      </c>
      <c r="P24" s="761">
        <f>O24*N24</f>
        <v>0</v>
      </c>
    </row>
    <row r="25" spans="2:16">
      <c r="B25" s="2282"/>
      <c r="C25" s="763" t="str">
        <f t="shared" si="6"/>
        <v>北東</v>
      </c>
      <c r="D25" s="749">
        <f t="shared" ref="D25:G31" si="9">D7-D16</f>
        <v>0</v>
      </c>
      <c r="E25" s="749">
        <f t="shared" si="9"/>
        <v>0</v>
      </c>
      <c r="F25" s="749">
        <f t="shared" si="9"/>
        <v>0</v>
      </c>
      <c r="G25" s="750">
        <f t="shared" si="9"/>
        <v>0</v>
      </c>
      <c r="H25" s="912"/>
      <c r="I25" s="912"/>
      <c r="J25" s="764">
        <f>IF(D32&gt;=D33,D25,IF(E32&gt;=D33,E25,F25))</f>
        <v>0</v>
      </c>
      <c r="K25" s="804">
        <f>K24</f>
        <v>0</v>
      </c>
      <c r="L25" s="766">
        <f t="shared" ref="L25:L31" si="10">K25*J25</f>
        <v>0</v>
      </c>
      <c r="M25" s="798"/>
      <c r="N25" s="767">
        <f>G25</f>
        <v>0</v>
      </c>
      <c r="O25" s="765">
        <f>K25</f>
        <v>0</v>
      </c>
      <c r="P25" s="766">
        <f t="shared" ref="P25:P31" si="11">O25*N25</f>
        <v>0</v>
      </c>
    </row>
    <row r="26" spans="2:16">
      <c r="B26" s="2282"/>
      <c r="C26" s="763" t="str">
        <f t="shared" si="6"/>
        <v>東</v>
      </c>
      <c r="D26" s="749">
        <f t="shared" si="9"/>
        <v>0</v>
      </c>
      <c r="E26" s="749">
        <f t="shared" si="9"/>
        <v>0</v>
      </c>
      <c r="F26" s="749">
        <f t="shared" si="9"/>
        <v>0</v>
      </c>
      <c r="G26" s="750">
        <f t="shared" si="9"/>
        <v>0</v>
      </c>
      <c r="H26" s="912"/>
      <c r="I26" s="912"/>
      <c r="J26" s="764">
        <f>IF(D32&gt;=D33,D26,IF(E32&gt;=D33,E26,F26))</f>
        <v>0</v>
      </c>
      <c r="K26" s="804">
        <f t="shared" ref="K26:K31" si="12">K25</f>
        <v>0</v>
      </c>
      <c r="L26" s="766">
        <f t="shared" si="10"/>
        <v>0</v>
      </c>
      <c r="M26" s="798"/>
      <c r="N26" s="767">
        <f t="shared" ref="N26:N31" si="13">G26</f>
        <v>0</v>
      </c>
      <c r="O26" s="765">
        <f t="shared" ref="O26:O31" si="14">K26</f>
        <v>0</v>
      </c>
      <c r="P26" s="766">
        <f t="shared" si="11"/>
        <v>0</v>
      </c>
    </row>
    <row r="27" spans="2:16">
      <c r="B27" s="2282"/>
      <c r="C27" s="763" t="str">
        <f t="shared" si="6"/>
        <v>南東</v>
      </c>
      <c r="D27" s="749">
        <f t="shared" si="9"/>
        <v>0</v>
      </c>
      <c r="E27" s="749">
        <f t="shared" si="9"/>
        <v>0</v>
      </c>
      <c r="F27" s="749">
        <f t="shared" si="9"/>
        <v>0</v>
      </c>
      <c r="G27" s="750">
        <f t="shared" si="9"/>
        <v>0</v>
      </c>
      <c r="H27" s="912"/>
      <c r="I27" s="912"/>
      <c r="J27" s="764">
        <f>IF(D32&gt;=D33,D27,IF(E32&gt;=D33,E27,F27))</f>
        <v>0</v>
      </c>
      <c r="K27" s="804">
        <f t="shared" si="12"/>
        <v>0</v>
      </c>
      <c r="L27" s="766">
        <f t="shared" si="10"/>
        <v>0</v>
      </c>
      <c r="M27" s="798"/>
      <c r="N27" s="767">
        <f t="shared" si="13"/>
        <v>0</v>
      </c>
      <c r="O27" s="765">
        <f t="shared" si="14"/>
        <v>0</v>
      </c>
      <c r="P27" s="766">
        <f t="shared" si="11"/>
        <v>0</v>
      </c>
    </row>
    <row r="28" spans="2:16">
      <c r="B28" s="2282"/>
      <c r="C28" s="763" t="str">
        <f t="shared" si="6"/>
        <v>南</v>
      </c>
      <c r="D28" s="749">
        <f t="shared" si="9"/>
        <v>0</v>
      </c>
      <c r="E28" s="749">
        <f t="shared" si="9"/>
        <v>0</v>
      </c>
      <c r="F28" s="749">
        <f t="shared" si="9"/>
        <v>0</v>
      </c>
      <c r="G28" s="750">
        <f t="shared" si="9"/>
        <v>0</v>
      </c>
      <c r="H28" s="912"/>
      <c r="I28" s="912"/>
      <c r="J28" s="764">
        <f>IF(D32&gt;=D33,D28,IF(E32&gt;=D33,E28,F28))</f>
        <v>0</v>
      </c>
      <c r="K28" s="804">
        <f t="shared" si="12"/>
        <v>0</v>
      </c>
      <c r="L28" s="766">
        <f t="shared" si="10"/>
        <v>0</v>
      </c>
      <c r="M28" s="798"/>
      <c r="N28" s="767">
        <f t="shared" si="13"/>
        <v>0</v>
      </c>
      <c r="O28" s="764">
        <f t="shared" si="14"/>
        <v>0</v>
      </c>
      <c r="P28" s="766">
        <f t="shared" si="11"/>
        <v>0</v>
      </c>
    </row>
    <row r="29" spans="2:16">
      <c r="B29" s="2282"/>
      <c r="C29" s="763" t="str">
        <f t="shared" si="6"/>
        <v>南西</v>
      </c>
      <c r="D29" s="749">
        <f t="shared" si="9"/>
        <v>0</v>
      </c>
      <c r="E29" s="749">
        <f t="shared" si="9"/>
        <v>0</v>
      </c>
      <c r="F29" s="749">
        <f t="shared" si="9"/>
        <v>0</v>
      </c>
      <c r="G29" s="750">
        <f t="shared" si="9"/>
        <v>0</v>
      </c>
      <c r="H29" s="912"/>
      <c r="I29" s="912"/>
      <c r="J29" s="764">
        <f>IF(D32&gt;=D33,D29,IF(E32&gt;=D33,E29,F29))</f>
        <v>0</v>
      </c>
      <c r="K29" s="804">
        <f t="shared" si="12"/>
        <v>0</v>
      </c>
      <c r="L29" s="766">
        <f t="shared" si="10"/>
        <v>0</v>
      </c>
      <c r="M29" s="798"/>
      <c r="N29" s="767">
        <f t="shared" si="13"/>
        <v>0</v>
      </c>
      <c r="O29" s="765">
        <f t="shared" si="14"/>
        <v>0</v>
      </c>
      <c r="P29" s="766">
        <f t="shared" si="11"/>
        <v>0</v>
      </c>
    </row>
    <row r="30" spans="2:16">
      <c r="B30" s="2282"/>
      <c r="C30" s="763" t="str">
        <f t="shared" si="6"/>
        <v>西</v>
      </c>
      <c r="D30" s="749">
        <f t="shared" si="9"/>
        <v>0</v>
      </c>
      <c r="E30" s="749">
        <f t="shared" si="9"/>
        <v>0</v>
      </c>
      <c r="F30" s="749">
        <f t="shared" si="9"/>
        <v>0</v>
      </c>
      <c r="G30" s="750">
        <f t="shared" si="9"/>
        <v>0</v>
      </c>
      <c r="H30" s="912"/>
      <c r="I30" s="912"/>
      <c r="J30" s="764">
        <f>IF(D32&gt;=D33,D30,IF(E32&gt;=D33,E30,F30))</f>
        <v>0</v>
      </c>
      <c r="K30" s="804">
        <f t="shared" si="12"/>
        <v>0</v>
      </c>
      <c r="L30" s="766">
        <f t="shared" si="10"/>
        <v>0</v>
      </c>
      <c r="M30" s="798"/>
      <c r="N30" s="767">
        <f t="shared" si="13"/>
        <v>0</v>
      </c>
      <c r="O30" s="765">
        <f t="shared" si="14"/>
        <v>0</v>
      </c>
      <c r="P30" s="766">
        <f t="shared" si="11"/>
        <v>0</v>
      </c>
    </row>
    <row r="31" spans="2:16" ht="13.5" thickBot="1">
      <c r="B31" s="2282"/>
      <c r="C31" s="769" t="str">
        <f t="shared" si="6"/>
        <v>北西</v>
      </c>
      <c r="D31" s="752">
        <f t="shared" si="9"/>
        <v>0</v>
      </c>
      <c r="E31" s="752">
        <f t="shared" si="9"/>
        <v>0</v>
      </c>
      <c r="F31" s="752">
        <f t="shared" si="9"/>
        <v>0</v>
      </c>
      <c r="G31" s="753">
        <f t="shared" si="9"/>
        <v>0</v>
      </c>
      <c r="H31" s="912"/>
      <c r="I31" s="912"/>
      <c r="J31" s="770">
        <f>IF(D32&gt;=D33,D31,IF(E32&gt;=D33,E31,F31))</f>
        <v>0</v>
      </c>
      <c r="K31" s="804">
        <f t="shared" si="12"/>
        <v>0</v>
      </c>
      <c r="L31" s="772">
        <f t="shared" si="10"/>
        <v>0</v>
      </c>
      <c r="M31" s="798"/>
      <c r="N31" s="767">
        <f t="shared" si="13"/>
        <v>0</v>
      </c>
      <c r="O31" s="765">
        <f t="shared" si="14"/>
        <v>0</v>
      </c>
      <c r="P31" s="772">
        <f t="shared" si="11"/>
        <v>0</v>
      </c>
    </row>
    <row r="32" spans="2:16" ht="13.5" thickBot="1">
      <c r="B32" s="2286"/>
      <c r="C32" s="773" t="str">
        <f t="shared" si="6"/>
        <v>合計</v>
      </c>
      <c r="D32" s="774">
        <f>SUM(D24:D31)</f>
        <v>0</v>
      </c>
      <c r="E32" s="774">
        <f t="shared" ref="E32:G32" si="15">SUM(E24:E31)</f>
        <v>0</v>
      </c>
      <c r="F32" s="774">
        <f t="shared" si="15"/>
        <v>0</v>
      </c>
      <c r="G32" s="775">
        <f t="shared" si="15"/>
        <v>0</v>
      </c>
      <c r="H32" s="912"/>
      <c r="I32" s="912"/>
      <c r="J32" s="776">
        <f>SUM(J24:J31)</f>
        <v>0</v>
      </c>
      <c r="K32" s="777"/>
      <c r="L32" s="778">
        <f>SUM(L24:L31)</f>
        <v>0</v>
      </c>
      <c r="M32" s="798"/>
      <c r="N32" s="776">
        <f>SUM(N24:N31)</f>
        <v>0</v>
      </c>
      <c r="O32" s="777"/>
      <c r="P32" s="778">
        <f>SUM(P24:P31)</f>
        <v>0</v>
      </c>
    </row>
    <row r="33" spans="2:30" ht="13.5" thickBot="1">
      <c r="B33" s="2284"/>
      <c r="C33" s="773" t="s">
        <v>1106</v>
      </c>
      <c r="D33" s="2288">
        <f>MAX(D32:F32)</f>
        <v>0</v>
      </c>
      <c r="E33" s="2289"/>
      <c r="F33" s="2290"/>
      <c r="G33" s="775">
        <f>G32</f>
        <v>0</v>
      </c>
      <c r="H33" s="796"/>
      <c r="I33" s="796"/>
      <c r="J33" s="796"/>
      <c r="K33" s="796"/>
      <c r="L33" s="796"/>
      <c r="M33" s="798"/>
      <c r="N33" s="798"/>
      <c r="O33" s="798"/>
      <c r="P33" s="799"/>
    </row>
    <row r="34" spans="2:30">
      <c r="B34" s="794"/>
      <c r="C34" s="794"/>
      <c r="D34" s="794"/>
      <c r="E34" s="794"/>
      <c r="F34" s="794"/>
      <c r="G34" s="794"/>
      <c r="H34" s="798"/>
      <c r="I34" s="798"/>
      <c r="J34" s="794"/>
      <c r="K34" s="794"/>
      <c r="L34" s="794"/>
      <c r="M34" s="794"/>
      <c r="N34" s="794"/>
      <c r="O34" s="794"/>
    </row>
    <row r="35" spans="2:30">
      <c r="B35" s="794"/>
      <c r="C35" s="794"/>
      <c r="D35" s="794"/>
      <c r="E35" s="794"/>
      <c r="F35" s="794"/>
      <c r="G35" s="794"/>
      <c r="H35" s="794"/>
      <c r="I35" s="794"/>
      <c r="J35" s="794"/>
      <c r="K35" s="794"/>
      <c r="L35" s="794"/>
      <c r="M35" s="794"/>
      <c r="N35" s="794"/>
      <c r="O35" s="794"/>
    </row>
    <row r="36" spans="2:30">
      <c r="B36" s="794"/>
      <c r="C36" s="794"/>
      <c r="D36" s="794"/>
      <c r="E36" s="794"/>
      <c r="F36" s="794"/>
      <c r="G36" s="794"/>
      <c r="H36" s="794"/>
      <c r="I36" s="794"/>
      <c r="J36" s="794"/>
      <c r="K36" s="794"/>
      <c r="L36" s="794"/>
      <c r="M36" s="794"/>
      <c r="N36" s="794"/>
      <c r="O36" s="794"/>
    </row>
    <row r="37" spans="2:30">
      <c r="B37" s="794"/>
      <c r="C37" s="794"/>
      <c r="D37" s="794"/>
      <c r="E37" s="794"/>
      <c r="F37" s="794"/>
      <c r="G37" s="794"/>
      <c r="H37" s="794"/>
      <c r="I37" s="794"/>
      <c r="J37" s="794"/>
      <c r="K37" s="794"/>
      <c r="L37" s="794"/>
      <c r="M37" s="794"/>
      <c r="N37" s="794"/>
      <c r="O37" s="794"/>
    </row>
    <row r="38" spans="2:30">
      <c r="B38" s="794"/>
      <c r="C38" s="794"/>
      <c r="D38" s="794"/>
      <c r="E38" s="794"/>
      <c r="F38" s="794"/>
      <c r="G38" s="794"/>
      <c r="H38" s="794"/>
      <c r="I38" s="794"/>
      <c r="J38" s="794"/>
      <c r="K38" s="794"/>
      <c r="L38" s="794"/>
      <c r="M38" s="794"/>
      <c r="N38" s="794"/>
      <c r="O38" s="794"/>
    </row>
    <row r="39" spans="2:30">
      <c r="B39" s="794"/>
      <c r="C39" s="794"/>
      <c r="D39" s="794"/>
      <c r="E39" s="794"/>
      <c r="F39" s="794"/>
      <c r="G39" s="794"/>
      <c r="H39" s="794"/>
      <c r="I39" s="794"/>
      <c r="J39" s="794"/>
      <c r="K39" s="794"/>
      <c r="L39" s="794"/>
      <c r="M39" s="794"/>
      <c r="N39" s="794"/>
      <c r="O39" s="794"/>
    </row>
    <row r="40" spans="2:30">
      <c r="B40" s="794"/>
      <c r="C40" s="794"/>
      <c r="D40" s="794"/>
      <c r="E40" s="794"/>
      <c r="F40" s="794"/>
      <c r="G40" s="794"/>
      <c r="H40" s="794"/>
      <c r="I40" s="794"/>
      <c r="J40" s="794"/>
      <c r="K40" s="794"/>
      <c r="L40" s="794"/>
      <c r="M40" s="794"/>
      <c r="N40" s="794"/>
      <c r="O40" s="794"/>
    </row>
    <row r="41" spans="2:30">
      <c r="B41" s="794"/>
      <c r="C41" s="794"/>
      <c r="D41" s="794"/>
      <c r="E41" s="794"/>
      <c r="F41" s="794"/>
      <c r="G41" s="794"/>
      <c r="H41" s="794"/>
      <c r="I41" s="794"/>
      <c r="J41" s="794"/>
      <c r="K41" s="794"/>
      <c r="L41" s="794"/>
      <c r="M41" s="794"/>
      <c r="N41" s="794"/>
      <c r="O41" s="794"/>
    </row>
    <row r="42" spans="2:30">
      <c r="B42" s="794"/>
      <c r="C42" s="794"/>
      <c r="D42" s="794"/>
      <c r="E42" s="794"/>
      <c r="F42" s="794"/>
      <c r="G42" s="794"/>
      <c r="H42" s="794"/>
      <c r="I42" s="794"/>
      <c r="J42" s="794"/>
      <c r="K42" s="794"/>
      <c r="L42" s="794"/>
      <c r="M42" s="794"/>
      <c r="N42" s="794"/>
      <c r="O42" s="794"/>
    </row>
    <row r="43" spans="2:30">
      <c r="B43" s="794"/>
      <c r="C43" s="794"/>
      <c r="D43" s="794"/>
      <c r="E43" s="794"/>
      <c r="F43" s="794"/>
      <c r="G43" s="794"/>
      <c r="H43" s="794"/>
      <c r="I43" s="794"/>
      <c r="J43" s="794"/>
      <c r="K43" s="794"/>
      <c r="L43" s="794"/>
      <c r="M43" s="794"/>
      <c r="N43" s="794"/>
      <c r="O43" s="794"/>
    </row>
    <row r="44" spans="2:30">
      <c r="B44" s="794"/>
      <c r="C44" s="794"/>
      <c r="D44" s="794"/>
      <c r="E44" s="794"/>
      <c r="F44" s="794"/>
      <c r="G44" s="794"/>
      <c r="H44" s="794"/>
      <c r="I44" s="794"/>
      <c r="J44" s="794"/>
      <c r="K44" s="794"/>
      <c r="L44" s="794"/>
      <c r="M44" s="794"/>
      <c r="N44" s="794"/>
      <c r="O44" s="794"/>
    </row>
    <row r="45" spans="2:30">
      <c r="B45" s="1205" t="s">
        <v>183</v>
      </c>
      <c r="C45" s="1205"/>
      <c r="D45" s="1205"/>
      <c r="E45" s="1205"/>
      <c r="F45" s="1205"/>
      <c r="G45" s="1205"/>
      <c r="H45" s="1205"/>
      <c r="I45" s="1205"/>
      <c r="J45" s="1205"/>
      <c r="K45" s="1205"/>
      <c r="L45" s="1205"/>
      <c r="M45" s="1205"/>
      <c r="N45" s="1205"/>
      <c r="O45" s="1205"/>
    </row>
    <row r="46" spans="2:30" ht="36">
      <c r="B46" s="554" t="s">
        <v>0</v>
      </c>
      <c r="C46" s="716" t="s">
        <v>1093</v>
      </c>
      <c r="D46" s="716" t="s">
        <v>1094</v>
      </c>
      <c r="E46" s="716" t="s">
        <v>1092</v>
      </c>
      <c r="F46" s="20" t="s">
        <v>42</v>
      </c>
      <c r="G46" s="20" t="s">
        <v>43</v>
      </c>
      <c r="H46" s="18" t="s">
        <v>35</v>
      </c>
      <c r="I46" s="18" t="s">
        <v>36</v>
      </c>
      <c r="J46" s="20" t="s">
        <v>2</v>
      </c>
      <c r="K46" s="20" t="s">
        <v>3</v>
      </c>
      <c r="L46" s="20" t="s">
        <v>39</v>
      </c>
      <c r="M46" s="20" t="s">
        <v>38</v>
      </c>
      <c r="N46" s="20" t="s">
        <v>37</v>
      </c>
      <c r="O46" s="20" t="s">
        <v>44</v>
      </c>
      <c r="Q46" s="554" t="s">
        <v>0</v>
      </c>
      <c r="R46" s="919" t="s">
        <v>1367</v>
      </c>
      <c r="S46" s="919" t="s">
        <v>1368</v>
      </c>
      <c r="T46" s="919" t="s">
        <v>1092</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622"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622" t="s">
        <v>18</v>
      </c>
      <c r="U47" s="20" t="s">
        <v>19</v>
      </c>
      <c r="V47" s="20" t="s">
        <v>20</v>
      </c>
      <c r="W47" s="20" t="s">
        <v>30</v>
      </c>
      <c r="X47" s="20" t="s">
        <v>29</v>
      </c>
      <c r="Y47" s="20" t="s">
        <v>21</v>
      </c>
      <c r="Z47" s="20" t="s">
        <v>22</v>
      </c>
      <c r="AA47" s="20" t="s">
        <v>608</v>
      </c>
      <c r="AB47" s="20" t="s">
        <v>607</v>
      </c>
      <c r="AC47" s="555" t="s">
        <v>25</v>
      </c>
      <c r="AD47" s="20" t="s">
        <v>32</v>
      </c>
    </row>
    <row r="48" spans="2:30">
      <c r="B48" s="553" t="s">
        <v>15</v>
      </c>
      <c r="C48" s="737" t="s">
        <v>1091</v>
      </c>
      <c r="D48" s="737" t="s">
        <v>1091</v>
      </c>
      <c r="E48" s="737" t="s">
        <v>172</v>
      </c>
      <c r="F48" s="5" t="s">
        <v>10</v>
      </c>
      <c r="G48" s="5" t="s">
        <v>10</v>
      </c>
      <c r="H48" s="5" t="s">
        <v>27</v>
      </c>
      <c r="I48" s="5" t="s">
        <v>27</v>
      </c>
      <c r="J48" s="5" t="s">
        <v>10</v>
      </c>
      <c r="K48" s="5" t="s">
        <v>10</v>
      </c>
      <c r="L48" s="5" t="s">
        <v>27</v>
      </c>
      <c r="M48" s="5" t="s">
        <v>27</v>
      </c>
      <c r="N48" s="5" t="s">
        <v>27</v>
      </c>
      <c r="O48" s="553" t="s">
        <v>31</v>
      </c>
      <c r="Q48" s="553" t="s">
        <v>15</v>
      </c>
      <c r="R48" s="737" t="s">
        <v>1091</v>
      </c>
      <c r="S48" s="737" t="s">
        <v>1091</v>
      </c>
      <c r="T48" s="737" t="s">
        <v>172</v>
      </c>
      <c r="U48" s="5" t="s">
        <v>10</v>
      </c>
      <c r="V48" s="5" t="s">
        <v>10</v>
      </c>
      <c r="W48" s="5" t="s">
        <v>27</v>
      </c>
      <c r="X48" s="5" t="s">
        <v>27</v>
      </c>
      <c r="Y48" s="5" t="s">
        <v>10</v>
      </c>
      <c r="Z48" s="5" t="s">
        <v>10</v>
      </c>
      <c r="AA48" s="5" t="s">
        <v>27</v>
      </c>
      <c r="AB48" s="5" t="s">
        <v>27</v>
      </c>
      <c r="AC48" s="5" t="s">
        <v>27</v>
      </c>
      <c r="AD48" s="553" t="s">
        <v>31</v>
      </c>
    </row>
    <row r="49" spans="2:30">
      <c r="B49" s="553">
        <v>1</v>
      </c>
      <c r="C49" s="3"/>
      <c r="D49" s="738">
        <f>P32</f>
        <v>0</v>
      </c>
      <c r="E49" s="739">
        <f>温度条件他根拠!E21</f>
        <v>0</v>
      </c>
      <c r="F49" s="740">
        <v>0</v>
      </c>
      <c r="G49" s="741">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738">
        <f>P14</f>
        <v>0</v>
      </c>
      <c r="T49" s="739">
        <f>温度条件他根拠!E21</f>
        <v>0</v>
      </c>
      <c r="U49" s="740">
        <f>F49</f>
        <v>0</v>
      </c>
      <c r="V49" s="903">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740">
        <f>E49</f>
        <v>0</v>
      </c>
      <c r="F50" s="740">
        <v>0</v>
      </c>
      <c r="G50" s="741">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740">
        <f>T49</f>
        <v>0</v>
      </c>
      <c r="U50" s="740">
        <f t="shared" ref="U50:V60" si="24">F50</f>
        <v>0</v>
      </c>
      <c r="V50" s="903">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740">
        <f t="shared" ref="E51:E60" si="27">E50</f>
        <v>0</v>
      </c>
      <c r="F51" s="740">
        <v>0</v>
      </c>
      <c r="G51" s="741">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740">
        <f t="shared" ref="T51:T60" si="29">T50</f>
        <v>0</v>
      </c>
      <c r="U51" s="740">
        <f t="shared" si="24"/>
        <v>0</v>
      </c>
      <c r="V51" s="903">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740">
        <f t="shared" si="27"/>
        <v>0</v>
      </c>
      <c r="F52" s="740">
        <v>0</v>
      </c>
      <c r="G52" s="741">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740">
        <f t="shared" si="29"/>
        <v>0</v>
      </c>
      <c r="U52" s="740">
        <f t="shared" si="24"/>
        <v>0</v>
      </c>
      <c r="V52" s="903">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740">
        <f t="shared" si="27"/>
        <v>0</v>
      </c>
      <c r="F53" s="741">
        <f>0.175*(温度条件他根拠!$F$7-温度条件他根拠!$F$9)/(温度条件他根拠!$F$7-23.1)</f>
        <v>6.2171052631578946E-2</v>
      </c>
      <c r="G53" s="741">
        <f>0.2*(温度条件他根拠!$F$10-11.2)/(温度条件他根拠!$F$10-温度条件他根拠!$F$8)</f>
        <v>7.2727272727272738E-2</v>
      </c>
      <c r="H53" s="738">
        <f>$C$56*E53*F53/1000</f>
        <v>0</v>
      </c>
      <c r="I53" s="738">
        <f>G53*E53*$D$49/1000</f>
        <v>0</v>
      </c>
      <c r="J53" s="2">
        <f t="shared" si="28"/>
        <v>3.55</v>
      </c>
      <c r="K53" s="6">
        <f t="shared" si="28"/>
        <v>3.95</v>
      </c>
      <c r="L53" s="7">
        <f t="shared" si="16"/>
        <v>0</v>
      </c>
      <c r="M53" s="7">
        <f t="shared" si="16"/>
        <v>0</v>
      </c>
      <c r="N53" s="13">
        <f t="shared" si="22"/>
        <v>0</v>
      </c>
      <c r="O53" s="12">
        <f t="shared" si="23"/>
        <v>0</v>
      </c>
      <c r="Q53" s="553">
        <v>5</v>
      </c>
      <c r="R53" s="3"/>
      <c r="S53" s="3"/>
      <c r="T53" s="740">
        <f t="shared" si="29"/>
        <v>0</v>
      </c>
      <c r="U53" s="903">
        <f t="shared" si="24"/>
        <v>6.2171052631578946E-2</v>
      </c>
      <c r="V53" s="903">
        <f t="shared" si="24"/>
        <v>7.2727272727272738E-2</v>
      </c>
      <c r="W53" s="738">
        <f t="shared" si="17"/>
        <v>0</v>
      </c>
      <c r="X53" s="738">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740">
        <f t="shared" si="27"/>
        <v>0</v>
      </c>
      <c r="F54" s="741">
        <f>0.7*(温度条件他根拠!$F$7-温度条件他根拠!$F$9)/(温度条件他根拠!$F$7-25.5)</f>
        <v>0.36346153846153839</v>
      </c>
      <c r="G54" s="740">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740">
        <f t="shared" si="29"/>
        <v>0</v>
      </c>
      <c r="U54" s="903">
        <f t="shared" si="24"/>
        <v>0.36346153846153839</v>
      </c>
      <c r="V54" s="91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740">
        <f t="shared" si="27"/>
        <v>0</v>
      </c>
      <c r="F55" s="741">
        <f>0.7*(温度条件他根拠!$F$7-温度条件他根拠!$F$9)/(温度条件他根拠!$F$7-28)</f>
        <v>0.7</v>
      </c>
      <c r="G55" s="740">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740">
        <f t="shared" si="29"/>
        <v>0</v>
      </c>
      <c r="U55" s="903">
        <f t="shared" si="24"/>
        <v>0.7</v>
      </c>
      <c r="V55" s="91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738">
        <f>L32</f>
        <v>0</v>
      </c>
      <c r="D56" s="3"/>
      <c r="E56" s="740">
        <f t="shared" si="27"/>
        <v>0</v>
      </c>
      <c r="F56" s="741">
        <f>0.7*(温度条件他根拠!$F$7-温度条件他根拠!$F$9)/(温度条件他根拠!$F$7-28)</f>
        <v>0.7</v>
      </c>
      <c r="G56" s="740">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738">
        <f>L14</f>
        <v>0</v>
      </c>
      <c r="S56" s="3"/>
      <c r="T56" s="740">
        <f t="shared" si="29"/>
        <v>0</v>
      </c>
      <c r="U56" s="903">
        <f t="shared" si="24"/>
        <v>0.7</v>
      </c>
      <c r="V56" s="91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740">
        <f t="shared" si="27"/>
        <v>0</v>
      </c>
      <c r="F57" s="741">
        <f>0.7*(温度条件他根拠!$F$7-温度条件他根拠!$F$9)/(温度条件他根拠!$F$7-25.9)</f>
        <v>0.39374999999999982</v>
      </c>
      <c r="G57" s="740">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740">
        <f t="shared" si="29"/>
        <v>0</v>
      </c>
      <c r="U57" s="903">
        <f t="shared" si="24"/>
        <v>0.39374999999999982</v>
      </c>
      <c r="V57" s="91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740">
        <f t="shared" si="27"/>
        <v>0</v>
      </c>
      <c r="F58" s="741">
        <f>0.175*(温度条件他根拠!$F$7-温度条件他根拠!$F$9)/(温度条件他根拠!$F$7-20.5)</f>
        <v>4.6323529411764694E-2</v>
      </c>
      <c r="G58" s="741">
        <f>0.2*(温度条件他根拠!$F$10-10.5)/(温度条件他根拠!$F$10-温度条件他根拠!$F$8)</f>
        <v>7.8512396694214878E-2</v>
      </c>
      <c r="H58" s="738">
        <f>$C$56*E58*F58/1000</f>
        <v>0</v>
      </c>
      <c r="I58" s="738">
        <f>G58*E58*$D$49/1000</f>
        <v>0</v>
      </c>
      <c r="J58" s="2">
        <f t="shared" si="28"/>
        <v>3.55</v>
      </c>
      <c r="K58" s="6">
        <f t="shared" si="28"/>
        <v>3.95</v>
      </c>
      <c r="L58" s="7">
        <f t="shared" si="16"/>
        <v>0</v>
      </c>
      <c r="M58" s="7">
        <f t="shared" si="16"/>
        <v>0</v>
      </c>
      <c r="N58" s="13">
        <f t="shared" si="22"/>
        <v>0</v>
      </c>
      <c r="O58" s="12">
        <f t="shared" si="23"/>
        <v>0</v>
      </c>
      <c r="Q58" s="553">
        <v>10</v>
      </c>
      <c r="R58" s="3"/>
      <c r="S58" s="3"/>
      <c r="T58" s="740">
        <f t="shared" si="29"/>
        <v>0</v>
      </c>
      <c r="U58" s="903">
        <f t="shared" si="24"/>
        <v>4.6323529411764694E-2</v>
      </c>
      <c r="V58" s="903">
        <f t="shared" si="24"/>
        <v>7.8512396694214878E-2</v>
      </c>
      <c r="W58" s="738">
        <f>($R$56*T58*U58/1000)</f>
        <v>0</v>
      </c>
      <c r="X58" s="738">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740">
        <f t="shared" si="27"/>
        <v>0</v>
      </c>
      <c r="F59" s="740">
        <v>0</v>
      </c>
      <c r="G59" s="741">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740">
        <f t="shared" si="29"/>
        <v>0</v>
      </c>
      <c r="U59" s="740">
        <f t="shared" si="24"/>
        <v>0</v>
      </c>
      <c r="V59" s="903">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740">
        <f t="shared" si="27"/>
        <v>0</v>
      </c>
      <c r="F60" s="740">
        <v>0</v>
      </c>
      <c r="G60" s="741">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740">
        <f t="shared" si="29"/>
        <v>0</v>
      </c>
      <c r="U60" s="740">
        <f t="shared" si="24"/>
        <v>0</v>
      </c>
      <c r="V60" s="903">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738">
        <f>SUM(E49:E60)</f>
        <v>0</v>
      </c>
      <c r="F61" s="3"/>
      <c r="G61" s="3"/>
      <c r="H61" s="7">
        <f>SUM(H49:H60)</f>
        <v>0</v>
      </c>
      <c r="I61" s="7">
        <f>SUM(I49:I60)</f>
        <v>0</v>
      </c>
      <c r="J61" s="3"/>
      <c r="K61" s="3"/>
      <c r="L61" s="7">
        <f>SUM(L49:L60)</f>
        <v>0</v>
      </c>
      <c r="M61" s="7">
        <f>SUM(M49:M60)</f>
        <v>0</v>
      </c>
      <c r="N61" s="13">
        <f>SUM(N49:N60)</f>
        <v>0</v>
      </c>
      <c r="O61" s="17">
        <f>SUM(O49:O60)</f>
        <v>0</v>
      </c>
      <c r="Q61" s="2" t="s">
        <v>1</v>
      </c>
      <c r="R61" s="3"/>
      <c r="S61" s="3"/>
      <c r="T61" s="738">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1055</v>
      </c>
    </row>
    <row r="86" spans="2:3">
      <c r="B86" s="609">
        <v>43927</v>
      </c>
      <c r="C86" s="802" t="s">
        <v>851</v>
      </c>
    </row>
    <row r="87" spans="2:3">
      <c r="B87" s="609">
        <v>43927</v>
      </c>
      <c r="C87" s="608" t="s">
        <v>852</v>
      </c>
    </row>
    <row r="88" spans="2:3">
      <c r="B88" s="609">
        <v>44634</v>
      </c>
      <c r="C88" s="608" t="s">
        <v>1095</v>
      </c>
    </row>
    <row r="89" spans="2:3">
      <c r="C89" s="608" t="s">
        <v>1096</v>
      </c>
    </row>
    <row r="90" spans="2:3">
      <c r="C90" s="1" t="s">
        <v>1097</v>
      </c>
    </row>
    <row r="91" spans="2:3">
      <c r="C91" s="1" t="s">
        <v>1109</v>
      </c>
    </row>
    <row r="92" spans="2:3">
      <c r="C92" s="1" t="s">
        <v>1110</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AL79"/>
  <sheetViews>
    <sheetView showZeros="0" view="pageBreakPreview" topLeftCell="A31" zoomScale="85" zoomScaleNormal="100" zoomScaleSheetLayoutView="85" workbookViewId="0">
      <selection activeCell="AQ78" sqref="AQ78"/>
    </sheetView>
  </sheetViews>
  <sheetFormatPr defaultRowHeight="13"/>
  <cols>
    <col min="1" max="1" width="2.26953125" style="571" customWidth="1"/>
    <col min="2" max="3" width="2.6328125" style="571" customWidth="1"/>
    <col min="4" max="4" width="4.54296875" style="571" customWidth="1"/>
    <col min="5" max="33" width="2.6328125" style="571" customWidth="1"/>
    <col min="34" max="34" width="4.453125" style="571" customWidth="1"/>
    <col min="35" max="38" width="0" style="571" hidden="1" customWidth="1"/>
    <col min="39" max="39" width="3" style="571" customWidth="1"/>
    <col min="40" max="256" width="9" style="571"/>
    <col min="257" max="257" width="2.26953125" style="571" customWidth="1"/>
    <col min="258" max="290" width="2.6328125" style="571" customWidth="1"/>
    <col min="291" max="512" width="9" style="571"/>
    <col min="513" max="513" width="2.26953125" style="571" customWidth="1"/>
    <col min="514" max="546" width="2.6328125" style="571" customWidth="1"/>
    <col min="547" max="768" width="9" style="571"/>
    <col min="769" max="769" width="2.26953125" style="571" customWidth="1"/>
    <col min="770" max="802" width="2.6328125" style="571" customWidth="1"/>
    <col min="803" max="1024" width="9" style="571"/>
    <col min="1025" max="1025" width="2.26953125" style="571" customWidth="1"/>
    <col min="1026" max="1058" width="2.6328125" style="571" customWidth="1"/>
    <col min="1059" max="1280" width="9" style="571"/>
    <col min="1281" max="1281" width="2.26953125" style="571" customWidth="1"/>
    <col min="1282" max="1314" width="2.6328125" style="571" customWidth="1"/>
    <col min="1315" max="1536" width="9" style="571"/>
    <col min="1537" max="1537" width="2.26953125" style="571" customWidth="1"/>
    <col min="1538" max="1570" width="2.6328125" style="571" customWidth="1"/>
    <col min="1571" max="1792" width="9" style="571"/>
    <col min="1793" max="1793" width="2.26953125" style="571" customWidth="1"/>
    <col min="1794" max="1826" width="2.6328125" style="571" customWidth="1"/>
    <col min="1827" max="2048" width="9" style="571"/>
    <col min="2049" max="2049" width="2.26953125" style="571" customWidth="1"/>
    <col min="2050" max="2082" width="2.6328125" style="571" customWidth="1"/>
    <col min="2083" max="2304" width="9" style="571"/>
    <col min="2305" max="2305" width="2.26953125" style="571" customWidth="1"/>
    <col min="2306" max="2338" width="2.6328125" style="571" customWidth="1"/>
    <col min="2339" max="2560" width="9" style="571"/>
    <col min="2561" max="2561" width="2.26953125" style="571" customWidth="1"/>
    <col min="2562" max="2594" width="2.6328125" style="571" customWidth="1"/>
    <col min="2595" max="2816" width="9" style="571"/>
    <col min="2817" max="2817" width="2.26953125" style="571" customWidth="1"/>
    <col min="2818" max="2850" width="2.6328125" style="571" customWidth="1"/>
    <col min="2851" max="3072" width="9" style="571"/>
    <col min="3073" max="3073" width="2.26953125" style="571" customWidth="1"/>
    <col min="3074" max="3106" width="2.6328125" style="571" customWidth="1"/>
    <col min="3107" max="3328" width="9" style="571"/>
    <col min="3329" max="3329" width="2.26953125" style="571" customWidth="1"/>
    <col min="3330" max="3362" width="2.6328125" style="571" customWidth="1"/>
    <col min="3363" max="3584" width="9" style="571"/>
    <col min="3585" max="3585" width="2.26953125" style="571" customWidth="1"/>
    <col min="3586" max="3618" width="2.6328125" style="571" customWidth="1"/>
    <col min="3619" max="3840" width="9" style="571"/>
    <col min="3841" max="3841" width="2.26953125" style="571" customWidth="1"/>
    <col min="3842" max="3874" width="2.6328125" style="571" customWidth="1"/>
    <col min="3875" max="4096" width="9" style="571"/>
    <col min="4097" max="4097" width="2.26953125" style="571" customWidth="1"/>
    <col min="4098" max="4130" width="2.6328125" style="571" customWidth="1"/>
    <col min="4131" max="4352" width="9" style="571"/>
    <col min="4353" max="4353" width="2.26953125" style="571" customWidth="1"/>
    <col min="4354" max="4386" width="2.6328125" style="571" customWidth="1"/>
    <col min="4387" max="4608" width="9" style="571"/>
    <col min="4609" max="4609" width="2.26953125" style="571" customWidth="1"/>
    <col min="4610" max="4642" width="2.6328125" style="571" customWidth="1"/>
    <col min="4643" max="4864" width="9" style="571"/>
    <col min="4865" max="4865" width="2.26953125" style="571" customWidth="1"/>
    <col min="4866" max="4898" width="2.6328125" style="571" customWidth="1"/>
    <col min="4899" max="5120" width="9" style="571"/>
    <col min="5121" max="5121" width="2.26953125" style="571" customWidth="1"/>
    <col min="5122" max="5154" width="2.6328125" style="571" customWidth="1"/>
    <col min="5155" max="5376" width="9" style="571"/>
    <col min="5377" max="5377" width="2.26953125" style="571" customWidth="1"/>
    <col min="5378" max="5410" width="2.6328125" style="571" customWidth="1"/>
    <col min="5411" max="5632" width="9" style="571"/>
    <col min="5633" max="5633" width="2.26953125" style="571" customWidth="1"/>
    <col min="5634" max="5666" width="2.6328125" style="571" customWidth="1"/>
    <col min="5667" max="5888" width="9" style="571"/>
    <col min="5889" max="5889" width="2.26953125" style="571" customWidth="1"/>
    <col min="5890" max="5922" width="2.6328125" style="571" customWidth="1"/>
    <col min="5923" max="6144" width="9" style="571"/>
    <col min="6145" max="6145" width="2.26953125" style="571" customWidth="1"/>
    <col min="6146" max="6178" width="2.6328125" style="571" customWidth="1"/>
    <col min="6179" max="6400" width="9" style="571"/>
    <col min="6401" max="6401" width="2.26953125" style="571" customWidth="1"/>
    <col min="6402" max="6434" width="2.6328125" style="571" customWidth="1"/>
    <col min="6435" max="6656" width="9" style="571"/>
    <col min="6657" max="6657" width="2.26953125" style="571" customWidth="1"/>
    <col min="6658" max="6690" width="2.6328125" style="571" customWidth="1"/>
    <col min="6691" max="6912" width="9" style="571"/>
    <col min="6913" max="6913" width="2.26953125" style="571" customWidth="1"/>
    <col min="6914" max="6946" width="2.6328125" style="571" customWidth="1"/>
    <col min="6947" max="7168" width="9" style="571"/>
    <col min="7169" max="7169" width="2.26953125" style="571" customWidth="1"/>
    <col min="7170" max="7202" width="2.6328125" style="571" customWidth="1"/>
    <col min="7203" max="7424" width="9" style="571"/>
    <col min="7425" max="7425" width="2.26953125" style="571" customWidth="1"/>
    <col min="7426" max="7458" width="2.6328125" style="571" customWidth="1"/>
    <col min="7459" max="7680" width="9" style="571"/>
    <col min="7681" max="7681" width="2.26953125" style="571" customWidth="1"/>
    <col min="7682" max="7714" width="2.6328125" style="571" customWidth="1"/>
    <col min="7715" max="7936" width="9" style="571"/>
    <col min="7937" max="7937" width="2.26953125" style="571" customWidth="1"/>
    <col min="7938" max="7970" width="2.6328125" style="571" customWidth="1"/>
    <col min="7971" max="8192" width="9" style="571"/>
    <col min="8193" max="8193" width="2.26953125" style="571" customWidth="1"/>
    <col min="8194" max="8226" width="2.6328125" style="571" customWidth="1"/>
    <col min="8227" max="8448" width="9" style="571"/>
    <col min="8449" max="8449" width="2.26953125" style="571" customWidth="1"/>
    <col min="8450" max="8482" width="2.6328125" style="571" customWidth="1"/>
    <col min="8483" max="8704" width="9" style="571"/>
    <col min="8705" max="8705" width="2.26953125" style="571" customWidth="1"/>
    <col min="8706" max="8738" width="2.6328125" style="571" customWidth="1"/>
    <col min="8739" max="8960" width="9" style="571"/>
    <col min="8961" max="8961" width="2.26953125" style="571" customWidth="1"/>
    <col min="8962" max="8994" width="2.6328125" style="571" customWidth="1"/>
    <col min="8995" max="9216" width="9" style="571"/>
    <col min="9217" max="9217" width="2.26953125" style="571" customWidth="1"/>
    <col min="9218" max="9250" width="2.6328125" style="571" customWidth="1"/>
    <col min="9251" max="9472" width="9" style="571"/>
    <col min="9473" max="9473" width="2.26953125" style="571" customWidth="1"/>
    <col min="9474" max="9506" width="2.6328125" style="571" customWidth="1"/>
    <col min="9507" max="9728" width="9" style="571"/>
    <col min="9729" max="9729" width="2.26953125" style="571" customWidth="1"/>
    <col min="9730" max="9762" width="2.6328125" style="571" customWidth="1"/>
    <col min="9763" max="9984" width="9" style="571"/>
    <col min="9985" max="9985" width="2.26953125" style="571" customWidth="1"/>
    <col min="9986" max="10018" width="2.6328125" style="571" customWidth="1"/>
    <col min="10019" max="10240" width="9" style="571"/>
    <col min="10241" max="10241" width="2.26953125" style="571" customWidth="1"/>
    <col min="10242" max="10274" width="2.6328125" style="571" customWidth="1"/>
    <col min="10275" max="10496" width="9" style="571"/>
    <col min="10497" max="10497" width="2.26953125" style="571" customWidth="1"/>
    <col min="10498" max="10530" width="2.6328125" style="571" customWidth="1"/>
    <col min="10531" max="10752" width="9" style="571"/>
    <col min="10753" max="10753" width="2.26953125" style="571" customWidth="1"/>
    <col min="10754" max="10786" width="2.6328125" style="571" customWidth="1"/>
    <col min="10787" max="11008" width="9" style="571"/>
    <col min="11009" max="11009" width="2.26953125" style="571" customWidth="1"/>
    <col min="11010" max="11042" width="2.6328125" style="571" customWidth="1"/>
    <col min="11043" max="11264" width="9" style="571"/>
    <col min="11265" max="11265" width="2.26953125" style="571" customWidth="1"/>
    <col min="11266" max="11298" width="2.6328125" style="571" customWidth="1"/>
    <col min="11299" max="11520" width="9" style="571"/>
    <col min="11521" max="11521" width="2.26953125" style="571" customWidth="1"/>
    <col min="11522" max="11554" width="2.6328125" style="571" customWidth="1"/>
    <col min="11555" max="11776" width="9" style="571"/>
    <col min="11777" max="11777" width="2.26953125" style="571" customWidth="1"/>
    <col min="11778" max="11810" width="2.6328125" style="571" customWidth="1"/>
    <col min="11811" max="12032" width="9" style="571"/>
    <col min="12033" max="12033" width="2.26953125" style="571" customWidth="1"/>
    <col min="12034" max="12066" width="2.6328125" style="571" customWidth="1"/>
    <col min="12067" max="12288" width="9" style="571"/>
    <col min="12289" max="12289" width="2.26953125" style="571" customWidth="1"/>
    <col min="12290" max="12322" width="2.6328125" style="571" customWidth="1"/>
    <col min="12323" max="12544" width="9" style="571"/>
    <col min="12545" max="12545" width="2.26953125" style="571" customWidth="1"/>
    <col min="12546" max="12578" width="2.6328125" style="571" customWidth="1"/>
    <col min="12579" max="12800" width="9" style="571"/>
    <col min="12801" max="12801" width="2.26953125" style="571" customWidth="1"/>
    <col min="12802" max="12834" width="2.6328125" style="571" customWidth="1"/>
    <col min="12835" max="13056" width="9" style="571"/>
    <col min="13057" max="13057" width="2.26953125" style="571" customWidth="1"/>
    <col min="13058" max="13090" width="2.6328125" style="571" customWidth="1"/>
    <col min="13091" max="13312" width="9" style="571"/>
    <col min="13313" max="13313" width="2.26953125" style="571" customWidth="1"/>
    <col min="13314" max="13346" width="2.6328125" style="571" customWidth="1"/>
    <col min="13347" max="13568" width="9" style="571"/>
    <col min="13569" max="13569" width="2.26953125" style="571" customWidth="1"/>
    <col min="13570" max="13602" width="2.6328125" style="571" customWidth="1"/>
    <col min="13603" max="13824" width="9" style="571"/>
    <col min="13825" max="13825" width="2.26953125" style="571" customWidth="1"/>
    <col min="13826" max="13858" width="2.6328125" style="571" customWidth="1"/>
    <col min="13859" max="14080" width="9" style="571"/>
    <col min="14081" max="14081" width="2.26953125" style="571" customWidth="1"/>
    <col min="14082" max="14114" width="2.6328125" style="571" customWidth="1"/>
    <col min="14115" max="14336" width="9" style="571"/>
    <col min="14337" max="14337" width="2.26953125" style="571" customWidth="1"/>
    <col min="14338" max="14370" width="2.6328125" style="571" customWidth="1"/>
    <col min="14371" max="14592" width="9" style="571"/>
    <col min="14593" max="14593" width="2.26953125" style="571" customWidth="1"/>
    <col min="14594" max="14626" width="2.6328125" style="571" customWidth="1"/>
    <col min="14627" max="14848" width="9" style="571"/>
    <col min="14849" max="14849" width="2.26953125" style="571" customWidth="1"/>
    <col min="14850" max="14882" width="2.6328125" style="571" customWidth="1"/>
    <col min="14883" max="15104" width="9" style="571"/>
    <col min="15105" max="15105" width="2.26953125" style="571" customWidth="1"/>
    <col min="15106" max="15138" width="2.6328125" style="571" customWidth="1"/>
    <col min="15139" max="15360" width="9" style="571"/>
    <col min="15361" max="15361" width="2.26953125" style="571" customWidth="1"/>
    <col min="15362" max="15394" width="2.6328125" style="571" customWidth="1"/>
    <col min="15395" max="15616" width="9" style="571"/>
    <col min="15617" max="15617" width="2.26953125" style="571" customWidth="1"/>
    <col min="15618" max="15650" width="2.6328125" style="571" customWidth="1"/>
    <col min="15651" max="15872" width="9" style="571"/>
    <col min="15873" max="15873" width="2.26953125" style="571" customWidth="1"/>
    <col min="15874" max="15906" width="2.6328125" style="571" customWidth="1"/>
    <col min="15907" max="16128" width="9" style="571"/>
    <col min="16129" max="16129" width="2.26953125" style="571" customWidth="1"/>
    <col min="16130" max="16162" width="2.6328125" style="571" customWidth="1"/>
    <col min="16163" max="16384" width="9" style="571"/>
  </cols>
  <sheetData>
    <row r="1" spans="1:34" ht="25" customHeight="1" thickBot="1">
      <c r="A1" s="1540" t="s">
        <v>995</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row>
    <row r="2" spans="1:34" ht="10" customHeight="1">
      <c r="A2" s="1541" t="s">
        <v>865</v>
      </c>
      <c r="B2" s="1542"/>
      <c r="C2" s="1542"/>
      <c r="D2" s="1543"/>
      <c r="E2" s="1547" t="s">
        <v>866</v>
      </c>
      <c r="F2" s="1518"/>
      <c r="G2" s="1518"/>
      <c r="H2" s="1520"/>
      <c r="I2" s="1521"/>
      <c r="J2" s="1518" t="s">
        <v>620</v>
      </c>
      <c r="K2" s="1518"/>
      <c r="L2" s="1520"/>
      <c r="M2" s="1521"/>
      <c r="N2" s="1518" t="s">
        <v>867</v>
      </c>
      <c r="O2" s="1518"/>
      <c r="P2" s="1518" t="s">
        <v>868</v>
      </c>
      <c r="Q2" s="1518"/>
      <c r="R2" s="1518" t="s">
        <v>866</v>
      </c>
      <c r="S2" s="1518"/>
      <c r="T2" s="1518"/>
      <c r="U2" s="1520"/>
      <c r="V2" s="1521"/>
      <c r="W2" s="1518" t="s">
        <v>620</v>
      </c>
      <c r="X2" s="1518"/>
      <c r="Y2" s="1520"/>
      <c r="Z2" s="1521"/>
      <c r="AA2" s="1518" t="s">
        <v>867</v>
      </c>
      <c r="AB2" s="1524"/>
      <c r="AC2" s="1526"/>
      <c r="AD2" s="1527"/>
      <c r="AE2" s="1527"/>
      <c r="AF2" s="1527"/>
      <c r="AG2" s="1527"/>
      <c r="AH2" s="1527"/>
    </row>
    <row r="3" spans="1:34" ht="10" customHeight="1" thickBot="1">
      <c r="A3" s="1544"/>
      <c r="B3" s="1545"/>
      <c r="C3" s="1545"/>
      <c r="D3" s="1546"/>
      <c r="E3" s="1526"/>
      <c r="F3" s="1385"/>
      <c r="G3" s="1385"/>
      <c r="H3" s="1548"/>
      <c r="I3" s="1549"/>
      <c r="J3" s="1385"/>
      <c r="K3" s="1385"/>
      <c r="L3" s="1548"/>
      <c r="M3" s="1549"/>
      <c r="N3" s="1385"/>
      <c r="O3" s="1385"/>
      <c r="P3" s="1385"/>
      <c r="Q3" s="1385"/>
      <c r="R3" s="1385"/>
      <c r="S3" s="1385"/>
      <c r="T3" s="1385"/>
      <c r="U3" s="1548"/>
      <c r="V3" s="1523"/>
      <c r="W3" s="1519"/>
      <c r="X3" s="1519"/>
      <c r="Y3" s="1522"/>
      <c r="Z3" s="1523"/>
      <c r="AA3" s="1519"/>
      <c r="AB3" s="1525"/>
      <c r="AC3" s="1526"/>
      <c r="AD3" s="1527"/>
      <c r="AE3" s="1527"/>
      <c r="AF3" s="1527"/>
      <c r="AG3" s="1527"/>
      <c r="AH3" s="1527"/>
    </row>
    <row r="4" spans="1:34" ht="20.149999999999999" customHeight="1">
      <c r="A4" s="1550" t="s">
        <v>1424</v>
      </c>
      <c r="B4" s="1551"/>
      <c r="C4" s="1551"/>
      <c r="D4" s="1551"/>
      <c r="E4" s="1556"/>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8"/>
    </row>
    <row r="5" spans="1:34" ht="20.149999999999999" customHeight="1">
      <c r="A5" s="1552"/>
      <c r="B5" s="1553"/>
      <c r="C5" s="1553"/>
      <c r="D5" s="1553"/>
      <c r="E5" s="1559"/>
      <c r="F5" s="1560"/>
      <c r="G5" s="1560"/>
      <c r="H5" s="1560"/>
      <c r="I5" s="1560"/>
      <c r="J5" s="1560"/>
      <c r="K5" s="1560"/>
      <c r="L5" s="1560"/>
      <c r="M5" s="1560"/>
      <c r="N5" s="1560"/>
      <c r="O5" s="1560"/>
      <c r="P5" s="1560"/>
      <c r="Q5" s="1560"/>
      <c r="R5" s="1560"/>
      <c r="S5" s="1560"/>
      <c r="T5" s="1560"/>
      <c r="U5" s="1560"/>
      <c r="V5" s="1560"/>
      <c r="W5" s="1560"/>
      <c r="X5" s="1560"/>
      <c r="Y5" s="1560"/>
      <c r="Z5" s="1560"/>
      <c r="AA5" s="1560"/>
      <c r="AB5" s="1560"/>
      <c r="AC5" s="1560"/>
      <c r="AD5" s="1560"/>
      <c r="AE5" s="1560"/>
      <c r="AF5" s="1560"/>
      <c r="AG5" s="1560"/>
      <c r="AH5" s="1561"/>
    </row>
    <row r="6" spans="1:34" ht="20.149999999999999" customHeight="1" thickBot="1">
      <c r="A6" s="1554"/>
      <c r="B6" s="1555"/>
      <c r="C6" s="1555"/>
      <c r="D6" s="1555"/>
      <c r="E6" s="1562"/>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3"/>
      <c r="AF6" s="1563"/>
      <c r="AG6" s="1563"/>
      <c r="AH6" s="1564"/>
    </row>
    <row r="7" spans="1:34" ht="13" customHeight="1">
      <c r="A7" s="1528" t="s">
        <v>996</v>
      </c>
      <c r="B7" s="1528"/>
      <c r="C7" s="1528"/>
      <c r="D7" s="1529"/>
      <c r="E7" s="1530" t="s">
        <v>871</v>
      </c>
      <c r="F7" s="1531"/>
      <c r="G7" s="1531"/>
      <c r="H7" s="1531"/>
      <c r="I7" s="1531"/>
      <c r="J7" s="1531"/>
      <c r="K7" s="1531"/>
      <c r="L7" s="1531"/>
      <c r="M7" s="1531"/>
      <c r="N7" s="1531"/>
      <c r="O7" s="1531"/>
      <c r="P7" s="1531"/>
      <c r="Q7" s="1531"/>
      <c r="R7" s="1531"/>
      <c r="S7" s="1531"/>
      <c r="T7" s="1531"/>
      <c r="U7" s="1532"/>
      <c r="V7" s="1536"/>
      <c r="W7" s="1537"/>
      <c r="X7" s="1537"/>
      <c r="Y7" s="1537"/>
      <c r="Z7" s="1537"/>
      <c r="AA7" s="1537"/>
      <c r="AB7" s="1537"/>
      <c r="AC7" s="1537"/>
      <c r="AD7" s="1537"/>
      <c r="AE7" s="1537"/>
      <c r="AF7" s="1537"/>
      <c r="AG7" s="1537"/>
      <c r="AH7" s="1537"/>
    </row>
    <row r="8" spans="1:34" ht="13" customHeight="1" thickBot="1">
      <c r="A8" s="1528"/>
      <c r="B8" s="1528"/>
      <c r="C8" s="1528"/>
      <c r="D8" s="1529"/>
      <c r="E8" s="1533"/>
      <c r="F8" s="1534"/>
      <c r="G8" s="1534"/>
      <c r="H8" s="1534"/>
      <c r="I8" s="1534"/>
      <c r="J8" s="1534"/>
      <c r="K8" s="1534"/>
      <c r="L8" s="1534"/>
      <c r="M8" s="1534"/>
      <c r="N8" s="1534"/>
      <c r="O8" s="1534"/>
      <c r="P8" s="1534"/>
      <c r="Q8" s="1534"/>
      <c r="R8" s="1534"/>
      <c r="S8" s="1534"/>
      <c r="T8" s="1534"/>
      <c r="U8" s="1535"/>
      <c r="V8" s="1538"/>
      <c r="W8" s="1539"/>
      <c r="X8" s="1539"/>
      <c r="Y8" s="1539"/>
      <c r="Z8" s="1539"/>
      <c r="AA8" s="1539"/>
      <c r="AB8" s="1539"/>
      <c r="AC8" s="1539"/>
      <c r="AD8" s="1539"/>
      <c r="AE8" s="1539"/>
      <c r="AF8" s="1539"/>
      <c r="AG8" s="1539"/>
      <c r="AH8" s="1539"/>
    </row>
    <row r="9" spans="1:34" ht="13" customHeight="1" thickBot="1">
      <c r="A9" s="1391" t="s">
        <v>997</v>
      </c>
      <c r="B9" s="1392"/>
      <c r="C9" s="1392"/>
      <c r="D9" s="1393"/>
      <c r="E9" s="1489" t="s">
        <v>998</v>
      </c>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1"/>
    </row>
    <row r="10" spans="1:34" ht="13" customHeight="1">
      <c r="A10" s="1394"/>
      <c r="B10" s="1395"/>
      <c r="C10" s="1395"/>
      <c r="D10" s="1396"/>
      <c r="E10" s="1492" t="s">
        <v>16</v>
      </c>
      <c r="F10" s="1493" t="s">
        <v>1037</v>
      </c>
      <c r="G10" s="1494"/>
      <c r="H10" s="1494"/>
      <c r="I10" s="1494"/>
      <c r="J10" s="1494"/>
      <c r="K10" s="1494"/>
      <c r="L10" s="1494"/>
      <c r="M10" s="1494"/>
      <c r="N10" s="1495"/>
      <c r="O10" s="1499" t="s">
        <v>17</v>
      </c>
      <c r="P10" s="1500" t="s">
        <v>1037</v>
      </c>
      <c r="Q10" s="1501"/>
      <c r="R10" s="1501"/>
      <c r="S10" s="1501"/>
      <c r="T10" s="1501"/>
      <c r="U10" s="1501"/>
      <c r="V10" s="1501"/>
      <c r="W10" s="1501"/>
      <c r="X10" s="1502"/>
      <c r="Y10" s="1499" t="s">
        <v>18</v>
      </c>
      <c r="Z10" s="1500" t="s">
        <v>1037</v>
      </c>
      <c r="AA10" s="1501"/>
      <c r="AB10" s="1501"/>
      <c r="AC10" s="1501"/>
      <c r="AD10" s="1501"/>
      <c r="AE10" s="1501"/>
      <c r="AF10" s="1501"/>
      <c r="AG10" s="1501"/>
      <c r="AH10" s="1502"/>
    </row>
    <row r="11" spans="1:34" ht="20.149999999999999" customHeight="1" thickBot="1">
      <c r="A11" s="1394"/>
      <c r="B11" s="1395"/>
      <c r="C11" s="1395"/>
      <c r="D11" s="1396"/>
      <c r="E11" s="1492"/>
      <c r="F11" s="1496"/>
      <c r="G11" s="1497"/>
      <c r="H11" s="1497"/>
      <c r="I11" s="1497"/>
      <c r="J11" s="1497"/>
      <c r="K11" s="1497"/>
      <c r="L11" s="1497"/>
      <c r="M11" s="1497"/>
      <c r="N11" s="1498"/>
      <c r="O11" s="1499"/>
      <c r="P11" s="1503"/>
      <c r="Q11" s="1504"/>
      <c r="R11" s="1504"/>
      <c r="S11" s="1504"/>
      <c r="T11" s="1504"/>
      <c r="U11" s="1504"/>
      <c r="V11" s="1504"/>
      <c r="W11" s="1504"/>
      <c r="X11" s="1505"/>
      <c r="Y11" s="1499"/>
      <c r="Z11" s="1503"/>
      <c r="AA11" s="1504"/>
      <c r="AB11" s="1504"/>
      <c r="AC11" s="1504"/>
      <c r="AD11" s="1504"/>
      <c r="AE11" s="1504"/>
      <c r="AF11" s="1504"/>
      <c r="AG11" s="1504"/>
      <c r="AH11" s="1505"/>
    </row>
    <row r="12" spans="1:34" ht="15" customHeight="1">
      <c r="A12" s="1394"/>
      <c r="B12" s="1395"/>
      <c r="C12" s="1395"/>
      <c r="D12" s="1396"/>
      <c r="E12" s="1506" t="s">
        <v>999</v>
      </c>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8"/>
    </row>
    <row r="13" spans="1:34" ht="15" customHeight="1">
      <c r="A13" s="1394"/>
      <c r="B13" s="1395"/>
      <c r="C13" s="1395"/>
      <c r="D13" s="1396"/>
      <c r="E13" s="1509"/>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1"/>
    </row>
    <row r="14" spans="1:34" ht="20.149999999999999" customHeight="1">
      <c r="A14" s="1394"/>
      <c r="B14" s="1395"/>
      <c r="C14" s="1395"/>
      <c r="D14" s="1396"/>
      <c r="E14" s="1512"/>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4"/>
    </row>
    <row r="15" spans="1:34" ht="20.149999999999999" customHeight="1" thickBot="1">
      <c r="A15" s="1397"/>
      <c r="B15" s="1398"/>
      <c r="C15" s="1398"/>
      <c r="D15" s="1399"/>
      <c r="E15" s="1515"/>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7"/>
    </row>
    <row r="16" spans="1:34" ht="15" customHeight="1">
      <c r="A16" s="1451" t="s">
        <v>1000</v>
      </c>
      <c r="B16" s="1452"/>
      <c r="C16" s="1452"/>
      <c r="D16" s="1452"/>
      <c r="E16" s="1457" t="s">
        <v>871</v>
      </c>
      <c r="F16" s="1458"/>
      <c r="G16" s="1458"/>
      <c r="H16" s="1458"/>
      <c r="I16" s="1458"/>
      <c r="J16" s="1458"/>
      <c r="K16" s="1459"/>
      <c r="L16" s="1466" t="str">
        <f>IF(E16="改修等の実績あり","改修等の実績ありの場合は下欄に簡単な内容を記入して下さい","")</f>
        <v/>
      </c>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8"/>
    </row>
    <row r="17" spans="1:34" ht="15" customHeight="1">
      <c r="A17" s="1453"/>
      <c r="B17" s="1454"/>
      <c r="C17" s="1454"/>
      <c r="D17" s="1454"/>
      <c r="E17" s="1460"/>
      <c r="F17" s="1461"/>
      <c r="G17" s="1461"/>
      <c r="H17" s="1461"/>
      <c r="I17" s="1461"/>
      <c r="J17" s="1461"/>
      <c r="K17" s="1462"/>
      <c r="L17" s="1469"/>
      <c r="M17" s="1470"/>
      <c r="N17" s="1470"/>
      <c r="O17" s="1470"/>
      <c r="P17" s="1470"/>
      <c r="Q17" s="1470"/>
      <c r="R17" s="1470"/>
      <c r="S17" s="1470"/>
      <c r="T17" s="1470"/>
      <c r="U17" s="1470"/>
      <c r="V17" s="1470"/>
      <c r="W17" s="1470"/>
      <c r="X17" s="1470"/>
      <c r="Y17" s="1470"/>
      <c r="Z17" s="1470"/>
      <c r="AA17" s="1470"/>
      <c r="AB17" s="1470"/>
      <c r="AC17" s="1470"/>
      <c r="AD17" s="1470"/>
      <c r="AE17" s="1470"/>
      <c r="AF17" s="1470"/>
      <c r="AG17" s="1470"/>
      <c r="AH17" s="1471"/>
    </row>
    <row r="18" spans="1:34" ht="15" customHeight="1">
      <c r="A18" s="1453"/>
      <c r="B18" s="1454"/>
      <c r="C18" s="1454"/>
      <c r="D18" s="1454"/>
      <c r="E18" s="1460"/>
      <c r="F18" s="1461"/>
      <c r="G18" s="1461"/>
      <c r="H18" s="1461"/>
      <c r="I18" s="1461"/>
      <c r="J18" s="1461"/>
      <c r="K18" s="1462"/>
      <c r="L18" s="1472"/>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4"/>
    </row>
    <row r="19" spans="1:34" ht="15" customHeight="1" thickBot="1">
      <c r="A19" s="1455"/>
      <c r="B19" s="1456"/>
      <c r="C19" s="1456"/>
      <c r="D19" s="1456"/>
      <c r="E19" s="1463"/>
      <c r="F19" s="1464"/>
      <c r="G19" s="1464"/>
      <c r="H19" s="1464"/>
      <c r="I19" s="1464"/>
      <c r="J19" s="1464"/>
      <c r="K19" s="1465"/>
      <c r="L19" s="1475"/>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7"/>
    </row>
    <row r="20" spans="1:34" ht="20.149999999999999" customHeight="1">
      <c r="A20" s="1478" t="s">
        <v>1001</v>
      </c>
      <c r="B20" s="1479"/>
      <c r="C20" s="1479"/>
      <c r="D20" s="1479"/>
      <c r="E20" s="1484" t="s">
        <v>1002</v>
      </c>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6"/>
    </row>
    <row r="21" spans="1:34" ht="18" customHeight="1" thickBot="1">
      <c r="A21" s="1480"/>
      <c r="B21" s="1481"/>
      <c r="C21" s="1481"/>
      <c r="D21" s="1481"/>
      <c r="E21" s="1359"/>
      <c r="F21" s="1360"/>
      <c r="G21" s="1360"/>
      <c r="H21" s="1365" t="str">
        <f>IF(F10="選択して下さい","",F10)</f>
        <v/>
      </c>
      <c r="I21" s="1366"/>
      <c r="J21" s="1366"/>
      <c r="K21" s="1366"/>
      <c r="L21" s="1366"/>
      <c r="M21" s="1366"/>
      <c r="N21" s="1366"/>
      <c r="O21" s="1366"/>
      <c r="P21" s="1367"/>
      <c r="Q21" s="1365" t="str">
        <f>IF(P10="選択して下さい","",P10)</f>
        <v/>
      </c>
      <c r="R21" s="1366"/>
      <c r="S21" s="1366"/>
      <c r="T21" s="1366"/>
      <c r="U21" s="1366"/>
      <c r="V21" s="1366"/>
      <c r="W21" s="1366"/>
      <c r="X21" s="1366"/>
      <c r="Y21" s="1368"/>
      <c r="Z21" s="1369" t="str">
        <f>IF(Z10="選択して下さい","",Z10)</f>
        <v/>
      </c>
      <c r="AA21" s="1366"/>
      <c r="AB21" s="1366"/>
      <c r="AC21" s="1366"/>
      <c r="AD21" s="1366"/>
      <c r="AE21" s="1366"/>
      <c r="AF21" s="1366"/>
      <c r="AG21" s="1366"/>
      <c r="AH21" s="1368"/>
    </row>
    <row r="22" spans="1:34" ht="18" customHeight="1">
      <c r="A22" s="1480"/>
      <c r="B22" s="1481"/>
      <c r="C22" s="1481"/>
      <c r="D22" s="1481"/>
      <c r="E22" s="1442" t="s">
        <v>1003</v>
      </c>
      <c r="F22" s="1443"/>
      <c r="G22" s="1444"/>
      <c r="H22" s="1373"/>
      <c r="I22" s="1361"/>
      <c r="J22" s="1361"/>
      <c r="K22" s="1361"/>
      <c r="L22" s="1361"/>
      <c r="M22" s="1361"/>
      <c r="N22" s="1361"/>
      <c r="O22" s="1361"/>
      <c r="P22" s="1361"/>
      <c r="Q22" s="1375"/>
      <c r="R22" s="1361"/>
      <c r="S22" s="1361"/>
      <c r="T22" s="1361"/>
      <c r="U22" s="1361"/>
      <c r="V22" s="1361"/>
      <c r="W22" s="1361"/>
      <c r="X22" s="1361"/>
      <c r="Y22" s="1376"/>
      <c r="Z22" s="1361"/>
      <c r="AA22" s="1361"/>
      <c r="AB22" s="1361"/>
      <c r="AC22" s="1361"/>
      <c r="AD22" s="1361"/>
      <c r="AE22" s="1361"/>
      <c r="AF22" s="1361"/>
      <c r="AG22" s="1361"/>
      <c r="AH22" s="1362"/>
    </row>
    <row r="23" spans="1:34" ht="18" customHeight="1" thickBot="1">
      <c r="A23" s="1480"/>
      <c r="B23" s="1481"/>
      <c r="C23" s="1481"/>
      <c r="D23" s="1481"/>
      <c r="E23" s="1442"/>
      <c r="F23" s="1443"/>
      <c r="G23" s="1444"/>
      <c r="H23" s="1374"/>
      <c r="I23" s="1363"/>
      <c r="J23" s="1363"/>
      <c r="K23" s="1363"/>
      <c r="L23" s="1363"/>
      <c r="M23" s="1363"/>
      <c r="N23" s="1363"/>
      <c r="O23" s="1363"/>
      <c r="P23" s="1363"/>
      <c r="Q23" s="1377"/>
      <c r="R23" s="1363"/>
      <c r="S23" s="1363"/>
      <c r="T23" s="1363"/>
      <c r="U23" s="1363"/>
      <c r="V23" s="1363"/>
      <c r="W23" s="1363"/>
      <c r="X23" s="1363"/>
      <c r="Y23" s="1378"/>
      <c r="Z23" s="1363"/>
      <c r="AA23" s="1363"/>
      <c r="AB23" s="1363"/>
      <c r="AC23" s="1363"/>
      <c r="AD23" s="1363"/>
      <c r="AE23" s="1363"/>
      <c r="AF23" s="1363"/>
      <c r="AG23" s="1363"/>
      <c r="AH23" s="1364"/>
    </row>
    <row r="24" spans="1:34" ht="18" customHeight="1">
      <c r="A24" s="1480"/>
      <c r="B24" s="1481"/>
      <c r="C24" s="1481"/>
      <c r="D24" s="1481"/>
      <c r="E24" s="1442" t="s">
        <v>1004</v>
      </c>
      <c r="F24" s="1443"/>
      <c r="G24" s="1444"/>
      <c r="H24" s="1373"/>
      <c r="I24" s="1361"/>
      <c r="J24" s="1361"/>
      <c r="K24" s="1361"/>
      <c r="L24" s="1361"/>
      <c r="M24" s="1361"/>
      <c r="N24" s="1361"/>
      <c r="O24" s="1361"/>
      <c r="P24" s="1361"/>
      <c r="Q24" s="1375"/>
      <c r="R24" s="1361"/>
      <c r="S24" s="1361"/>
      <c r="T24" s="1361"/>
      <c r="U24" s="1361"/>
      <c r="V24" s="1361"/>
      <c r="W24" s="1361"/>
      <c r="X24" s="1361"/>
      <c r="Y24" s="1376"/>
      <c r="Z24" s="1361"/>
      <c r="AA24" s="1361"/>
      <c r="AB24" s="1361"/>
      <c r="AC24" s="1361"/>
      <c r="AD24" s="1361"/>
      <c r="AE24" s="1361"/>
      <c r="AF24" s="1361"/>
      <c r="AG24" s="1361"/>
      <c r="AH24" s="1362"/>
    </row>
    <row r="25" spans="1:34" ht="18" customHeight="1" thickBot="1">
      <c r="A25" s="1480"/>
      <c r="B25" s="1481"/>
      <c r="C25" s="1481"/>
      <c r="D25" s="1481"/>
      <c r="E25" s="1442"/>
      <c r="F25" s="1443"/>
      <c r="G25" s="1444"/>
      <c r="H25" s="1374"/>
      <c r="I25" s="1363"/>
      <c r="J25" s="1363"/>
      <c r="K25" s="1363"/>
      <c r="L25" s="1363"/>
      <c r="M25" s="1363"/>
      <c r="N25" s="1363"/>
      <c r="O25" s="1363"/>
      <c r="P25" s="1363"/>
      <c r="Q25" s="1377"/>
      <c r="R25" s="1363"/>
      <c r="S25" s="1363"/>
      <c r="T25" s="1363"/>
      <c r="U25" s="1363"/>
      <c r="V25" s="1363"/>
      <c r="W25" s="1363"/>
      <c r="X25" s="1363"/>
      <c r="Y25" s="1378"/>
      <c r="Z25" s="1363"/>
      <c r="AA25" s="1363"/>
      <c r="AB25" s="1363"/>
      <c r="AC25" s="1363"/>
      <c r="AD25" s="1363"/>
      <c r="AE25" s="1363"/>
      <c r="AF25" s="1363"/>
      <c r="AG25" s="1363"/>
      <c r="AH25" s="1364"/>
    </row>
    <row r="26" spans="1:34" ht="18" customHeight="1">
      <c r="A26" s="1480"/>
      <c r="B26" s="1481"/>
      <c r="C26" s="1481"/>
      <c r="D26" s="1481"/>
      <c r="E26" s="1442" t="s">
        <v>1005</v>
      </c>
      <c r="F26" s="1443"/>
      <c r="G26" s="1444"/>
      <c r="H26" s="1373"/>
      <c r="I26" s="1361"/>
      <c r="J26" s="1361"/>
      <c r="K26" s="1361"/>
      <c r="L26" s="1361"/>
      <c r="M26" s="1361"/>
      <c r="N26" s="1361"/>
      <c r="O26" s="1361"/>
      <c r="P26" s="1361"/>
      <c r="Q26" s="1375"/>
      <c r="R26" s="1361"/>
      <c r="S26" s="1361"/>
      <c r="T26" s="1361"/>
      <c r="U26" s="1361"/>
      <c r="V26" s="1361"/>
      <c r="W26" s="1361"/>
      <c r="X26" s="1361"/>
      <c r="Y26" s="1376"/>
      <c r="Z26" s="1361"/>
      <c r="AA26" s="1361"/>
      <c r="AB26" s="1361"/>
      <c r="AC26" s="1361"/>
      <c r="AD26" s="1361"/>
      <c r="AE26" s="1361"/>
      <c r="AF26" s="1361"/>
      <c r="AG26" s="1361"/>
      <c r="AH26" s="1362"/>
    </row>
    <row r="27" spans="1:34" ht="18" customHeight="1" thickBot="1">
      <c r="A27" s="1480"/>
      <c r="B27" s="1481"/>
      <c r="C27" s="1481"/>
      <c r="D27" s="1481"/>
      <c r="E27" s="1442"/>
      <c r="F27" s="1443"/>
      <c r="G27" s="1444"/>
      <c r="H27" s="1374"/>
      <c r="I27" s="1363"/>
      <c r="J27" s="1363"/>
      <c r="K27" s="1363"/>
      <c r="L27" s="1363"/>
      <c r="M27" s="1363"/>
      <c r="N27" s="1363"/>
      <c r="O27" s="1363"/>
      <c r="P27" s="1363"/>
      <c r="Q27" s="1377"/>
      <c r="R27" s="1363"/>
      <c r="S27" s="1363"/>
      <c r="T27" s="1363"/>
      <c r="U27" s="1363"/>
      <c r="V27" s="1363"/>
      <c r="W27" s="1363"/>
      <c r="X27" s="1363"/>
      <c r="Y27" s="1378"/>
      <c r="Z27" s="1363"/>
      <c r="AA27" s="1363"/>
      <c r="AB27" s="1363"/>
      <c r="AC27" s="1363"/>
      <c r="AD27" s="1363"/>
      <c r="AE27" s="1363"/>
      <c r="AF27" s="1363"/>
      <c r="AG27" s="1363"/>
      <c r="AH27" s="1364"/>
    </row>
    <row r="28" spans="1:34" ht="18" customHeight="1">
      <c r="A28" s="1480"/>
      <c r="B28" s="1481"/>
      <c r="C28" s="1481"/>
      <c r="D28" s="1481"/>
      <c r="E28" s="1442" t="s">
        <v>1020</v>
      </c>
      <c r="F28" s="1443"/>
      <c r="G28" s="1444"/>
      <c r="H28" s="1373"/>
      <c r="I28" s="1361"/>
      <c r="J28" s="1361"/>
      <c r="K28" s="1361"/>
      <c r="L28" s="1361"/>
      <c r="M28" s="1361"/>
      <c r="N28" s="1361"/>
      <c r="O28" s="1361"/>
      <c r="P28" s="1361"/>
      <c r="Q28" s="1375"/>
      <c r="R28" s="1361"/>
      <c r="S28" s="1361"/>
      <c r="T28" s="1361"/>
      <c r="U28" s="1361"/>
      <c r="V28" s="1361"/>
      <c r="W28" s="1361"/>
      <c r="X28" s="1361"/>
      <c r="Y28" s="1376"/>
      <c r="Z28" s="1361"/>
      <c r="AA28" s="1361"/>
      <c r="AB28" s="1361"/>
      <c r="AC28" s="1361"/>
      <c r="AD28" s="1361"/>
      <c r="AE28" s="1361"/>
      <c r="AF28" s="1361"/>
      <c r="AG28" s="1361"/>
      <c r="AH28" s="1362"/>
    </row>
    <row r="29" spans="1:34" ht="18" customHeight="1" thickBot="1">
      <c r="A29" s="1480"/>
      <c r="B29" s="1481"/>
      <c r="C29" s="1481"/>
      <c r="D29" s="1481"/>
      <c r="E29" s="1442"/>
      <c r="F29" s="1443"/>
      <c r="G29" s="1444"/>
      <c r="H29" s="1374"/>
      <c r="I29" s="1363"/>
      <c r="J29" s="1363"/>
      <c r="K29" s="1363"/>
      <c r="L29" s="1363"/>
      <c r="M29" s="1363"/>
      <c r="N29" s="1363"/>
      <c r="O29" s="1363"/>
      <c r="P29" s="1363"/>
      <c r="Q29" s="1377"/>
      <c r="R29" s="1363"/>
      <c r="S29" s="1363"/>
      <c r="T29" s="1363"/>
      <c r="U29" s="1363"/>
      <c r="V29" s="1363"/>
      <c r="W29" s="1363"/>
      <c r="X29" s="1363"/>
      <c r="Y29" s="1378"/>
      <c r="Z29" s="1363"/>
      <c r="AA29" s="1363"/>
      <c r="AB29" s="1363"/>
      <c r="AC29" s="1363"/>
      <c r="AD29" s="1363"/>
      <c r="AE29" s="1363"/>
      <c r="AF29" s="1363"/>
      <c r="AG29" s="1363"/>
      <c r="AH29" s="1364"/>
    </row>
    <row r="30" spans="1:34" ht="15" customHeight="1">
      <c r="A30" s="1480"/>
      <c r="B30" s="1481"/>
      <c r="C30" s="1481"/>
      <c r="D30" s="1481"/>
      <c r="E30" s="650"/>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651"/>
    </row>
    <row r="31" spans="1:34" ht="15" customHeight="1" thickBot="1">
      <c r="A31" s="1480"/>
      <c r="B31" s="1481"/>
      <c r="C31" s="1481"/>
      <c r="D31" s="1481"/>
      <c r="E31" s="1445" t="s">
        <v>1006</v>
      </c>
      <c r="F31" s="1446"/>
      <c r="G31" s="1446"/>
      <c r="H31" s="1446"/>
      <c r="I31" s="1446"/>
      <c r="J31" s="1446"/>
      <c r="K31" s="1446"/>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1446"/>
      <c r="AH31" s="1447"/>
    </row>
    <row r="32" spans="1:34" ht="15" customHeight="1">
      <c r="A32" s="1480"/>
      <c r="B32" s="1481"/>
      <c r="C32" s="1481"/>
      <c r="D32" s="1481"/>
      <c r="E32" s="1373"/>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2"/>
    </row>
    <row r="33" spans="1:38" ht="15" customHeight="1" thickBot="1">
      <c r="A33" s="1480"/>
      <c r="B33" s="1481"/>
      <c r="C33" s="1481"/>
      <c r="D33" s="1481"/>
      <c r="E33" s="1374"/>
      <c r="F33" s="1363"/>
      <c r="G33" s="1363"/>
      <c r="H33" s="1363"/>
      <c r="I33" s="1363"/>
      <c r="J33" s="1363"/>
      <c r="K33" s="1363"/>
      <c r="L33" s="1363"/>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4"/>
    </row>
    <row r="34" spans="1:38" ht="15" customHeight="1">
      <c r="A34" s="1480"/>
      <c r="B34" s="1481"/>
      <c r="C34" s="1481"/>
      <c r="D34" s="1481"/>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row>
    <row r="35" spans="1:38" ht="15" customHeight="1">
      <c r="A35" s="1480"/>
      <c r="B35" s="1481"/>
      <c r="C35" s="1481"/>
      <c r="D35" s="1481"/>
      <c r="E35" s="1448" t="s">
        <v>1007</v>
      </c>
      <c r="F35" s="1449"/>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50"/>
    </row>
    <row r="36" spans="1:38" ht="21" customHeight="1" thickBot="1">
      <c r="A36" s="1480"/>
      <c r="B36" s="1481"/>
      <c r="C36" s="1481"/>
      <c r="D36" s="1481"/>
      <c r="E36" s="1487" t="s">
        <v>626</v>
      </c>
      <c r="F36" s="1487"/>
      <c r="G36" s="1488" t="s">
        <v>625</v>
      </c>
      <c r="H36" s="1488"/>
      <c r="I36" s="1488"/>
      <c r="J36" s="1488"/>
      <c r="K36" s="1488"/>
      <c r="L36" s="1488"/>
      <c r="M36" s="1488"/>
      <c r="N36" s="1488"/>
      <c r="O36" s="1488"/>
      <c r="P36" s="1488"/>
      <c r="Q36" s="1487" t="s">
        <v>621</v>
      </c>
      <c r="R36" s="1487"/>
      <c r="S36" s="1487"/>
      <c r="T36" s="1487"/>
      <c r="U36" s="1487"/>
      <c r="V36" s="1487"/>
      <c r="W36" s="1487" t="s">
        <v>623</v>
      </c>
      <c r="X36" s="1487"/>
      <c r="Y36" s="1487"/>
      <c r="Z36" s="1487"/>
      <c r="AA36" s="1487"/>
      <c r="AB36" s="1487"/>
      <c r="AC36" s="1487"/>
      <c r="AD36" s="1487" t="s">
        <v>622</v>
      </c>
      <c r="AE36" s="1487"/>
      <c r="AF36" s="1487"/>
      <c r="AG36" s="1487"/>
      <c r="AH36" s="1487"/>
    </row>
    <row r="37" spans="1:38" ht="21" customHeight="1" thickBot="1">
      <c r="A37" s="1480"/>
      <c r="B37" s="1481"/>
      <c r="C37" s="1481"/>
      <c r="D37" s="1481"/>
      <c r="E37" s="1422" t="s">
        <v>1019</v>
      </c>
      <c r="F37" s="1423"/>
      <c r="G37" s="1424" t="s">
        <v>617</v>
      </c>
      <c r="H37" s="1425"/>
      <c r="I37" s="1425"/>
      <c r="J37" s="1425"/>
      <c r="K37" s="1425"/>
      <c r="L37" s="1425"/>
      <c r="M37" s="1425"/>
      <c r="N37" s="1425"/>
      <c r="O37" s="1425"/>
      <c r="P37" s="1426"/>
      <c r="Q37" s="1427"/>
      <c r="R37" s="1428"/>
      <c r="S37" s="1428"/>
      <c r="T37" s="1428"/>
      <c r="U37" s="1428"/>
      <c r="V37" s="1429"/>
      <c r="W37" s="1430" t="s">
        <v>871</v>
      </c>
      <c r="X37" s="1431"/>
      <c r="Y37" s="1431"/>
      <c r="Z37" s="1431"/>
      <c r="AA37" s="1431"/>
      <c r="AB37" s="1431"/>
      <c r="AC37" s="1432"/>
      <c r="AD37" s="1427"/>
      <c r="AE37" s="1428"/>
      <c r="AF37" s="1428"/>
      <c r="AG37" s="1428"/>
      <c r="AH37" s="1429"/>
    </row>
    <row r="38" spans="1:38" ht="21" customHeight="1" thickBot="1">
      <c r="A38" s="1480"/>
      <c r="B38" s="1481"/>
      <c r="C38" s="1481"/>
      <c r="D38" s="1481"/>
      <c r="E38" s="1422"/>
      <c r="F38" s="1423"/>
      <c r="G38" s="1424"/>
      <c r="H38" s="1425"/>
      <c r="I38" s="1425"/>
      <c r="J38" s="1425"/>
      <c r="K38" s="1425"/>
      <c r="L38" s="1425"/>
      <c r="M38" s="1425"/>
      <c r="N38" s="1425"/>
      <c r="O38" s="1425"/>
      <c r="P38" s="1426"/>
      <c r="Q38" s="1433"/>
      <c r="R38" s="1434"/>
      <c r="S38" s="1434"/>
      <c r="T38" s="1434"/>
      <c r="U38" s="1434"/>
      <c r="V38" s="1435"/>
      <c r="W38" s="1436" t="s">
        <v>871</v>
      </c>
      <c r="X38" s="1437"/>
      <c r="Y38" s="1437"/>
      <c r="Z38" s="1437"/>
      <c r="AA38" s="1437"/>
      <c r="AB38" s="1437"/>
      <c r="AC38" s="1438"/>
      <c r="AD38" s="1433"/>
      <c r="AE38" s="1434"/>
      <c r="AF38" s="1434"/>
      <c r="AG38" s="1434"/>
      <c r="AH38" s="1435"/>
    </row>
    <row r="39" spans="1:38" ht="20.149999999999999" customHeight="1" thickBot="1">
      <c r="A39" s="1480"/>
      <c r="B39" s="1481"/>
      <c r="C39" s="1481"/>
      <c r="D39" s="1481"/>
      <c r="E39" s="1422" t="s">
        <v>1019</v>
      </c>
      <c r="F39" s="1423"/>
      <c r="G39" s="1424" t="s">
        <v>618</v>
      </c>
      <c r="H39" s="1425"/>
      <c r="I39" s="1425"/>
      <c r="J39" s="1425"/>
      <c r="K39" s="1425"/>
      <c r="L39" s="1425"/>
      <c r="M39" s="1425"/>
      <c r="N39" s="1425"/>
      <c r="O39" s="1425"/>
      <c r="P39" s="1426"/>
      <c r="Q39" s="1427"/>
      <c r="R39" s="1428"/>
      <c r="S39" s="1428"/>
      <c r="T39" s="1428"/>
      <c r="U39" s="1428"/>
      <c r="V39" s="1429"/>
      <c r="W39" s="1430" t="s">
        <v>871</v>
      </c>
      <c r="X39" s="1431"/>
      <c r="Y39" s="1431"/>
      <c r="Z39" s="1431"/>
      <c r="AA39" s="1431"/>
      <c r="AB39" s="1431"/>
      <c r="AC39" s="1432"/>
      <c r="AD39" s="1427"/>
      <c r="AE39" s="1428"/>
      <c r="AF39" s="1428"/>
      <c r="AG39" s="1428"/>
      <c r="AH39" s="1429"/>
    </row>
    <row r="40" spans="1:38" ht="30" customHeight="1" thickBot="1">
      <c r="A40" s="1480"/>
      <c r="B40" s="1481"/>
      <c r="C40" s="1481"/>
      <c r="D40" s="1481"/>
      <c r="E40" s="1422"/>
      <c r="F40" s="1423"/>
      <c r="G40" s="1424"/>
      <c r="H40" s="1425"/>
      <c r="I40" s="1425"/>
      <c r="J40" s="1425"/>
      <c r="K40" s="1425"/>
      <c r="L40" s="1425"/>
      <c r="M40" s="1425"/>
      <c r="N40" s="1425"/>
      <c r="O40" s="1425"/>
      <c r="P40" s="1426"/>
      <c r="Q40" s="1439"/>
      <c r="R40" s="1440"/>
      <c r="S40" s="1440"/>
      <c r="T40" s="1440"/>
      <c r="U40" s="1440"/>
      <c r="V40" s="1441"/>
      <c r="W40" s="1436" t="s">
        <v>871</v>
      </c>
      <c r="X40" s="1437"/>
      <c r="Y40" s="1437"/>
      <c r="Z40" s="1437"/>
      <c r="AA40" s="1437"/>
      <c r="AB40" s="1437"/>
      <c r="AC40" s="1438"/>
      <c r="AD40" s="1433"/>
      <c r="AE40" s="1434"/>
      <c r="AF40" s="1434"/>
      <c r="AG40" s="1434"/>
      <c r="AH40" s="1435"/>
      <c r="AI40" s="572"/>
    </row>
    <row r="41" spans="1:38" ht="10" customHeight="1" thickBot="1">
      <c r="A41" s="1480"/>
      <c r="B41" s="1481"/>
      <c r="C41" s="1481"/>
      <c r="D41" s="1481"/>
      <c r="E41" s="1422" t="s">
        <v>1019</v>
      </c>
      <c r="F41" s="1423"/>
      <c r="G41" s="1424" t="s">
        <v>619</v>
      </c>
      <c r="H41" s="1425"/>
      <c r="I41" s="1425"/>
      <c r="J41" s="1425"/>
      <c r="K41" s="1425"/>
      <c r="L41" s="1425"/>
      <c r="M41" s="1425"/>
      <c r="N41" s="1425"/>
      <c r="O41" s="1425"/>
      <c r="P41" s="1426"/>
      <c r="Q41" s="1427"/>
      <c r="R41" s="1428"/>
      <c r="S41" s="1428"/>
      <c r="T41" s="1428"/>
      <c r="U41" s="1428"/>
      <c r="V41" s="1429"/>
      <c r="W41" s="1430" t="s">
        <v>871</v>
      </c>
      <c r="X41" s="1431"/>
      <c r="Y41" s="1431"/>
      <c r="Z41" s="1431"/>
      <c r="AA41" s="1431"/>
      <c r="AB41" s="1431"/>
      <c r="AC41" s="1432"/>
      <c r="AD41" s="1427"/>
      <c r="AE41" s="1428"/>
      <c r="AF41" s="1428"/>
      <c r="AG41" s="1428"/>
      <c r="AH41" s="1429"/>
      <c r="AI41" s="572"/>
    </row>
    <row r="42" spans="1:38" s="588" customFormat="1" ht="30" customHeight="1" thickBot="1">
      <c r="A42" s="1480"/>
      <c r="B42" s="1481"/>
      <c r="C42" s="1481"/>
      <c r="D42" s="1481"/>
      <c r="E42" s="1422"/>
      <c r="F42" s="1423"/>
      <c r="G42" s="1424"/>
      <c r="H42" s="1425"/>
      <c r="I42" s="1425"/>
      <c r="J42" s="1425"/>
      <c r="K42" s="1425"/>
      <c r="L42" s="1425"/>
      <c r="M42" s="1425"/>
      <c r="N42" s="1425"/>
      <c r="O42" s="1425"/>
      <c r="P42" s="1426"/>
      <c r="Q42" s="1433"/>
      <c r="R42" s="1434"/>
      <c r="S42" s="1434"/>
      <c r="T42" s="1434"/>
      <c r="U42" s="1434"/>
      <c r="V42" s="1435"/>
      <c r="W42" s="1436" t="s">
        <v>871</v>
      </c>
      <c r="X42" s="1437"/>
      <c r="Y42" s="1437"/>
      <c r="Z42" s="1437"/>
      <c r="AA42" s="1437"/>
      <c r="AB42" s="1437"/>
      <c r="AC42" s="1438"/>
      <c r="AD42" s="1433"/>
      <c r="AE42" s="1434"/>
      <c r="AF42" s="1434"/>
      <c r="AG42" s="1434"/>
      <c r="AH42" s="1435"/>
      <c r="AI42" s="587"/>
    </row>
    <row r="43" spans="1:38" s="588" customFormat="1" ht="13.5" thickBot="1">
      <c r="A43" s="1480"/>
      <c r="B43" s="1481"/>
      <c r="C43" s="1481"/>
      <c r="D43" s="1481"/>
      <c r="E43" s="1422" t="s">
        <v>1019</v>
      </c>
      <c r="F43" s="1423"/>
      <c r="G43" s="1424" t="s">
        <v>863</v>
      </c>
      <c r="H43" s="1425"/>
      <c r="I43" s="1425"/>
      <c r="J43" s="1425"/>
      <c r="K43" s="1425"/>
      <c r="L43" s="1425"/>
      <c r="M43" s="1425"/>
      <c r="N43" s="1425"/>
      <c r="O43" s="1425"/>
      <c r="P43" s="1426"/>
      <c r="Q43" s="1427"/>
      <c r="R43" s="1428"/>
      <c r="S43" s="1428"/>
      <c r="T43" s="1428"/>
      <c r="U43" s="1428"/>
      <c r="V43" s="1429"/>
      <c r="W43" s="1430" t="s">
        <v>871</v>
      </c>
      <c r="X43" s="1431"/>
      <c r="Y43" s="1431"/>
      <c r="Z43" s="1431"/>
      <c r="AA43" s="1431"/>
      <c r="AB43" s="1431"/>
      <c r="AC43" s="1432"/>
      <c r="AD43" s="1427"/>
      <c r="AE43" s="1428"/>
      <c r="AF43" s="1428"/>
      <c r="AG43" s="1428"/>
      <c r="AH43" s="1429"/>
      <c r="AI43" s="587"/>
    </row>
    <row r="44" spans="1:38" ht="30" customHeight="1" thickBot="1">
      <c r="A44" s="1482"/>
      <c r="B44" s="1483"/>
      <c r="C44" s="1483"/>
      <c r="D44" s="1483"/>
      <c r="E44" s="1422"/>
      <c r="F44" s="1423"/>
      <c r="G44" s="1424"/>
      <c r="H44" s="1425"/>
      <c r="I44" s="1425"/>
      <c r="J44" s="1425"/>
      <c r="K44" s="1425"/>
      <c r="L44" s="1425"/>
      <c r="M44" s="1425"/>
      <c r="N44" s="1425"/>
      <c r="O44" s="1425"/>
      <c r="P44" s="1426"/>
      <c r="Q44" s="1433"/>
      <c r="R44" s="1434"/>
      <c r="S44" s="1434"/>
      <c r="T44" s="1434"/>
      <c r="U44" s="1434"/>
      <c r="V44" s="1435"/>
      <c r="W44" s="1436" t="s">
        <v>871</v>
      </c>
      <c r="X44" s="1437"/>
      <c r="Y44" s="1437"/>
      <c r="Z44" s="1437"/>
      <c r="AA44" s="1437"/>
      <c r="AB44" s="1437"/>
      <c r="AC44" s="1438"/>
      <c r="AD44" s="1433"/>
      <c r="AE44" s="1434"/>
      <c r="AF44" s="1434"/>
      <c r="AG44" s="1434"/>
      <c r="AH44" s="1435"/>
      <c r="AI44" s="572"/>
    </row>
    <row r="45" spans="1:38" s="572" customFormat="1" ht="22" customHeight="1">
      <c r="A45" s="1391" t="s">
        <v>1550</v>
      </c>
      <c r="B45" s="1392"/>
      <c r="C45" s="1392"/>
      <c r="D45" s="1393"/>
      <c r="E45" s="1400" t="s">
        <v>1551</v>
      </c>
      <c r="F45" s="1401"/>
      <c r="G45" s="1354"/>
      <c r="H45" s="1354"/>
      <c r="I45" s="1354"/>
      <c r="J45" s="1354"/>
      <c r="K45" s="1354"/>
      <c r="L45" s="1354"/>
      <c r="M45" s="1354"/>
      <c r="N45" s="1354"/>
      <c r="O45" s="1354"/>
      <c r="P45" s="1354"/>
      <c r="Q45" s="1401"/>
      <c r="R45" s="1401"/>
      <c r="S45" s="1401"/>
      <c r="T45" s="1401"/>
      <c r="U45" s="1401"/>
      <c r="V45" s="1402"/>
      <c r="W45" s="1407" t="s">
        <v>61</v>
      </c>
      <c r="X45" s="1408"/>
      <c r="Y45" s="1408"/>
      <c r="Z45" s="1408"/>
      <c r="AA45" s="1409"/>
      <c r="AB45" s="1410"/>
      <c r="AC45" s="1410"/>
      <c r="AD45" s="1411"/>
      <c r="AE45" s="1411"/>
      <c r="AF45" s="1411"/>
      <c r="AG45" s="1354" t="s">
        <v>620</v>
      </c>
      <c r="AH45" s="1412"/>
      <c r="AI45" s="572" t="s">
        <v>829</v>
      </c>
    </row>
    <row r="46" spans="1:38" s="572" customFormat="1" ht="21.75" customHeight="1">
      <c r="A46" s="1394"/>
      <c r="B46" s="1395"/>
      <c r="C46" s="1395"/>
      <c r="D46" s="1396"/>
      <c r="E46" s="1403"/>
      <c r="F46" s="1401"/>
      <c r="G46" s="1401"/>
      <c r="H46" s="1401"/>
      <c r="I46" s="1401"/>
      <c r="J46" s="1401"/>
      <c r="K46" s="1401"/>
      <c r="L46" s="1401"/>
      <c r="M46" s="1401"/>
      <c r="N46" s="1401"/>
      <c r="O46" s="1401"/>
      <c r="P46" s="1401"/>
      <c r="Q46" s="1401"/>
      <c r="R46" s="1401"/>
      <c r="S46" s="1401"/>
      <c r="T46" s="1401"/>
      <c r="U46" s="1401"/>
      <c r="V46" s="1402"/>
      <c r="W46" s="1413" t="s">
        <v>62</v>
      </c>
      <c r="X46" s="1414"/>
      <c r="Y46" s="1414"/>
      <c r="Z46" s="1414"/>
      <c r="AA46" s="1415"/>
      <c r="AB46" s="1416"/>
      <c r="AC46" s="1417"/>
      <c r="AD46" s="1417"/>
      <c r="AE46" s="1417"/>
      <c r="AF46" s="1418"/>
      <c r="AG46" s="1401"/>
      <c r="AH46" s="1402"/>
      <c r="AI46" s="586" t="e">
        <f>Y57*AJ46</f>
        <v>#N/A</v>
      </c>
      <c r="AJ46" s="572">
        <f>IF(AB45&gt;10,10,AB45)</f>
        <v>0</v>
      </c>
      <c r="AL46" s="659" t="s">
        <v>1008</v>
      </c>
    </row>
    <row r="47" spans="1:38" ht="21.75" customHeight="1">
      <c r="A47" s="1397"/>
      <c r="B47" s="1398"/>
      <c r="C47" s="1398"/>
      <c r="D47" s="1399"/>
      <c r="E47" s="1404"/>
      <c r="F47" s="1405"/>
      <c r="G47" s="1405"/>
      <c r="H47" s="1405"/>
      <c r="I47" s="1405"/>
      <c r="J47" s="1405"/>
      <c r="K47" s="1405"/>
      <c r="L47" s="1405"/>
      <c r="M47" s="1405"/>
      <c r="N47" s="1405"/>
      <c r="O47" s="1405"/>
      <c r="P47" s="1405"/>
      <c r="Q47" s="1405"/>
      <c r="R47" s="1405"/>
      <c r="S47" s="1405"/>
      <c r="T47" s="1405"/>
      <c r="U47" s="1405"/>
      <c r="V47" s="1406"/>
      <c r="W47" s="1413" t="s">
        <v>823</v>
      </c>
      <c r="X47" s="1414"/>
      <c r="Y47" s="1414"/>
      <c r="Z47" s="1414"/>
      <c r="AA47" s="1415"/>
      <c r="AB47" s="1419"/>
      <c r="AC47" s="1420"/>
      <c r="AD47" s="1420"/>
      <c r="AE47" s="1420"/>
      <c r="AF47" s="1421"/>
      <c r="AG47" s="1401"/>
      <c r="AH47" s="1402"/>
      <c r="AI47" s="586" t="e">
        <f>Y58*AJ47</f>
        <v>#N/A</v>
      </c>
      <c r="AJ47" s="572">
        <f>IF(AB46&gt;10,10,AB46)</f>
        <v>0</v>
      </c>
      <c r="AL47" s="571" t="s">
        <v>52</v>
      </c>
    </row>
    <row r="48" spans="1:38" ht="21.75" customHeight="1">
      <c r="A48" s="652"/>
      <c r="B48" s="653"/>
      <c r="C48" s="653"/>
      <c r="D48" s="654"/>
      <c r="E48" s="1372" t="s">
        <v>559</v>
      </c>
      <c r="F48" s="1372"/>
      <c r="G48" s="1372"/>
      <c r="H48" s="1372"/>
      <c r="I48" s="1372"/>
      <c r="J48" s="1372"/>
      <c r="K48" s="1372"/>
      <c r="L48" s="1372"/>
      <c r="M48" s="1372"/>
      <c r="N48" s="1372"/>
      <c r="O48" s="1372" t="s">
        <v>560</v>
      </c>
      <c r="P48" s="1372"/>
      <c r="Q48" s="1372"/>
      <c r="R48" s="1372"/>
      <c r="S48" s="1372"/>
      <c r="T48" s="1372"/>
      <c r="U48" s="1372"/>
      <c r="V48" s="1372"/>
      <c r="W48" s="1372"/>
      <c r="X48" s="1372"/>
      <c r="Y48" s="1372" t="s">
        <v>1552</v>
      </c>
      <c r="Z48" s="1372"/>
      <c r="AA48" s="1372"/>
      <c r="AB48" s="1372"/>
      <c r="AC48" s="1372"/>
      <c r="AD48" s="1372"/>
      <c r="AE48" s="1372"/>
      <c r="AF48" s="1372"/>
      <c r="AG48" s="1372"/>
      <c r="AH48" s="1372"/>
      <c r="AI48" s="586" t="e">
        <f>Y59*AJ48</f>
        <v>#N/A</v>
      </c>
      <c r="AJ48" s="572">
        <f>IF(AB47&gt;10,10,AB47)</f>
        <v>0</v>
      </c>
      <c r="AL48" s="571" t="s">
        <v>624</v>
      </c>
    </row>
    <row r="49" spans="1:38" ht="28.5" customHeight="1">
      <c r="A49" s="655"/>
      <c r="B49" s="656"/>
      <c r="C49" s="656"/>
      <c r="D49" s="657"/>
      <c r="E49" s="1389" t="str">
        <f>IFERROR(結果!L9,"")</f>
        <v/>
      </c>
      <c r="F49" s="1389"/>
      <c r="G49" s="1389"/>
      <c r="H49" s="1389"/>
      <c r="I49" s="1389"/>
      <c r="J49" s="1390"/>
      <c r="K49" s="1371" t="s">
        <v>562</v>
      </c>
      <c r="L49" s="1372"/>
      <c r="M49" s="1372"/>
      <c r="N49" s="1372"/>
      <c r="O49" s="1389" t="str">
        <f>IFERROR(結果!L10,"")</f>
        <v/>
      </c>
      <c r="P49" s="1389"/>
      <c r="Q49" s="1389"/>
      <c r="R49" s="1389"/>
      <c r="S49" s="1389"/>
      <c r="T49" s="1390"/>
      <c r="U49" s="1371" t="s">
        <v>562</v>
      </c>
      <c r="V49" s="1372"/>
      <c r="W49" s="1372"/>
      <c r="X49" s="1372"/>
      <c r="Y49" s="1389" t="str">
        <f>IFERROR(E49-O49,"")</f>
        <v/>
      </c>
      <c r="Z49" s="1389"/>
      <c r="AA49" s="1389"/>
      <c r="AB49" s="1389"/>
      <c r="AC49" s="1389"/>
      <c r="AD49" s="1390"/>
      <c r="AE49" s="1371" t="s">
        <v>562</v>
      </c>
      <c r="AF49" s="1372"/>
      <c r="AG49" s="1372"/>
      <c r="AH49" s="1372"/>
      <c r="AL49" s="571" t="s">
        <v>1009</v>
      </c>
    </row>
    <row r="50" spans="1:38" hidden="1">
      <c r="AL50" s="571" t="s">
        <v>1010</v>
      </c>
    </row>
    <row r="51" spans="1:38" ht="15" hidden="1">
      <c r="A51" s="1388" t="s">
        <v>1017</v>
      </c>
      <c r="B51" s="1388"/>
      <c r="C51" s="1388"/>
      <c r="D51" s="1388"/>
      <c r="E51" s="1388"/>
      <c r="F51" s="1388"/>
      <c r="G51" s="1388"/>
      <c r="H51" s="1388"/>
      <c r="I51" s="1388"/>
      <c r="J51" s="1388"/>
      <c r="K51" s="1388"/>
      <c r="L51" s="1388"/>
      <c r="M51" s="1388"/>
      <c r="N51" s="572"/>
      <c r="O51" s="1382" t="s">
        <v>1016</v>
      </c>
      <c r="P51" s="1383"/>
      <c r="Q51" s="1383"/>
      <c r="R51" s="1383"/>
      <c r="S51" s="1383"/>
      <c r="T51" s="1383"/>
      <c r="U51" s="1383"/>
      <c r="V51" s="1383"/>
      <c r="W51" s="1383"/>
      <c r="X51" s="1384"/>
      <c r="Y51" s="1379" t="str">
        <f>IFERROR(Y60,"")</f>
        <v/>
      </c>
      <c r="Z51" s="1379"/>
      <c r="AA51" s="1379"/>
      <c r="AB51" s="1379"/>
      <c r="AC51" s="1379"/>
      <c r="AD51" s="1380"/>
      <c r="AE51" s="1371" t="s">
        <v>830</v>
      </c>
      <c r="AF51" s="1372"/>
      <c r="AG51" s="1372"/>
      <c r="AH51" s="1372"/>
    </row>
    <row r="52" spans="1:38" hidden="1">
      <c r="A52" s="572"/>
      <c r="B52" s="572"/>
      <c r="C52" s="572"/>
      <c r="D52" s="572"/>
      <c r="E52" s="572"/>
      <c r="F52" s="572"/>
      <c r="G52" s="572"/>
      <c r="H52" s="572"/>
      <c r="I52" s="572"/>
      <c r="J52" s="572"/>
      <c r="K52" s="572"/>
      <c r="L52" s="572"/>
      <c r="M52" s="572"/>
      <c r="N52" s="572"/>
      <c r="O52" s="662"/>
      <c r="P52" s="662"/>
      <c r="Q52" s="662"/>
      <c r="R52" s="662"/>
      <c r="S52" s="662"/>
      <c r="T52" s="662"/>
      <c r="U52" s="662"/>
      <c r="V52" s="662"/>
      <c r="W52" s="662"/>
      <c r="X52" s="662"/>
      <c r="Y52" s="658"/>
      <c r="Z52" s="658"/>
      <c r="AA52" s="658"/>
      <c r="AB52" s="658"/>
      <c r="AC52" s="658"/>
      <c r="AD52" s="658"/>
      <c r="AE52" s="664"/>
      <c r="AF52" s="664"/>
      <c r="AG52" s="664"/>
      <c r="AH52" s="664"/>
    </row>
    <row r="53" spans="1:38" hidden="1">
      <c r="A53" s="572"/>
      <c r="B53" s="572"/>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row>
    <row r="54" spans="1:38" hidden="1">
      <c r="A54" s="587"/>
      <c r="B54" s="587"/>
      <c r="C54" s="587"/>
      <c r="D54" s="587"/>
      <c r="E54" s="587"/>
      <c r="F54" s="587"/>
      <c r="G54" s="587"/>
      <c r="H54" s="587"/>
      <c r="I54" s="587"/>
      <c r="J54" s="587"/>
      <c r="K54" s="587"/>
      <c r="L54" s="587"/>
      <c r="M54" s="587"/>
      <c r="N54" s="587"/>
      <c r="O54" s="587"/>
      <c r="P54" s="587"/>
      <c r="Q54" s="587"/>
      <c r="R54" s="587"/>
      <c r="S54" s="587"/>
      <c r="T54" s="587"/>
      <c r="U54" s="587"/>
      <c r="V54" s="587"/>
      <c r="W54" s="587"/>
      <c r="X54" s="587"/>
      <c r="Y54" s="587"/>
      <c r="Z54" s="587"/>
      <c r="AA54" s="587"/>
      <c r="AB54" s="587"/>
      <c r="AC54" s="587"/>
      <c r="AD54" s="587"/>
      <c r="AE54" s="587"/>
      <c r="AF54" s="587"/>
      <c r="AG54" s="587"/>
      <c r="AH54" s="587"/>
    </row>
    <row r="55" spans="1:38" ht="16.5" hidden="1">
      <c r="A55" s="1385"/>
      <c r="B55" s="1385"/>
      <c r="C55" s="1385"/>
      <c r="D55" s="1385"/>
      <c r="E55" s="1385"/>
      <c r="F55" s="1385"/>
      <c r="G55" s="1385"/>
      <c r="H55" s="1385"/>
      <c r="I55" s="1385"/>
      <c r="J55" s="1386"/>
      <c r="K55" s="1386"/>
      <c r="L55" s="1386"/>
      <c r="M55" s="1385"/>
      <c r="N55" s="1385"/>
      <c r="O55" s="1385"/>
      <c r="P55" s="1385"/>
      <c r="Q55" s="1385"/>
      <c r="R55" s="1387"/>
      <c r="S55" s="1387"/>
      <c r="T55" s="1387"/>
      <c r="U55" s="1387"/>
      <c r="V55" s="573"/>
      <c r="W55" s="1387"/>
      <c r="X55" s="1387"/>
      <c r="Y55" s="573"/>
      <c r="Z55" s="573"/>
      <c r="AA55" s="1387"/>
      <c r="AB55" s="1387"/>
      <c r="AC55" s="1387"/>
      <c r="AD55" s="1387"/>
      <c r="AE55" s="573"/>
      <c r="AF55" s="1387"/>
      <c r="AG55" s="1387"/>
      <c r="AH55" s="573"/>
    </row>
    <row r="56" spans="1:38" ht="15" hidden="1">
      <c r="A56" s="574"/>
      <c r="B56" s="574"/>
      <c r="C56" s="574"/>
      <c r="D56" s="574"/>
      <c r="E56" s="1372" t="s">
        <v>559</v>
      </c>
      <c r="F56" s="1372"/>
      <c r="G56" s="1372"/>
      <c r="H56" s="1372"/>
      <c r="I56" s="1372"/>
      <c r="J56" s="1372"/>
      <c r="K56" s="1372"/>
      <c r="L56" s="1372"/>
      <c r="M56" s="1372"/>
      <c r="N56" s="1372"/>
      <c r="O56" s="1372" t="s">
        <v>560</v>
      </c>
      <c r="P56" s="1372"/>
      <c r="Q56" s="1372"/>
      <c r="R56" s="1372"/>
      <c r="S56" s="1372"/>
      <c r="T56" s="1372"/>
      <c r="U56" s="1372"/>
      <c r="V56" s="1372"/>
      <c r="W56" s="1372"/>
      <c r="X56" s="1372"/>
      <c r="Y56" s="1372" t="s">
        <v>561</v>
      </c>
      <c r="Z56" s="1372"/>
      <c r="AA56" s="1372"/>
      <c r="AB56" s="1372"/>
      <c r="AC56" s="1372"/>
      <c r="AD56" s="1372"/>
      <c r="AE56" s="1372"/>
      <c r="AF56" s="1372"/>
      <c r="AG56" s="1372"/>
      <c r="AH56" s="1372"/>
    </row>
    <row r="57" spans="1:38" ht="15" hidden="1">
      <c r="A57" s="574"/>
      <c r="B57" s="574"/>
      <c r="C57" s="574"/>
      <c r="D57" s="583" t="s">
        <v>61</v>
      </c>
      <c r="E57" s="1381" t="e">
        <f>結果!$W$118+結果!$X$118</f>
        <v>#N/A</v>
      </c>
      <c r="F57" s="1379"/>
      <c r="G57" s="1379"/>
      <c r="H57" s="1379"/>
      <c r="I57" s="1379"/>
      <c r="J57" s="1380"/>
      <c r="K57" s="1371" t="s">
        <v>562</v>
      </c>
      <c r="L57" s="1372"/>
      <c r="M57" s="1372"/>
      <c r="N57" s="1372"/>
      <c r="O57" s="1381" t="e">
        <f>結果!$W$119+結果!$X$119</f>
        <v>#N/A</v>
      </c>
      <c r="P57" s="1379"/>
      <c r="Q57" s="1379"/>
      <c r="R57" s="1379"/>
      <c r="S57" s="1379"/>
      <c r="T57" s="1380"/>
      <c r="U57" s="1371" t="s">
        <v>562</v>
      </c>
      <c r="V57" s="1372"/>
      <c r="W57" s="1372"/>
      <c r="X57" s="1372"/>
      <c r="Y57" s="1379" t="e">
        <f>E57-O57</f>
        <v>#N/A</v>
      </c>
      <c r="Z57" s="1379"/>
      <c r="AA57" s="1379"/>
      <c r="AB57" s="1379"/>
      <c r="AC57" s="1379"/>
      <c r="AD57" s="1380"/>
      <c r="AE57" s="1371" t="s">
        <v>562</v>
      </c>
      <c r="AF57" s="1372"/>
      <c r="AG57" s="1372"/>
      <c r="AH57" s="1372"/>
    </row>
    <row r="58" spans="1:38" ht="15" hidden="1">
      <c r="A58" s="575"/>
      <c r="B58" s="575"/>
      <c r="C58" s="576"/>
      <c r="D58" s="584" t="s">
        <v>62</v>
      </c>
      <c r="E58" s="1381" t="e">
        <f>結果!$Y$118+結果!$Z$118</f>
        <v>#N/A</v>
      </c>
      <c r="F58" s="1379"/>
      <c r="G58" s="1379"/>
      <c r="H58" s="1379"/>
      <c r="I58" s="1379"/>
      <c r="J58" s="1380"/>
      <c r="K58" s="1371" t="s">
        <v>562</v>
      </c>
      <c r="L58" s="1372"/>
      <c r="M58" s="1372"/>
      <c r="N58" s="1372"/>
      <c r="O58" s="1381" t="e">
        <f>結果!$Y$119+結果!$Z$119</f>
        <v>#N/A</v>
      </c>
      <c r="P58" s="1379"/>
      <c r="Q58" s="1379"/>
      <c r="R58" s="1379"/>
      <c r="S58" s="1379"/>
      <c r="T58" s="1380"/>
      <c r="U58" s="1371" t="s">
        <v>562</v>
      </c>
      <c r="V58" s="1372"/>
      <c r="W58" s="1372"/>
      <c r="X58" s="1372"/>
      <c r="Y58" s="1379" t="e">
        <f>E58-O58</f>
        <v>#N/A</v>
      </c>
      <c r="Z58" s="1379"/>
      <c r="AA58" s="1379"/>
      <c r="AB58" s="1379"/>
      <c r="AC58" s="1379"/>
      <c r="AD58" s="1380"/>
      <c r="AE58" s="1371" t="s">
        <v>562</v>
      </c>
      <c r="AF58" s="1372"/>
      <c r="AG58" s="1372"/>
      <c r="AH58" s="1372"/>
    </row>
    <row r="59" spans="1:38" ht="15" hidden="1">
      <c r="D59" s="585" t="s">
        <v>823</v>
      </c>
      <c r="E59" s="1379" t="e">
        <f>結果!$AA$118+結果!$AB$118</f>
        <v>#N/A</v>
      </c>
      <c r="F59" s="1379"/>
      <c r="G59" s="1379"/>
      <c r="H59" s="1379"/>
      <c r="I59" s="1379"/>
      <c r="J59" s="1380"/>
      <c r="K59" s="1371" t="s">
        <v>825</v>
      </c>
      <c r="L59" s="1372"/>
      <c r="M59" s="1372"/>
      <c r="N59" s="1372"/>
      <c r="O59" s="1379" t="e">
        <f>結果!$AA$119+結果!$AB$119</f>
        <v>#N/A</v>
      </c>
      <c r="P59" s="1379"/>
      <c r="Q59" s="1379"/>
      <c r="R59" s="1379"/>
      <c r="S59" s="1379"/>
      <c r="T59" s="1380"/>
      <c r="U59" s="1371" t="s">
        <v>825</v>
      </c>
      <c r="V59" s="1372"/>
      <c r="W59" s="1372"/>
      <c r="X59" s="1372"/>
      <c r="Y59" s="1379" t="e">
        <f>E59-O59</f>
        <v>#N/A</v>
      </c>
      <c r="Z59" s="1379"/>
      <c r="AA59" s="1379"/>
      <c r="AB59" s="1379"/>
      <c r="AC59" s="1379"/>
      <c r="AD59" s="1380"/>
      <c r="AE59" s="1371" t="s">
        <v>825</v>
      </c>
      <c r="AF59" s="1372"/>
      <c r="AG59" s="1372"/>
      <c r="AH59" s="1372"/>
    </row>
    <row r="60" spans="1:38" ht="15" hidden="1">
      <c r="X60" s="585" t="s">
        <v>1</v>
      </c>
      <c r="Y60" s="1370" t="e">
        <f>_xlfn.AGGREGATE(9,,AI46:AI48)</f>
        <v>#N/A</v>
      </c>
      <c r="Z60" s="1370"/>
      <c r="AA60" s="1370"/>
      <c r="AB60" s="1370"/>
      <c r="AC60" s="1370"/>
      <c r="AD60" s="1370"/>
      <c r="AE60" s="1371" t="s">
        <v>830</v>
      </c>
      <c r="AF60" s="1372"/>
      <c r="AG60" s="1372"/>
      <c r="AH60" s="1372"/>
    </row>
    <row r="61" spans="1:38" hidden="1"/>
    <row r="62" spans="1:38" hidden="1"/>
    <row r="63" spans="1:38" hidden="1"/>
    <row r="64" spans="1:38" hidden="1"/>
    <row r="65" spans="23:34" hidden="1"/>
    <row r="66" spans="23:34" hidden="1"/>
    <row r="67" spans="23:34" hidden="1"/>
    <row r="68" spans="23:34" hidden="1"/>
    <row r="69" spans="23:34" hidden="1"/>
    <row r="70" spans="23:34" hidden="1"/>
    <row r="71" spans="23:34" hidden="1"/>
    <row r="72" spans="23:34" hidden="1"/>
    <row r="73" spans="23:34" hidden="1"/>
    <row r="75" spans="23:34" ht="13.5" thickBot="1"/>
    <row r="76" spans="23:34">
      <c r="W76" s="1341" t="s">
        <v>1553</v>
      </c>
      <c r="X76" s="1342"/>
      <c r="Y76" s="1342"/>
      <c r="Z76" s="1342"/>
      <c r="AA76" s="1342"/>
      <c r="AB76" s="1342"/>
      <c r="AC76" s="1342"/>
      <c r="AD76" s="1342"/>
      <c r="AE76" s="1342"/>
      <c r="AF76" s="1342"/>
      <c r="AG76" s="1342"/>
      <c r="AH76" s="1343"/>
    </row>
    <row r="77" spans="23:34">
      <c r="W77" s="1344"/>
      <c r="X77" s="1345"/>
      <c r="Y77" s="1345"/>
      <c r="Z77" s="1345"/>
      <c r="AA77" s="1345"/>
      <c r="AB77" s="1345"/>
      <c r="AC77" s="1345"/>
      <c r="AD77" s="1345"/>
      <c r="AE77" s="1345"/>
      <c r="AF77" s="1345"/>
      <c r="AG77" s="1345"/>
      <c r="AH77" s="1346"/>
    </row>
    <row r="78" spans="23:34">
      <c r="W78" s="1347" t="e">
        <f>ROUND(Y49/(③!W43/1000000),3)</f>
        <v>#VALUE!</v>
      </c>
      <c r="X78" s="1348"/>
      <c r="Y78" s="1348"/>
      <c r="Z78" s="1348"/>
      <c r="AA78" s="1348"/>
      <c r="AB78" s="1348"/>
      <c r="AC78" s="1349"/>
      <c r="AD78" s="1353" t="s">
        <v>1554</v>
      </c>
      <c r="AE78" s="1354"/>
      <c r="AF78" s="1354"/>
      <c r="AG78" s="1354"/>
      <c r="AH78" s="1355"/>
    </row>
    <row r="79" spans="23:34" ht="13.5" thickBot="1">
      <c r="W79" s="1350"/>
      <c r="X79" s="1351"/>
      <c r="Y79" s="1351"/>
      <c r="Z79" s="1351"/>
      <c r="AA79" s="1351"/>
      <c r="AB79" s="1351"/>
      <c r="AC79" s="1352"/>
      <c r="AD79" s="1356"/>
      <c r="AE79" s="1357"/>
      <c r="AF79" s="1357"/>
      <c r="AG79" s="1357"/>
      <c r="AH79" s="1358"/>
    </row>
  </sheetData>
  <sheetProtection password="D73A" sheet="1" objects="1" scenarios="1"/>
  <mergeCells count="152">
    <mergeCell ref="W2:X3"/>
    <mergeCell ref="Y2:Z3"/>
    <mergeCell ref="AA2:AB3"/>
    <mergeCell ref="AC2:AH3"/>
    <mergeCell ref="A7:D8"/>
    <mergeCell ref="E7:U8"/>
    <mergeCell ref="V7:AH8"/>
    <mergeCell ref="A1:AH1"/>
    <mergeCell ref="A2:D3"/>
    <mergeCell ref="E2:G3"/>
    <mergeCell ref="H2:I3"/>
    <mergeCell ref="J2:K3"/>
    <mergeCell ref="L2:M3"/>
    <mergeCell ref="N2:O3"/>
    <mergeCell ref="P2:Q3"/>
    <mergeCell ref="R2:T3"/>
    <mergeCell ref="U2:V3"/>
    <mergeCell ref="A4:D6"/>
    <mergeCell ref="E4:AH6"/>
    <mergeCell ref="A9:D15"/>
    <mergeCell ref="E9:AH9"/>
    <mergeCell ref="E10:E11"/>
    <mergeCell ref="F10:N11"/>
    <mergeCell ref="O10:O11"/>
    <mergeCell ref="P10:X11"/>
    <mergeCell ref="Y10:Y11"/>
    <mergeCell ref="Z10:AH11"/>
    <mergeCell ref="E12:AH13"/>
    <mergeCell ref="E14:AH15"/>
    <mergeCell ref="E28:G29"/>
    <mergeCell ref="E31:AH31"/>
    <mergeCell ref="E32:AH33"/>
    <mergeCell ref="E35:AH35"/>
    <mergeCell ref="E24:G25"/>
    <mergeCell ref="E26:G27"/>
    <mergeCell ref="A16:D19"/>
    <mergeCell ref="E16:K19"/>
    <mergeCell ref="L16:AH16"/>
    <mergeCell ref="L17:AH19"/>
    <mergeCell ref="A20:D44"/>
    <mergeCell ref="E20:AH20"/>
    <mergeCell ref="E22:G23"/>
    <mergeCell ref="E36:F36"/>
    <mergeCell ref="G36:P36"/>
    <mergeCell ref="Q36:V36"/>
    <mergeCell ref="W36:AC36"/>
    <mergeCell ref="AD36:AH36"/>
    <mergeCell ref="E37:F38"/>
    <mergeCell ref="G37:P38"/>
    <mergeCell ref="Q37:V37"/>
    <mergeCell ref="W37:AC37"/>
    <mergeCell ref="AD37:AH37"/>
    <mergeCell ref="Q38:V38"/>
    <mergeCell ref="W38:AC38"/>
    <mergeCell ref="AD38:AH38"/>
    <mergeCell ref="E39:F40"/>
    <mergeCell ref="G39:P40"/>
    <mergeCell ref="Q39:V39"/>
    <mergeCell ref="W39:AC39"/>
    <mergeCell ref="AD39:AH39"/>
    <mergeCell ref="Q40:V40"/>
    <mergeCell ref="W40:AC40"/>
    <mergeCell ref="E43:F44"/>
    <mergeCell ref="G43:P44"/>
    <mergeCell ref="Q43:V43"/>
    <mergeCell ref="W43:AC43"/>
    <mergeCell ref="AD43:AH43"/>
    <mergeCell ref="Q44:V44"/>
    <mergeCell ref="W44:AC44"/>
    <mergeCell ref="AD44:AH44"/>
    <mergeCell ref="AD40:AH40"/>
    <mergeCell ref="E41:F42"/>
    <mergeCell ref="G41:P42"/>
    <mergeCell ref="Q41:V41"/>
    <mergeCell ref="W41:AC41"/>
    <mergeCell ref="AD41:AH41"/>
    <mergeCell ref="Q42:V42"/>
    <mergeCell ref="W42:AC42"/>
    <mergeCell ref="AD42:AH42"/>
    <mergeCell ref="A45:D47"/>
    <mergeCell ref="E45:V47"/>
    <mergeCell ref="W45:AA45"/>
    <mergeCell ref="AB45:AF45"/>
    <mergeCell ref="AG45:AH47"/>
    <mergeCell ref="W46:AA46"/>
    <mergeCell ref="AB46:AF46"/>
    <mergeCell ref="W47:AA47"/>
    <mergeCell ref="AB47:AF47"/>
    <mergeCell ref="E48:N48"/>
    <mergeCell ref="O48:X48"/>
    <mergeCell ref="Y48:AH48"/>
    <mergeCell ref="E49:J49"/>
    <mergeCell ref="K49:N49"/>
    <mergeCell ref="O49:T49"/>
    <mergeCell ref="U49:X49"/>
    <mergeCell ref="Y49:AD49"/>
    <mergeCell ref="AE49:AH49"/>
    <mergeCell ref="O51:X51"/>
    <mergeCell ref="Y51:AD51"/>
    <mergeCell ref="AE51:AH51"/>
    <mergeCell ref="A55:I55"/>
    <mergeCell ref="J55:L55"/>
    <mergeCell ref="M55:Q55"/>
    <mergeCell ref="R55:S55"/>
    <mergeCell ref="T55:U55"/>
    <mergeCell ref="W55:X55"/>
    <mergeCell ref="AA55:AB55"/>
    <mergeCell ref="A51:M51"/>
    <mergeCell ref="AC55:AD55"/>
    <mergeCell ref="AF55:AG55"/>
    <mergeCell ref="E56:N56"/>
    <mergeCell ref="O56:X56"/>
    <mergeCell ref="Y56:AH56"/>
    <mergeCell ref="E57:J57"/>
    <mergeCell ref="K57:N57"/>
    <mergeCell ref="O57:T57"/>
    <mergeCell ref="U57:X57"/>
    <mergeCell ref="Y57:AD57"/>
    <mergeCell ref="U59:X59"/>
    <mergeCell ref="Y59:AD59"/>
    <mergeCell ref="AE59:AH59"/>
    <mergeCell ref="AE57:AH57"/>
    <mergeCell ref="E58:J58"/>
    <mergeCell ref="K58:N58"/>
    <mergeCell ref="O58:T58"/>
    <mergeCell ref="U58:X58"/>
    <mergeCell ref="Y58:AD58"/>
    <mergeCell ref="AE58:AH58"/>
    <mergeCell ref="W76:AH77"/>
    <mergeCell ref="W78:AC79"/>
    <mergeCell ref="AD78:AH79"/>
    <mergeCell ref="E21:G21"/>
    <mergeCell ref="Z22:AH23"/>
    <mergeCell ref="Z24:AH25"/>
    <mergeCell ref="Z26:AH27"/>
    <mergeCell ref="Z28:AH29"/>
    <mergeCell ref="H21:P21"/>
    <mergeCell ref="Q21:Y21"/>
    <mergeCell ref="Z21:AH21"/>
    <mergeCell ref="Y60:AD60"/>
    <mergeCell ref="AE60:AH60"/>
    <mergeCell ref="H22:P23"/>
    <mergeCell ref="H24:P25"/>
    <mergeCell ref="H26:P27"/>
    <mergeCell ref="H28:P29"/>
    <mergeCell ref="Q22:Y23"/>
    <mergeCell ref="Q24:Y25"/>
    <mergeCell ref="Q26:Y27"/>
    <mergeCell ref="Q28:Y29"/>
    <mergeCell ref="E59:J59"/>
    <mergeCell ref="K59:N59"/>
    <mergeCell ref="O59:T59"/>
  </mergeCells>
  <phoneticPr fontId="2"/>
  <conditionalFormatting sqref="E37:F40 E43:F44">
    <cfRule type="containsBlanks" dxfId="36" priority="10">
      <formula>LEN(TRIM(E37))=0</formula>
    </cfRule>
  </conditionalFormatting>
  <conditionalFormatting sqref="AD37:AD38">
    <cfRule type="containsBlanks" dxfId="35" priority="9">
      <formula>LEN(TRIM(AD37))=0</formula>
    </cfRule>
  </conditionalFormatting>
  <conditionalFormatting sqref="E41:F42">
    <cfRule type="containsBlanks" dxfId="34" priority="8">
      <formula>LEN(TRIM(E41))=0</formula>
    </cfRule>
  </conditionalFormatting>
  <conditionalFormatting sqref="E7 F10 P10 Z10 E16 W37:W44">
    <cfRule type="cellIs" dxfId="33" priority="7" operator="equal">
      <formula>"選択して下さい"</formula>
    </cfRule>
  </conditionalFormatting>
  <conditionalFormatting sqref="H2:I3 L2 U2 Y2 E32 Q37:V44 H22 H24 H26 H28 Q22 Q24 Q26 Q28 Z28 Z26 Z24 Z22 AB45:AB47">
    <cfRule type="containsBlanks" dxfId="32" priority="6">
      <formula>LEN(TRIM(E2))=0</formula>
    </cfRule>
  </conditionalFormatting>
  <conditionalFormatting sqref="AD39:AD40">
    <cfRule type="containsBlanks" dxfId="31" priority="5">
      <formula>LEN(TRIM(AD39))=0</formula>
    </cfRule>
  </conditionalFormatting>
  <conditionalFormatting sqref="AD41:AD42">
    <cfRule type="containsBlanks" dxfId="30" priority="4">
      <formula>LEN(TRIM(AD41))=0</formula>
    </cfRule>
  </conditionalFormatting>
  <conditionalFormatting sqref="AD43:AD44">
    <cfRule type="containsBlanks" dxfId="29" priority="3">
      <formula>LEN(TRIM(AD43))=0</formula>
    </cfRule>
  </conditionalFormatting>
  <conditionalFormatting sqref="H24 H26 H28">
    <cfRule type="containsBlanks" dxfId="28" priority="2">
      <formula>LEN(TRIM(H24))=0</formula>
    </cfRule>
  </conditionalFormatting>
  <conditionalFormatting sqref="E4">
    <cfRule type="containsBlanks" dxfId="27" priority="1">
      <formula>LEN(TRIM(E4))=0</formula>
    </cfRule>
  </conditionalFormatting>
  <dataValidations disablePrompts="1" count="5">
    <dataValidation type="list" allowBlank="1" showInputMessage="1" showErrorMessage="1" sqref="F10:N11 P10:X11 Z10:AH11"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6" xr:uid="{00000000-0002-0000-0200-000001000000}">
      <formula1>"選択して下さい,改修等の実績あり,竣工時から改修等の実績なし"</formula1>
    </dataValidation>
    <dataValidation type="list" allowBlank="1" showInputMessage="1" showErrorMessage="1" sqref="E7:U8" xr:uid="{00000000-0002-0000-0200-000002000000}">
      <formula1>"選択して下さい,屋根のみ,外壁のみ,窓のみ,屋根及び外壁,屋根及び窓,外壁及び窓,屋根、外壁及び窓"</formula1>
    </dataValidation>
    <dataValidation type="list" allowBlank="1" showInputMessage="1" showErrorMessage="1" sqref="W37:AC44" xr:uid="{00000000-0002-0000-0200-000003000000}">
      <formula1>$AL$46:$AL$50</formula1>
    </dataValidation>
    <dataValidation type="list" allowBlank="1" showInputMessage="1" showErrorMessage="1" sqref="E37:F44" xr:uid="{00000000-0002-0000-0200-000004000000}">
      <formula1>"○,　"</formula1>
    </dataValidation>
  </dataValidations>
  <pageMargins left="0.70866141732283472" right="0.70866141732283472" top="0.74803149606299213" bottom="0.74803149606299213" header="0.31496062992125984" footer="0.31496062992125984"/>
  <pageSetup paperSize="9" scale="80" orientation="portrait" r:id="rId1"/>
  <headerFooter>
    <oddHeader>&amp;L様式第６－３号（第１３条関係）</oddHead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1224</v>
      </c>
      <c r="M1"/>
      <c r="N1" s="843" t="s">
        <v>1225</v>
      </c>
      <c r="O1"/>
      <c r="P1"/>
      <c r="Q1"/>
      <c r="R1"/>
      <c r="S1"/>
      <c r="T1"/>
      <c r="U1"/>
      <c r="V1"/>
      <c r="W1"/>
      <c r="X1"/>
      <c r="Y1"/>
      <c r="Z1"/>
      <c r="AA1"/>
      <c r="AB1"/>
      <c r="AC1"/>
      <c r="AD1"/>
      <c r="AE1"/>
      <c r="AF1"/>
      <c r="AG1"/>
      <c r="AH1"/>
      <c r="AI1"/>
      <c r="AJ1"/>
      <c r="AK1"/>
      <c r="AL1"/>
    </row>
    <row r="2" spans="2:38">
      <c r="B2" s="1" t="s">
        <v>1226</v>
      </c>
      <c r="M2"/>
      <c r="N2" s="843" t="s">
        <v>1227</v>
      </c>
      <c r="O2"/>
      <c r="P2"/>
      <c r="Q2"/>
      <c r="R2"/>
      <c r="S2"/>
      <c r="T2"/>
      <c r="U2"/>
      <c r="V2"/>
      <c r="W2"/>
      <c r="X2"/>
      <c r="Y2"/>
      <c r="Z2"/>
      <c r="AA2"/>
      <c r="AB2"/>
      <c r="AC2"/>
      <c r="AD2"/>
      <c r="AE2"/>
      <c r="AF2"/>
      <c r="AG2"/>
      <c r="AH2"/>
      <c r="AI2"/>
      <c r="AJ2"/>
      <c r="AK2"/>
      <c r="AL2"/>
    </row>
    <row r="3" spans="2:38">
      <c r="B3" s="1" t="s">
        <v>1228</v>
      </c>
      <c r="M3"/>
      <c r="N3" s="843" t="s">
        <v>1229</v>
      </c>
      <c r="O3"/>
      <c r="P3"/>
      <c r="Q3"/>
      <c r="R3"/>
      <c r="S3"/>
      <c r="T3"/>
      <c r="U3"/>
      <c r="V3"/>
      <c r="W3"/>
      <c r="X3"/>
      <c r="Y3"/>
      <c r="Z3"/>
      <c r="AA3"/>
      <c r="AB3"/>
      <c r="AC3"/>
      <c r="AD3"/>
      <c r="AE3"/>
      <c r="AF3"/>
      <c r="AG3"/>
      <c r="AH3"/>
      <c r="AI3"/>
      <c r="AJ3"/>
      <c r="AK3"/>
      <c r="AL3"/>
    </row>
    <row r="4" spans="2:38">
      <c r="B4" s="1212" t="s">
        <v>1230</v>
      </c>
      <c r="C4" s="1212"/>
      <c r="D4" s="1212"/>
      <c r="E4" s="1212"/>
      <c r="F4" s="1212"/>
      <c r="G4" s="1212"/>
      <c r="M4"/>
      <c r="N4" s="843" t="s">
        <v>1231</v>
      </c>
      <c r="O4"/>
      <c r="P4"/>
      <c r="Q4"/>
      <c r="R4"/>
      <c r="S4"/>
      <c r="T4"/>
      <c r="U4"/>
      <c r="V4"/>
      <c r="W4"/>
      <c r="X4"/>
      <c r="Y4"/>
      <c r="Z4"/>
      <c r="AA4"/>
      <c r="AB4"/>
      <c r="AC4"/>
      <c r="AD4"/>
      <c r="AE4"/>
      <c r="AF4"/>
      <c r="AG4"/>
      <c r="AH4"/>
      <c r="AI4"/>
      <c r="AJ4"/>
      <c r="AK4"/>
      <c r="AL4"/>
    </row>
    <row r="5" spans="2:38">
      <c r="B5" s="700" t="s">
        <v>226</v>
      </c>
      <c r="C5" s="700" t="s">
        <v>50</v>
      </c>
      <c r="D5" s="700" t="s">
        <v>1232</v>
      </c>
      <c r="E5" s="700" t="s">
        <v>1233</v>
      </c>
      <c r="F5" s="8" t="s">
        <v>1234</v>
      </c>
      <c r="G5" s="2" t="s">
        <v>402</v>
      </c>
      <c r="M5"/>
      <c r="N5" s="843"/>
      <c r="O5"/>
      <c r="P5" s="844" t="s">
        <v>1235</v>
      </c>
      <c r="Q5"/>
      <c r="R5"/>
      <c r="S5"/>
      <c r="T5"/>
      <c r="U5"/>
      <c r="V5"/>
      <c r="W5"/>
      <c r="X5"/>
      <c r="Y5"/>
      <c r="Z5"/>
      <c r="AA5"/>
      <c r="AB5"/>
      <c r="AC5"/>
      <c r="AD5"/>
      <c r="AE5"/>
      <c r="AF5"/>
      <c r="AG5"/>
      <c r="AH5"/>
      <c r="AI5"/>
      <c r="AJ5"/>
      <c r="AK5"/>
      <c r="AL5"/>
    </row>
    <row r="6" spans="2:38">
      <c r="B6" s="2295" t="s">
        <v>61</v>
      </c>
      <c r="C6" s="2" t="s">
        <v>10</v>
      </c>
      <c r="D6" s="2" t="s">
        <v>1236</v>
      </c>
      <c r="E6" s="246">
        <f>'（追加）方位別標準時間'!T19</f>
        <v>9</v>
      </c>
      <c r="F6" s="246" t="s">
        <v>1144</v>
      </c>
      <c r="G6" s="2"/>
      <c r="M6"/>
      <c r="N6" s="843"/>
      <c r="O6"/>
      <c r="P6"/>
      <c r="Q6"/>
      <c r="R6"/>
      <c r="S6"/>
      <c r="T6"/>
      <c r="U6"/>
      <c r="V6"/>
      <c r="W6"/>
      <c r="X6"/>
      <c r="Y6"/>
      <c r="Z6"/>
      <c r="AA6"/>
      <c r="AB6"/>
      <c r="AC6"/>
      <c r="AD6"/>
      <c r="AE6"/>
      <c r="AF6"/>
      <c r="AG6"/>
      <c r="AH6"/>
      <c r="AI6"/>
      <c r="AJ6"/>
      <c r="AK6"/>
      <c r="AL6"/>
    </row>
    <row r="7" spans="2:38">
      <c r="B7" s="2295"/>
      <c r="C7" s="845" t="s">
        <v>10</v>
      </c>
      <c r="D7" s="845" t="s">
        <v>1237</v>
      </c>
      <c r="E7" s="846" t="s">
        <v>1238</v>
      </c>
      <c r="F7" s="847" t="s">
        <v>54</v>
      </c>
      <c r="G7" s="845" t="s">
        <v>1239</v>
      </c>
      <c r="M7"/>
      <c r="N7" s="848" t="s">
        <v>1240</v>
      </c>
      <c r="O7"/>
      <c r="P7"/>
      <c r="Q7"/>
      <c r="R7" s="843" t="s">
        <v>1241</v>
      </c>
      <c r="S7"/>
      <c r="T7"/>
      <c r="U7"/>
      <c r="V7"/>
      <c r="W7"/>
      <c r="X7"/>
      <c r="Y7"/>
      <c r="Z7"/>
      <c r="AA7"/>
      <c r="AB7"/>
      <c r="AC7"/>
      <c r="AD7"/>
      <c r="AE7"/>
      <c r="AF7"/>
      <c r="AG7"/>
      <c r="AH7"/>
      <c r="AI7"/>
      <c r="AJ7"/>
      <c r="AK7"/>
      <c r="AL7"/>
    </row>
    <row r="8" spans="2:38">
      <c r="B8" s="1206" t="s">
        <v>62</v>
      </c>
      <c r="C8" s="2" t="s">
        <v>63</v>
      </c>
      <c r="D8" s="2" t="s">
        <v>1236</v>
      </c>
      <c r="E8" s="2">
        <v>0</v>
      </c>
      <c r="F8" s="2" t="s">
        <v>1144</v>
      </c>
      <c r="G8" s="2" t="s">
        <v>1242</v>
      </c>
      <c r="M8"/>
      <c r="N8" s="843"/>
      <c r="O8"/>
      <c r="P8"/>
      <c r="Q8"/>
      <c r="R8"/>
      <c r="S8"/>
      <c r="T8"/>
      <c r="U8"/>
      <c r="V8"/>
      <c r="W8"/>
      <c r="X8"/>
      <c r="Y8"/>
      <c r="Z8"/>
      <c r="AA8"/>
      <c r="AB8"/>
      <c r="AC8"/>
      <c r="AD8"/>
      <c r="AE8"/>
      <c r="AF8"/>
      <c r="AG8"/>
      <c r="AH8"/>
      <c r="AI8"/>
      <c r="AJ8"/>
      <c r="AK8"/>
      <c r="AL8"/>
    </row>
    <row r="9" spans="2:38">
      <c r="B9" s="1206"/>
      <c r="C9" s="2" t="s">
        <v>64</v>
      </c>
      <c r="D9" s="2" t="s">
        <v>1236</v>
      </c>
      <c r="E9" s="2">
        <f>'（追加）方位別標準時間'!T21</f>
        <v>2.5</v>
      </c>
      <c r="F9" s="2" t="s">
        <v>1144</v>
      </c>
      <c r="G9" s="2" t="s">
        <v>1243</v>
      </c>
      <c r="M9"/>
      <c r="N9" s="843"/>
      <c r="O9"/>
      <c r="P9" s="849" t="s">
        <v>67</v>
      </c>
      <c r="Q9"/>
      <c r="R9"/>
      <c r="S9"/>
      <c r="T9"/>
      <c r="U9"/>
      <c r="V9"/>
      <c r="W9"/>
      <c r="X9"/>
      <c r="Y9"/>
      <c r="Z9"/>
      <c r="AA9"/>
      <c r="AB9"/>
      <c r="AC9"/>
      <c r="AD9"/>
      <c r="AE9"/>
      <c r="AF9"/>
      <c r="AG9"/>
      <c r="AH9"/>
      <c r="AI9"/>
      <c r="AJ9"/>
      <c r="AK9"/>
      <c r="AL9"/>
    </row>
    <row r="10" spans="2:38">
      <c r="B10" s="1206"/>
      <c r="C10" s="2" t="s">
        <v>65</v>
      </c>
      <c r="D10" s="2" t="s">
        <v>1236</v>
      </c>
      <c r="E10" s="2">
        <f>'（追加）方位別標準時間'!T22</f>
        <v>3.5</v>
      </c>
      <c r="F10" s="2" t="s">
        <v>1144</v>
      </c>
      <c r="G10" s="2" t="s">
        <v>1243</v>
      </c>
      <c r="M10"/>
      <c r="N10" s="843"/>
      <c r="O10"/>
      <c r="P10"/>
      <c r="Q10"/>
      <c r="R10"/>
      <c r="S10"/>
      <c r="T10"/>
      <c r="U10"/>
      <c r="V10"/>
      <c r="W10"/>
      <c r="X10"/>
      <c r="Y10"/>
      <c r="Z10"/>
      <c r="AA10"/>
      <c r="AB10"/>
      <c r="AC10"/>
      <c r="AD10"/>
      <c r="AE10"/>
      <c r="AF10"/>
      <c r="AG10"/>
      <c r="AH10"/>
      <c r="AI10"/>
      <c r="AJ10"/>
      <c r="AK10"/>
      <c r="AL10"/>
    </row>
    <row r="11" spans="2:38">
      <c r="B11" s="1206"/>
      <c r="C11" s="2" t="s">
        <v>66</v>
      </c>
      <c r="D11" s="2" t="s">
        <v>1236</v>
      </c>
      <c r="E11" s="2">
        <f>'（追加）方位別標準時間'!T23</f>
        <v>4.5</v>
      </c>
      <c r="F11" s="2" t="s">
        <v>1144</v>
      </c>
      <c r="G11" s="2" t="s">
        <v>1243</v>
      </c>
      <c r="M11"/>
      <c r="N11" s="843"/>
      <c r="O11" t="s">
        <v>65</v>
      </c>
      <c r="P11"/>
      <c r="Q11" s="850" t="s">
        <v>69</v>
      </c>
      <c r="R11"/>
      <c r="S11" s="843" t="s">
        <v>1244</v>
      </c>
      <c r="T11"/>
      <c r="U11"/>
      <c r="V11"/>
      <c r="W11"/>
      <c r="X11"/>
      <c r="Y11"/>
      <c r="Z11"/>
      <c r="AA11"/>
      <c r="AB11"/>
      <c r="AC11"/>
      <c r="AD11"/>
      <c r="AE11"/>
      <c r="AF11"/>
      <c r="AG11"/>
      <c r="AH11"/>
      <c r="AI11"/>
      <c r="AJ11"/>
      <c r="AK11"/>
      <c r="AL11"/>
    </row>
    <row r="12" spans="2:38">
      <c r="B12" s="1206"/>
      <c r="C12" s="2" t="s">
        <v>67</v>
      </c>
      <c r="D12" s="2" t="s">
        <v>1236</v>
      </c>
      <c r="E12" s="246">
        <f>'（追加）方位別標準時間'!T24</f>
        <v>5</v>
      </c>
      <c r="F12" s="2" t="s">
        <v>1144</v>
      </c>
      <c r="G12" s="2" t="s">
        <v>1245</v>
      </c>
      <c r="M12"/>
      <c r="N12" s="843" t="s">
        <v>1246</v>
      </c>
      <c r="O12"/>
      <c r="P12"/>
      <c r="Q12"/>
      <c r="R12" s="848" t="s">
        <v>1247</v>
      </c>
      <c r="S12"/>
      <c r="T12"/>
      <c r="U12"/>
      <c r="V12"/>
      <c r="W12"/>
      <c r="X12"/>
      <c r="Y12"/>
      <c r="Z12"/>
      <c r="AA12"/>
      <c r="AB12"/>
      <c r="AC12"/>
      <c r="AD12"/>
      <c r="AE12"/>
      <c r="AF12"/>
      <c r="AG12"/>
      <c r="AH12"/>
      <c r="AI12"/>
      <c r="AJ12"/>
      <c r="AK12"/>
      <c r="AL12"/>
    </row>
    <row r="13" spans="2:38">
      <c r="B13" s="1206"/>
      <c r="C13" s="2" t="s">
        <v>68</v>
      </c>
      <c r="D13" s="2" t="s">
        <v>1236</v>
      </c>
      <c r="E13" s="2">
        <f>'（追加）方位別標準時間'!T25</f>
        <v>4.5</v>
      </c>
      <c r="F13" s="2" t="s">
        <v>1144</v>
      </c>
      <c r="G13" s="2" t="s">
        <v>1248</v>
      </c>
      <c r="M13"/>
      <c r="N13" s="843" t="s">
        <v>1249</v>
      </c>
      <c r="O13"/>
      <c r="P13"/>
      <c r="Q13"/>
      <c r="R13"/>
      <c r="S13"/>
      <c r="T13"/>
      <c r="U13"/>
      <c r="V13"/>
      <c r="W13"/>
      <c r="X13"/>
      <c r="Y13"/>
      <c r="Z13"/>
      <c r="AA13"/>
      <c r="AB13"/>
      <c r="AC13"/>
      <c r="AD13"/>
      <c r="AE13"/>
      <c r="AF13"/>
      <c r="AG13"/>
      <c r="AH13"/>
      <c r="AI13"/>
      <c r="AJ13"/>
      <c r="AK13"/>
      <c r="AL13"/>
    </row>
    <row r="14" spans="2:38">
      <c r="B14" s="1206"/>
      <c r="C14" s="2" t="s">
        <v>69</v>
      </c>
      <c r="D14" s="2" t="s">
        <v>1236</v>
      </c>
      <c r="E14" s="2">
        <f>'（追加）方位別標準時間'!T26</f>
        <v>3.5</v>
      </c>
      <c r="F14" s="2" t="s">
        <v>1144</v>
      </c>
      <c r="G14" s="2" t="s">
        <v>1248</v>
      </c>
      <c r="M14"/>
      <c r="N14" s="843"/>
      <c r="O14"/>
      <c r="P14" t="s">
        <v>1250</v>
      </c>
      <c r="Q14"/>
      <c r="R14"/>
      <c r="S14"/>
      <c r="T14"/>
      <c r="U14"/>
      <c r="V14"/>
      <c r="W14"/>
      <c r="X14"/>
      <c r="Y14"/>
      <c r="Z14"/>
      <c r="AA14"/>
      <c r="AB14"/>
      <c r="AC14"/>
      <c r="AD14"/>
      <c r="AE14"/>
      <c r="AF14"/>
      <c r="AG14"/>
      <c r="AH14"/>
      <c r="AI14"/>
      <c r="AJ14"/>
      <c r="AK14"/>
      <c r="AL14"/>
    </row>
    <row r="15" spans="2:38">
      <c r="B15" s="1206"/>
      <c r="C15" s="2" t="s">
        <v>70</v>
      </c>
      <c r="D15" s="2" t="s">
        <v>1236</v>
      </c>
      <c r="E15" s="2">
        <f>'（追加）方位別標準時間'!T27</f>
        <v>2.5</v>
      </c>
      <c r="F15" s="2" t="s">
        <v>1144</v>
      </c>
      <c r="G15" s="2" t="s">
        <v>1248</v>
      </c>
      <c r="M15"/>
      <c r="N15" s="843" t="s">
        <v>1251</v>
      </c>
      <c r="O15"/>
      <c r="P15"/>
      <c r="Q15"/>
      <c r="R15"/>
      <c r="S15"/>
      <c r="T15"/>
      <c r="U15"/>
      <c r="V15"/>
      <c r="W15"/>
      <c r="X15"/>
      <c r="Y15"/>
      <c r="Z15"/>
      <c r="AA15"/>
      <c r="AB15"/>
      <c r="AC15"/>
      <c r="AD15"/>
      <c r="AE15"/>
      <c r="AF15"/>
      <c r="AG15"/>
      <c r="AH15"/>
      <c r="AI15"/>
      <c r="AJ15"/>
      <c r="AK15"/>
      <c r="AL15"/>
    </row>
    <row r="16" spans="2:38">
      <c r="B16" s="1206" t="s">
        <v>62</v>
      </c>
      <c r="C16" s="845" t="s">
        <v>63</v>
      </c>
      <c r="D16" s="845" t="s">
        <v>1237</v>
      </c>
      <c r="E16" s="846" t="s">
        <v>1238</v>
      </c>
      <c r="F16" s="847" t="s">
        <v>54</v>
      </c>
      <c r="G16" s="845" t="s">
        <v>1239</v>
      </c>
      <c r="M16"/>
      <c r="N16" s="106"/>
      <c r="O16" s="106"/>
      <c r="P16" s="106" t="s">
        <v>1252</v>
      </c>
      <c r="Q16" s="106"/>
      <c r="R16" s="106"/>
      <c r="S16" s="2292" t="s">
        <v>1253</v>
      </c>
      <c r="T16" s="106"/>
      <c r="U16" s="106" t="s">
        <v>1252</v>
      </c>
      <c r="V16" s="106"/>
      <c r="W16"/>
      <c r="X16"/>
      <c r="Y16"/>
      <c r="Z16"/>
      <c r="AA16"/>
      <c r="AB16"/>
      <c r="AC16"/>
      <c r="AD16"/>
      <c r="AE16"/>
      <c r="AF16"/>
      <c r="AG16"/>
      <c r="AH16"/>
      <c r="AI16"/>
      <c r="AJ16"/>
      <c r="AK16"/>
      <c r="AL16"/>
    </row>
    <row r="17" spans="2:38">
      <c r="B17" s="1206"/>
      <c r="C17" s="845" t="s">
        <v>64</v>
      </c>
      <c r="D17" s="845" t="s">
        <v>1237</v>
      </c>
      <c r="E17" s="846" t="s">
        <v>1238</v>
      </c>
      <c r="F17" s="847" t="s">
        <v>54</v>
      </c>
      <c r="G17" s="845" t="s">
        <v>1239</v>
      </c>
      <c r="M17"/>
      <c r="N17" s="106"/>
      <c r="O17" s="2294" t="s">
        <v>1254</v>
      </c>
      <c r="P17" s="2294"/>
      <c r="Q17" s="851" t="s">
        <v>1255</v>
      </c>
      <c r="R17" s="852" t="s">
        <v>1256</v>
      </c>
      <c r="S17" s="2293"/>
      <c r="T17" s="852" t="s">
        <v>1257</v>
      </c>
      <c r="U17" s="853" t="s">
        <v>1258</v>
      </c>
      <c r="V17" s="853" t="s">
        <v>1259</v>
      </c>
      <c r="W17"/>
      <c r="X17"/>
      <c r="Y17"/>
      <c r="Z17"/>
      <c r="AA17"/>
      <c r="AB17"/>
      <c r="AC17"/>
      <c r="AD17"/>
      <c r="AE17"/>
      <c r="AF17"/>
      <c r="AG17"/>
      <c r="AH17"/>
      <c r="AI17"/>
      <c r="AJ17"/>
      <c r="AK17"/>
      <c r="AL17"/>
    </row>
    <row r="18" spans="2:38">
      <c r="B18" s="1206"/>
      <c r="C18" s="845" t="s">
        <v>65</v>
      </c>
      <c r="D18" s="845" t="s">
        <v>1237</v>
      </c>
      <c r="E18" s="846" t="s">
        <v>1238</v>
      </c>
      <c r="F18" s="847" t="s">
        <v>54</v>
      </c>
      <c r="G18" s="845" t="s">
        <v>1239</v>
      </c>
      <c r="M18" s="793"/>
      <c r="N18" s="854" t="s">
        <v>1260</v>
      </c>
      <c r="O18" s="855"/>
      <c r="P18" s="856">
        <v>9</v>
      </c>
      <c r="Q18" s="857"/>
      <c r="R18" s="857"/>
      <c r="S18" s="857"/>
      <c r="T18" s="857" t="s">
        <v>1261</v>
      </c>
      <c r="U18" s="854">
        <v>20.5</v>
      </c>
      <c r="V18" s="857"/>
      <c r="W18" s="793"/>
      <c r="X18" s="793"/>
      <c r="Y18" s="793"/>
      <c r="Z18" s="793"/>
      <c r="AA18" s="793"/>
      <c r="AB18" s="793"/>
      <c r="AC18" s="793"/>
      <c r="AD18" s="793"/>
      <c r="AE18" s="793"/>
      <c r="AF18" s="793"/>
      <c r="AG18" s="793"/>
      <c r="AH18" s="793"/>
      <c r="AI18" s="793"/>
      <c r="AJ18" s="793"/>
      <c r="AK18" s="793"/>
      <c r="AL18" s="793"/>
    </row>
    <row r="19" spans="2:38">
      <c r="B19" s="1206"/>
      <c r="C19" s="845" t="s">
        <v>66</v>
      </c>
      <c r="D19" s="845" t="s">
        <v>1237</v>
      </c>
      <c r="E19" s="846" t="s">
        <v>1238</v>
      </c>
      <c r="F19" s="847" t="s">
        <v>54</v>
      </c>
      <c r="G19" s="845" t="s">
        <v>1239</v>
      </c>
      <c r="M19"/>
      <c r="N19" s="106" t="s">
        <v>61</v>
      </c>
      <c r="O19" s="106" t="s">
        <v>1262</v>
      </c>
      <c r="P19" s="853">
        <v>13</v>
      </c>
      <c r="Q19" s="858">
        <f>P19</f>
        <v>13</v>
      </c>
      <c r="R19" s="859">
        <v>0</v>
      </c>
      <c r="S19" s="860" t="s">
        <v>1263</v>
      </c>
      <c r="T19" s="861">
        <f>IF(P18&lt;=P19,P18,IF(P18&gt;=13,P19))</f>
        <v>9</v>
      </c>
      <c r="U19" s="106">
        <f>U18</f>
        <v>20.5</v>
      </c>
      <c r="V19" s="106">
        <f>U19*T19</f>
        <v>184.5</v>
      </c>
      <c r="W19"/>
      <c r="X19"/>
      <c r="Y19"/>
      <c r="Z19"/>
      <c r="AA19"/>
      <c r="AB19"/>
      <c r="AC19"/>
      <c r="AD19"/>
      <c r="AE19"/>
      <c r="AF19"/>
      <c r="AG19"/>
      <c r="AH19"/>
      <c r="AI19"/>
      <c r="AJ19"/>
      <c r="AK19"/>
      <c r="AL19"/>
    </row>
    <row r="20" spans="2:38">
      <c r="B20" s="1206"/>
      <c r="C20" s="845" t="s">
        <v>67</v>
      </c>
      <c r="D20" s="845" t="s">
        <v>1237</v>
      </c>
      <c r="E20" s="846" t="s">
        <v>1238</v>
      </c>
      <c r="F20" s="847" t="s">
        <v>54</v>
      </c>
      <c r="G20" s="845" t="s">
        <v>1239</v>
      </c>
      <c r="M20"/>
      <c r="N20" s="106" t="s">
        <v>63</v>
      </c>
      <c r="O20" s="106" t="s">
        <v>1264</v>
      </c>
      <c r="P20" s="853">
        <v>0</v>
      </c>
      <c r="Q20" s="851"/>
      <c r="R20" s="852"/>
      <c r="S20" s="106" t="s">
        <v>1265</v>
      </c>
      <c r="T20" s="862"/>
      <c r="U20" s="106">
        <f>U18</f>
        <v>20.5</v>
      </c>
      <c r="V20" s="106">
        <f>U20*Q20</f>
        <v>0</v>
      </c>
      <c r="W20"/>
      <c r="X20"/>
      <c r="Y20"/>
      <c r="Z20"/>
      <c r="AA20"/>
      <c r="AB20"/>
      <c r="AC20"/>
      <c r="AD20"/>
      <c r="AE20"/>
      <c r="AF20"/>
      <c r="AG20"/>
      <c r="AH20"/>
      <c r="AI20"/>
      <c r="AJ20"/>
      <c r="AK20"/>
      <c r="AL20"/>
    </row>
    <row r="21" spans="2:38">
      <c r="B21" s="1206"/>
      <c r="C21" s="845" t="s">
        <v>68</v>
      </c>
      <c r="D21" s="845" t="s">
        <v>1237</v>
      </c>
      <c r="E21" s="846" t="s">
        <v>1238</v>
      </c>
      <c r="F21" s="847" t="s">
        <v>54</v>
      </c>
      <c r="G21" s="845" t="s">
        <v>1239</v>
      </c>
      <c r="M21"/>
      <c r="N21" s="106" t="s">
        <v>64</v>
      </c>
      <c r="O21" s="106" t="s">
        <v>1266</v>
      </c>
      <c r="P21" s="853">
        <v>5</v>
      </c>
      <c r="Q21" s="858">
        <f t="shared" ref="Q21:Q27" si="0">P21</f>
        <v>5</v>
      </c>
      <c r="R21" s="859">
        <f>IF(P18&gt;=9.1,0,IF(P18&lt;=9.1,-2.5))</f>
        <v>-2.5</v>
      </c>
      <c r="S21" s="863" t="s">
        <v>1267</v>
      </c>
      <c r="T21" s="864">
        <f t="shared" ref="T21:T27" si="1">Q21+R21</f>
        <v>2.5</v>
      </c>
      <c r="U21" s="106">
        <f>U18</f>
        <v>20.5</v>
      </c>
      <c r="V21" s="865">
        <f t="shared" ref="V21:V27" si="2">T21*U21</f>
        <v>51.25</v>
      </c>
      <c r="W21"/>
      <c r="X21"/>
      <c r="Y21"/>
      <c r="Z21"/>
      <c r="AA21"/>
      <c r="AB21"/>
      <c r="AC21"/>
      <c r="AD21"/>
      <c r="AE21"/>
      <c r="AF21"/>
      <c r="AG21"/>
      <c r="AH21"/>
      <c r="AI21"/>
      <c r="AJ21"/>
      <c r="AK21"/>
      <c r="AL21"/>
    </row>
    <row r="22" spans="2:38">
      <c r="B22" s="1206"/>
      <c r="C22" s="845" t="s">
        <v>69</v>
      </c>
      <c r="D22" s="845" t="s">
        <v>1237</v>
      </c>
      <c r="E22" s="846" t="s">
        <v>1238</v>
      </c>
      <c r="F22" s="847" t="s">
        <v>54</v>
      </c>
      <c r="G22" s="845" t="s">
        <v>1239</v>
      </c>
      <c r="M22"/>
      <c r="N22" s="106" t="s">
        <v>65</v>
      </c>
      <c r="O22" s="106" t="s">
        <v>1268</v>
      </c>
      <c r="P22" s="853">
        <v>6</v>
      </c>
      <c r="Q22" s="858">
        <f t="shared" si="0"/>
        <v>6</v>
      </c>
      <c r="R22" s="859">
        <f>IF(P18&gt;=9.1,0,IF(P18&lt;=9.1,-2.5))</f>
        <v>-2.5</v>
      </c>
      <c r="S22" s="863" t="s">
        <v>1267</v>
      </c>
      <c r="T22" s="864">
        <f t="shared" si="1"/>
        <v>3.5</v>
      </c>
      <c r="U22" s="106">
        <f>U18</f>
        <v>20.5</v>
      </c>
      <c r="V22" s="865">
        <f t="shared" si="2"/>
        <v>71.75</v>
      </c>
      <c r="W22"/>
      <c r="X22"/>
      <c r="Y22"/>
      <c r="Z22"/>
      <c r="AA22"/>
      <c r="AB22"/>
      <c r="AC22"/>
      <c r="AD22"/>
      <c r="AE22"/>
      <c r="AF22"/>
      <c r="AG22"/>
      <c r="AH22"/>
      <c r="AI22"/>
      <c r="AJ22"/>
      <c r="AK22"/>
      <c r="AL22"/>
    </row>
    <row r="23" spans="2:38">
      <c r="B23" s="1206"/>
      <c r="C23" s="845" t="s">
        <v>70</v>
      </c>
      <c r="D23" s="845" t="s">
        <v>1237</v>
      </c>
      <c r="E23" s="846" t="s">
        <v>1238</v>
      </c>
      <c r="F23" s="847" t="s">
        <v>54</v>
      </c>
      <c r="G23" s="845" t="s">
        <v>1239</v>
      </c>
      <c r="M23"/>
      <c r="N23" s="106" t="s">
        <v>66</v>
      </c>
      <c r="O23" s="106" t="s">
        <v>1269</v>
      </c>
      <c r="P23" s="853">
        <v>7</v>
      </c>
      <c r="Q23" s="858">
        <f t="shared" si="0"/>
        <v>7</v>
      </c>
      <c r="R23" s="859">
        <f>IF(P18&gt;=9.1,0,IF(P18&lt;=9.1,-2.5))</f>
        <v>-2.5</v>
      </c>
      <c r="S23" s="863" t="s">
        <v>1267</v>
      </c>
      <c r="T23" s="864">
        <f t="shared" si="1"/>
        <v>4.5</v>
      </c>
      <c r="U23" s="106">
        <f>U18</f>
        <v>20.5</v>
      </c>
      <c r="V23" s="865">
        <f t="shared" si="2"/>
        <v>92.25</v>
      </c>
      <c r="W23"/>
      <c r="X23"/>
      <c r="Y23"/>
      <c r="Z23"/>
      <c r="AA23"/>
      <c r="AB23"/>
      <c r="AC23"/>
      <c r="AD23"/>
      <c r="AE23"/>
      <c r="AF23"/>
      <c r="AG23"/>
      <c r="AH23"/>
      <c r="AI23"/>
      <c r="AJ23"/>
      <c r="AK23"/>
      <c r="AL23"/>
    </row>
    <row r="24" spans="2:38">
      <c r="B24" s="1206" t="s">
        <v>823</v>
      </c>
      <c r="C24" s="2" t="s">
        <v>63</v>
      </c>
      <c r="D24" s="2" t="s">
        <v>1270</v>
      </c>
      <c r="E24" s="2">
        <f>E8</f>
        <v>0</v>
      </c>
      <c r="F24" s="2" t="s">
        <v>1144</v>
      </c>
      <c r="G24" s="2" t="s">
        <v>1242</v>
      </c>
      <c r="M24"/>
      <c r="N24" s="106" t="s">
        <v>67</v>
      </c>
      <c r="O24" s="106" t="s">
        <v>1271</v>
      </c>
      <c r="P24" s="853">
        <v>5</v>
      </c>
      <c r="Q24" s="858">
        <f t="shared" si="0"/>
        <v>5</v>
      </c>
      <c r="R24" s="859">
        <v>0</v>
      </c>
      <c r="S24" s="863" t="s">
        <v>1272</v>
      </c>
      <c r="T24" s="864">
        <f t="shared" si="1"/>
        <v>5</v>
      </c>
      <c r="U24" s="106">
        <f>U18</f>
        <v>20.5</v>
      </c>
      <c r="V24" s="865">
        <f t="shared" si="2"/>
        <v>102.5</v>
      </c>
      <c r="W24"/>
      <c r="X24"/>
      <c r="Y24"/>
      <c r="Z24"/>
      <c r="AA24"/>
      <c r="AB24"/>
      <c r="AC24"/>
      <c r="AD24"/>
      <c r="AE24"/>
      <c r="AF24"/>
      <c r="AG24"/>
      <c r="AH24"/>
      <c r="AI24"/>
      <c r="AJ24"/>
      <c r="AK24"/>
      <c r="AL24"/>
    </row>
    <row r="25" spans="2:38">
      <c r="B25" s="1206"/>
      <c r="C25" s="2" t="s">
        <v>64</v>
      </c>
      <c r="D25" s="2" t="s">
        <v>1270</v>
      </c>
      <c r="E25" s="2">
        <f t="shared" ref="E25:E31" si="3">E9</f>
        <v>2.5</v>
      </c>
      <c r="F25" s="2" t="s">
        <v>1144</v>
      </c>
      <c r="G25" s="2" t="s">
        <v>1243</v>
      </c>
      <c r="M25"/>
      <c r="N25" s="106" t="s">
        <v>68</v>
      </c>
      <c r="O25" s="106" t="s">
        <v>1273</v>
      </c>
      <c r="P25" s="853">
        <v>7</v>
      </c>
      <c r="Q25" s="858">
        <f t="shared" si="0"/>
        <v>7</v>
      </c>
      <c r="R25" s="859">
        <f>IF(P18&gt;=9.1,0,IF(P18&lt;=9.1,-2.5))</f>
        <v>-2.5</v>
      </c>
      <c r="S25" s="863" t="s">
        <v>1274</v>
      </c>
      <c r="T25" s="864">
        <f t="shared" si="1"/>
        <v>4.5</v>
      </c>
      <c r="U25" s="106">
        <f>U18</f>
        <v>20.5</v>
      </c>
      <c r="V25" s="865">
        <f t="shared" si="2"/>
        <v>92.25</v>
      </c>
      <c r="W25"/>
      <c r="X25"/>
      <c r="Y25"/>
      <c r="Z25"/>
      <c r="AA25"/>
      <c r="AB25"/>
      <c r="AC25"/>
      <c r="AD25"/>
      <c r="AE25"/>
      <c r="AF25"/>
      <c r="AG25"/>
      <c r="AH25"/>
      <c r="AI25"/>
      <c r="AJ25"/>
      <c r="AK25"/>
      <c r="AL25"/>
    </row>
    <row r="26" spans="2:38">
      <c r="B26" s="1206"/>
      <c r="C26" s="2" t="s">
        <v>65</v>
      </c>
      <c r="D26" s="2" t="s">
        <v>1270</v>
      </c>
      <c r="E26" s="2">
        <f t="shared" si="3"/>
        <v>3.5</v>
      </c>
      <c r="F26" s="2" t="s">
        <v>1144</v>
      </c>
      <c r="G26" s="2" t="s">
        <v>1243</v>
      </c>
      <c r="M26"/>
      <c r="N26" s="106" t="s">
        <v>69</v>
      </c>
      <c r="O26" s="106" t="s">
        <v>1275</v>
      </c>
      <c r="P26" s="853">
        <v>6</v>
      </c>
      <c r="Q26" s="858">
        <f t="shared" si="0"/>
        <v>6</v>
      </c>
      <c r="R26" s="859">
        <f>IF(P22&gt;=9.1,0,IF(P22&lt;=9.1,-2.5))</f>
        <v>-2.5</v>
      </c>
      <c r="S26" s="863" t="s">
        <v>1274</v>
      </c>
      <c r="T26" s="864">
        <f t="shared" si="1"/>
        <v>3.5</v>
      </c>
      <c r="U26" s="106">
        <f>U18</f>
        <v>20.5</v>
      </c>
      <c r="V26" s="865">
        <f t="shared" si="2"/>
        <v>71.75</v>
      </c>
      <c r="W26"/>
      <c r="X26"/>
      <c r="Y26"/>
      <c r="Z26"/>
      <c r="AA26"/>
      <c r="AB26"/>
      <c r="AC26"/>
      <c r="AD26"/>
      <c r="AE26"/>
      <c r="AF26"/>
      <c r="AG26"/>
      <c r="AH26"/>
      <c r="AI26"/>
      <c r="AJ26"/>
      <c r="AK26"/>
      <c r="AL26"/>
    </row>
    <row r="27" spans="2:38">
      <c r="B27" s="1206"/>
      <c r="C27" s="2" t="s">
        <v>66</v>
      </c>
      <c r="D27" s="2" t="s">
        <v>1270</v>
      </c>
      <c r="E27" s="2">
        <f t="shared" si="3"/>
        <v>4.5</v>
      </c>
      <c r="F27" s="2" t="s">
        <v>1144</v>
      </c>
      <c r="G27" s="2" t="s">
        <v>1243</v>
      </c>
      <c r="M27"/>
      <c r="N27" s="106" t="s">
        <v>70</v>
      </c>
      <c r="O27" s="106" t="s">
        <v>1276</v>
      </c>
      <c r="P27" s="853">
        <v>5</v>
      </c>
      <c r="Q27" s="858">
        <f t="shared" si="0"/>
        <v>5</v>
      </c>
      <c r="R27" s="859">
        <f>IF(P22&gt;=9.1,0,IF(P22&lt;=9.1,-2.5))</f>
        <v>-2.5</v>
      </c>
      <c r="S27" s="863" t="s">
        <v>1274</v>
      </c>
      <c r="T27" s="864">
        <f t="shared" si="1"/>
        <v>2.5</v>
      </c>
      <c r="U27" s="106">
        <f>U18</f>
        <v>20.5</v>
      </c>
      <c r="V27" s="865">
        <f t="shared" si="2"/>
        <v>51.25</v>
      </c>
      <c r="W27"/>
      <c r="X27"/>
      <c r="Y27"/>
      <c r="Z27"/>
      <c r="AA27"/>
      <c r="AB27"/>
      <c r="AC27"/>
      <c r="AD27"/>
      <c r="AE27"/>
      <c r="AF27"/>
      <c r="AG27"/>
      <c r="AH27"/>
      <c r="AI27"/>
      <c r="AJ27"/>
      <c r="AK27"/>
      <c r="AL27"/>
    </row>
    <row r="28" spans="2:38">
      <c r="B28" s="1206"/>
      <c r="C28" s="2" t="s">
        <v>67</v>
      </c>
      <c r="D28" s="2" t="s">
        <v>1270</v>
      </c>
      <c r="E28" s="246">
        <f t="shared" si="3"/>
        <v>5</v>
      </c>
      <c r="F28" s="2" t="s">
        <v>1144</v>
      </c>
      <c r="G28" s="2" t="s">
        <v>1245</v>
      </c>
      <c r="M28"/>
      <c r="N28"/>
      <c r="O28" t="s">
        <v>1277</v>
      </c>
      <c r="P28" s="866"/>
      <c r="Q28"/>
      <c r="R28"/>
      <c r="S28"/>
      <c r="T28"/>
      <c r="U28"/>
      <c r="V28"/>
      <c r="W28"/>
      <c r="X28"/>
      <c r="Y28"/>
      <c r="Z28"/>
      <c r="AA28"/>
      <c r="AB28"/>
      <c r="AC28"/>
      <c r="AD28"/>
      <c r="AE28"/>
      <c r="AF28"/>
      <c r="AG28"/>
      <c r="AH28"/>
      <c r="AI28"/>
      <c r="AJ28"/>
      <c r="AK28"/>
      <c r="AL28"/>
    </row>
    <row r="29" spans="2:38">
      <c r="B29" s="1206"/>
      <c r="C29" s="2" t="s">
        <v>68</v>
      </c>
      <c r="D29" s="2" t="s">
        <v>1270</v>
      </c>
      <c r="E29" s="2">
        <f t="shared" si="3"/>
        <v>4.5</v>
      </c>
      <c r="F29" s="2" t="s">
        <v>1144</v>
      </c>
      <c r="G29" s="2" t="s">
        <v>1248</v>
      </c>
      <c r="M29"/>
      <c r="N29"/>
      <c r="O29" t="s">
        <v>1278</v>
      </c>
      <c r="P29"/>
      <c r="Q29"/>
      <c r="R29"/>
      <c r="S29"/>
      <c r="T29"/>
      <c r="U29"/>
      <c r="V29"/>
      <c r="W29"/>
      <c r="X29"/>
      <c r="Y29"/>
      <c r="Z29"/>
      <c r="AA29"/>
      <c r="AB29"/>
      <c r="AC29"/>
      <c r="AD29"/>
      <c r="AE29"/>
      <c r="AF29"/>
      <c r="AG29"/>
      <c r="AH29"/>
      <c r="AI29"/>
      <c r="AJ29"/>
      <c r="AK29"/>
      <c r="AL29"/>
    </row>
    <row r="30" spans="2:38">
      <c r="B30" s="1206"/>
      <c r="C30" s="2" t="s">
        <v>69</v>
      </c>
      <c r="D30" s="2" t="s">
        <v>1270</v>
      </c>
      <c r="E30" s="2">
        <f t="shared" si="3"/>
        <v>3.5</v>
      </c>
      <c r="F30" s="2" t="s">
        <v>1144</v>
      </c>
      <c r="G30" s="2" t="s">
        <v>1248</v>
      </c>
      <c r="M30"/>
      <c r="N30"/>
      <c r="O30" t="s">
        <v>1279</v>
      </c>
      <c r="P30"/>
      <c r="Q30"/>
      <c r="R30"/>
      <c r="S30"/>
      <c r="T30"/>
      <c r="U30"/>
      <c r="V30"/>
      <c r="W30"/>
      <c r="X30"/>
      <c r="Y30"/>
      <c r="Z30"/>
      <c r="AA30"/>
      <c r="AB30"/>
      <c r="AC30"/>
      <c r="AD30"/>
      <c r="AE30"/>
      <c r="AF30"/>
      <c r="AG30"/>
      <c r="AH30"/>
      <c r="AI30"/>
      <c r="AJ30"/>
      <c r="AK30"/>
      <c r="AL30"/>
    </row>
    <row r="31" spans="2:38">
      <c r="B31" s="1206"/>
      <c r="C31" s="2" t="s">
        <v>70</v>
      </c>
      <c r="D31" s="2" t="s">
        <v>1270</v>
      </c>
      <c r="E31" s="2">
        <f t="shared" si="3"/>
        <v>2.5</v>
      </c>
      <c r="F31" s="2" t="s">
        <v>1144</v>
      </c>
      <c r="G31" s="2" t="s">
        <v>1248</v>
      </c>
      <c r="M31"/>
      <c r="N31"/>
      <c r="O31"/>
      <c r="P31"/>
      <c r="Q31"/>
      <c r="R31"/>
      <c r="S31"/>
      <c r="T31"/>
      <c r="U31"/>
      <c r="V31"/>
      <c r="W31"/>
      <c r="X31"/>
      <c r="Y31"/>
      <c r="Z31"/>
      <c r="AA31"/>
      <c r="AB31"/>
      <c r="AC31"/>
      <c r="AD31"/>
      <c r="AE31"/>
      <c r="AF31"/>
      <c r="AG31"/>
      <c r="AH31"/>
      <c r="AI31"/>
      <c r="AJ31"/>
      <c r="AK31"/>
      <c r="AL31"/>
    </row>
    <row r="32" spans="2:38">
      <c r="B32" s="1206" t="s">
        <v>823</v>
      </c>
      <c r="C32" s="845" t="s">
        <v>63</v>
      </c>
      <c r="D32" s="845" t="s">
        <v>1280</v>
      </c>
      <c r="E32" s="846" t="s">
        <v>1238</v>
      </c>
      <c r="F32" s="847" t="s">
        <v>54</v>
      </c>
      <c r="G32" s="845" t="s">
        <v>1239</v>
      </c>
      <c r="M32"/>
      <c r="N32"/>
      <c r="O32"/>
      <c r="P32"/>
      <c r="Q32"/>
      <c r="R32"/>
      <c r="S32"/>
      <c r="T32"/>
      <c r="U32"/>
      <c r="V32"/>
      <c r="W32"/>
      <c r="X32"/>
      <c r="Y32"/>
      <c r="Z32"/>
      <c r="AA32"/>
      <c r="AB32"/>
      <c r="AC32"/>
      <c r="AD32"/>
      <c r="AE32"/>
      <c r="AF32"/>
      <c r="AG32"/>
      <c r="AH32"/>
      <c r="AI32"/>
      <c r="AJ32"/>
      <c r="AK32"/>
      <c r="AL32"/>
    </row>
    <row r="33" spans="2:38">
      <c r="B33" s="1206"/>
      <c r="C33" s="845" t="s">
        <v>64</v>
      </c>
      <c r="D33" s="845" t="s">
        <v>1280</v>
      </c>
      <c r="E33" s="846" t="s">
        <v>1238</v>
      </c>
      <c r="F33" s="847" t="s">
        <v>54</v>
      </c>
      <c r="G33" s="845" t="s">
        <v>1239</v>
      </c>
      <c r="M33"/>
      <c r="N33"/>
      <c r="O33"/>
      <c r="P33"/>
      <c r="Q33"/>
      <c r="R33"/>
      <c r="S33"/>
      <c r="T33"/>
      <c r="U33"/>
      <c r="V33"/>
      <c r="W33"/>
      <c r="X33"/>
      <c r="Y33"/>
      <c r="Z33"/>
      <c r="AA33"/>
      <c r="AB33"/>
      <c r="AC33"/>
      <c r="AD33"/>
      <c r="AE33"/>
      <c r="AF33"/>
      <c r="AG33"/>
      <c r="AH33"/>
      <c r="AI33"/>
      <c r="AJ33"/>
      <c r="AK33"/>
      <c r="AL33"/>
    </row>
    <row r="34" spans="2:38">
      <c r="B34" s="1206"/>
      <c r="C34" s="845" t="s">
        <v>65</v>
      </c>
      <c r="D34" s="845" t="s">
        <v>1280</v>
      </c>
      <c r="E34" s="846" t="s">
        <v>1238</v>
      </c>
      <c r="F34" s="847" t="s">
        <v>54</v>
      </c>
      <c r="G34" s="845" t="s">
        <v>1239</v>
      </c>
      <c r="M34"/>
      <c r="N34"/>
      <c r="O34"/>
      <c r="P34"/>
      <c r="Q34"/>
      <c r="R34"/>
      <c r="S34"/>
      <c r="T34"/>
      <c r="U34"/>
      <c r="V34"/>
      <c r="W34"/>
      <c r="X34"/>
      <c r="Y34"/>
      <c r="Z34"/>
      <c r="AA34"/>
      <c r="AB34"/>
      <c r="AC34"/>
      <c r="AD34"/>
      <c r="AE34"/>
      <c r="AF34"/>
      <c r="AG34"/>
      <c r="AH34"/>
      <c r="AI34"/>
      <c r="AJ34"/>
      <c r="AK34"/>
      <c r="AL34"/>
    </row>
    <row r="35" spans="2:38">
      <c r="B35" s="1206"/>
      <c r="C35" s="845" t="s">
        <v>66</v>
      </c>
      <c r="D35" s="845" t="s">
        <v>1280</v>
      </c>
      <c r="E35" s="846" t="s">
        <v>1238</v>
      </c>
      <c r="F35" s="847" t="s">
        <v>54</v>
      </c>
      <c r="G35" s="845" t="s">
        <v>1239</v>
      </c>
      <c r="M35"/>
      <c r="N35"/>
      <c r="O35"/>
      <c r="P35"/>
      <c r="Q35"/>
      <c r="R35"/>
      <c r="S35"/>
      <c r="T35"/>
      <c r="U35"/>
      <c r="V35"/>
      <c r="W35"/>
      <c r="X35"/>
      <c r="Y35"/>
      <c r="Z35"/>
      <c r="AA35"/>
      <c r="AB35"/>
      <c r="AC35"/>
      <c r="AD35"/>
      <c r="AE35"/>
      <c r="AF35"/>
      <c r="AG35"/>
      <c r="AH35"/>
      <c r="AI35"/>
      <c r="AJ35"/>
      <c r="AK35"/>
      <c r="AL35"/>
    </row>
    <row r="36" spans="2:38">
      <c r="B36" s="1206"/>
      <c r="C36" s="845" t="s">
        <v>67</v>
      </c>
      <c r="D36" s="845" t="s">
        <v>1280</v>
      </c>
      <c r="E36" s="846" t="s">
        <v>1238</v>
      </c>
      <c r="F36" s="847" t="s">
        <v>54</v>
      </c>
      <c r="G36" s="845" t="s">
        <v>1239</v>
      </c>
      <c r="M36"/>
      <c r="N36"/>
      <c r="O36"/>
      <c r="P36"/>
      <c r="Q36"/>
      <c r="R36"/>
      <c r="S36"/>
      <c r="T36"/>
      <c r="U36"/>
      <c r="V36"/>
      <c r="W36"/>
      <c r="X36"/>
      <c r="Y36"/>
      <c r="Z36"/>
      <c r="AA36"/>
      <c r="AB36"/>
      <c r="AC36"/>
      <c r="AD36"/>
      <c r="AE36"/>
      <c r="AF36"/>
      <c r="AG36"/>
      <c r="AH36"/>
      <c r="AI36"/>
      <c r="AJ36"/>
      <c r="AK36"/>
      <c r="AL36"/>
    </row>
    <row r="37" spans="2:38">
      <c r="B37" s="1206"/>
      <c r="C37" s="845" t="s">
        <v>68</v>
      </c>
      <c r="D37" s="845" t="s">
        <v>1280</v>
      </c>
      <c r="E37" s="846" t="s">
        <v>1238</v>
      </c>
      <c r="F37" s="847" t="s">
        <v>54</v>
      </c>
      <c r="G37" s="845" t="s">
        <v>1239</v>
      </c>
      <c r="M37"/>
      <c r="N37"/>
      <c r="O37"/>
      <c r="P37"/>
      <c r="Q37"/>
      <c r="R37"/>
      <c r="S37"/>
      <c r="T37"/>
      <c r="U37"/>
      <c r="V37"/>
      <c r="W37"/>
      <c r="X37"/>
      <c r="Y37"/>
      <c r="Z37"/>
      <c r="AA37"/>
      <c r="AB37"/>
      <c r="AC37"/>
      <c r="AD37"/>
      <c r="AE37"/>
      <c r="AF37"/>
      <c r="AG37"/>
      <c r="AH37"/>
      <c r="AI37"/>
      <c r="AJ37"/>
      <c r="AK37"/>
      <c r="AL37"/>
    </row>
    <row r="38" spans="2:38">
      <c r="B38" s="1206"/>
      <c r="C38" s="845" t="s">
        <v>69</v>
      </c>
      <c r="D38" s="845" t="s">
        <v>1280</v>
      </c>
      <c r="E38" s="846" t="s">
        <v>1238</v>
      </c>
      <c r="F38" s="847" t="s">
        <v>54</v>
      </c>
      <c r="G38" s="845" t="s">
        <v>1239</v>
      </c>
      <c r="M38"/>
      <c r="N38"/>
      <c r="O38"/>
      <c r="P38" t="s">
        <v>1281</v>
      </c>
      <c r="Q38"/>
      <c r="R38"/>
      <c r="S38"/>
      <c r="T38"/>
      <c r="U38"/>
      <c r="V38"/>
      <c r="W38"/>
      <c r="X38"/>
      <c r="Y38"/>
      <c r="Z38"/>
      <c r="AA38"/>
      <c r="AB38"/>
      <c r="AC38"/>
      <c r="AD38"/>
      <c r="AE38"/>
      <c r="AF38"/>
      <c r="AG38"/>
      <c r="AH38"/>
      <c r="AI38"/>
      <c r="AJ38"/>
      <c r="AK38"/>
      <c r="AL38"/>
    </row>
    <row r="39" spans="2:38">
      <c r="B39" s="1206"/>
      <c r="C39" s="845" t="s">
        <v>70</v>
      </c>
      <c r="D39" s="845" t="s">
        <v>1280</v>
      </c>
      <c r="E39" s="846" t="s">
        <v>1238</v>
      </c>
      <c r="F39" s="847" t="s">
        <v>54</v>
      </c>
      <c r="G39" s="845" t="s">
        <v>1239</v>
      </c>
      <c r="M39"/>
      <c r="N39"/>
      <c r="O39" s="867">
        <v>1</v>
      </c>
      <c r="P39" s="867" t="s">
        <v>1282</v>
      </c>
      <c r="Q39"/>
      <c r="R39"/>
      <c r="S39"/>
      <c r="T39"/>
      <c r="U39"/>
      <c r="V39"/>
      <c r="W39"/>
      <c r="X39"/>
      <c r="Y39"/>
      <c r="Z39"/>
      <c r="AA39"/>
      <c r="AB39"/>
      <c r="AC39"/>
      <c r="AD39"/>
      <c r="AE39"/>
      <c r="AF39"/>
      <c r="AG39"/>
      <c r="AH39"/>
      <c r="AI39"/>
      <c r="AJ39"/>
      <c r="AK39"/>
      <c r="AL39"/>
    </row>
    <row r="40" spans="2:38">
      <c r="M40"/>
      <c r="N40"/>
      <c r="O40" s="867">
        <v>2</v>
      </c>
      <c r="P40" s="867" t="s">
        <v>1283</v>
      </c>
      <c r="Q40"/>
      <c r="R40"/>
      <c r="S40"/>
      <c r="T40"/>
      <c r="U40"/>
      <c r="V40"/>
      <c r="W40"/>
      <c r="X40"/>
      <c r="Y40"/>
      <c r="Z40"/>
      <c r="AA40"/>
      <c r="AB40"/>
      <c r="AC40"/>
      <c r="AD40"/>
      <c r="AE40"/>
      <c r="AF40"/>
      <c r="AG40"/>
      <c r="AH40"/>
      <c r="AI40"/>
      <c r="AJ40"/>
      <c r="AK40"/>
      <c r="AL40"/>
    </row>
    <row r="41" spans="2:38">
      <c r="M41"/>
      <c r="N41"/>
      <c r="O41" s="867">
        <v>3</v>
      </c>
      <c r="P41" s="867" t="s">
        <v>1284</v>
      </c>
      <c r="Q41" s="868">
        <v>0.35416666666666669</v>
      </c>
      <c r="R41" s="868"/>
      <c r="S41" s="868"/>
      <c r="T41"/>
      <c r="U41"/>
      <c r="V41"/>
      <c r="W41"/>
      <c r="X41"/>
      <c r="Y41"/>
      <c r="Z41"/>
      <c r="AA41"/>
      <c r="AB41"/>
      <c r="AC41"/>
      <c r="AD41"/>
      <c r="AE41"/>
      <c r="AF41"/>
      <c r="AG41"/>
      <c r="AH41"/>
      <c r="AI41"/>
      <c r="AJ41"/>
      <c r="AK41"/>
      <c r="AL41"/>
    </row>
    <row r="42" spans="2:38">
      <c r="M42"/>
      <c r="N42"/>
      <c r="O42" s="867">
        <v>4</v>
      </c>
      <c r="P42" s="867" t="s">
        <v>1285</v>
      </c>
      <c r="Q42" s="868">
        <v>0.375</v>
      </c>
      <c r="R42" s="868"/>
      <c r="S42" s="868"/>
      <c r="T42">
        <v>0.5</v>
      </c>
      <c r="U42"/>
      <c r="V42"/>
      <c r="W42"/>
      <c r="X42"/>
      <c r="Y42"/>
      <c r="Z42"/>
      <c r="AA42"/>
      <c r="AB42"/>
      <c r="AC42"/>
      <c r="AD42"/>
      <c r="AE42"/>
      <c r="AF42"/>
      <c r="AG42"/>
      <c r="AH42"/>
      <c r="AI42"/>
      <c r="AJ42"/>
      <c r="AK42"/>
      <c r="AL42"/>
    </row>
    <row r="43" spans="2:38">
      <c r="M43"/>
      <c r="N43"/>
      <c r="O43" s="867">
        <v>5</v>
      </c>
      <c r="P43" s="867" t="s">
        <v>1240</v>
      </c>
      <c r="Q43" s="868">
        <v>0.41666666666666669</v>
      </c>
      <c r="R43" s="868"/>
      <c r="S43" s="868"/>
      <c r="T43">
        <v>1</v>
      </c>
      <c r="U43"/>
      <c r="V43"/>
      <c r="W43"/>
      <c r="X43"/>
      <c r="Y43"/>
      <c r="Z43"/>
      <c r="AA43"/>
      <c r="AB43"/>
      <c r="AC43"/>
      <c r="AD43"/>
      <c r="AE43"/>
      <c r="AF43"/>
      <c r="AG43"/>
      <c r="AH43"/>
      <c r="AI43"/>
      <c r="AJ43"/>
      <c r="AK43"/>
      <c r="AL43"/>
    </row>
    <row r="44" spans="2:38">
      <c r="M44"/>
      <c r="N44"/>
      <c r="O44" s="867">
        <v>6</v>
      </c>
      <c r="P44" s="867" t="s">
        <v>1286</v>
      </c>
      <c r="Q44" s="868">
        <v>0.45833333333333331</v>
      </c>
      <c r="R44" s="868"/>
      <c r="S44" s="868"/>
      <c r="T44">
        <v>1</v>
      </c>
      <c r="U44"/>
      <c r="V44"/>
      <c r="W44"/>
      <c r="X44"/>
      <c r="Y44"/>
      <c r="Z44"/>
      <c r="AA44"/>
      <c r="AB44"/>
      <c r="AC44"/>
      <c r="AD44"/>
      <c r="AE44"/>
      <c r="AF44"/>
      <c r="AG44"/>
      <c r="AH44"/>
      <c r="AI44"/>
      <c r="AJ44"/>
      <c r="AK44"/>
      <c r="AL44"/>
    </row>
    <row r="45" spans="2:38">
      <c r="M45"/>
      <c r="N45"/>
      <c r="O45" s="867">
        <v>7</v>
      </c>
      <c r="P45" s="867" t="s">
        <v>1287</v>
      </c>
      <c r="Q45" s="869">
        <v>0.5</v>
      </c>
      <c r="R45" s="869"/>
      <c r="S45" s="869"/>
      <c r="T45">
        <v>1</v>
      </c>
      <c r="U45"/>
      <c r="V45"/>
      <c r="W45"/>
      <c r="X45"/>
      <c r="Y45"/>
      <c r="Z45"/>
      <c r="AA45"/>
      <c r="AB45"/>
      <c r="AC45"/>
      <c r="AD45"/>
      <c r="AE45"/>
      <c r="AF45"/>
      <c r="AG45"/>
      <c r="AH45"/>
      <c r="AI45"/>
      <c r="AJ45"/>
      <c r="AK45"/>
      <c r="AL45"/>
    </row>
    <row r="46" spans="2:38">
      <c r="M46"/>
      <c r="N46"/>
      <c r="O46" s="867">
        <v>8</v>
      </c>
      <c r="P46" s="867" t="s">
        <v>1288</v>
      </c>
      <c r="Q46" s="869">
        <v>0.54166666666666663</v>
      </c>
      <c r="R46" s="869"/>
      <c r="S46" s="869"/>
      <c r="T46" t="s">
        <v>1289</v>
      </c>
      <c r="U46"/>
      <c r="V46"/>
      <c r="W46"/>
      <c r="X46"/>
      <c r="Y46"/>
      <c r="Z46"/>
      <c r="AA46"/>
      <c r="AB46"/>
      <c r="AC46"/>
      <c r="AD46"/>
      <c r="AE46"/>
      <c r="AF46"/>
      <c r="AG46"/>
      <c r="AH46"/>
      <c r="AI46"/>
      <c r="AJ46"/>
      <c r="AK46"/>
      <c r="AL46"/>
    </row>
    <row r="47" spans="2:38">
      <c r="M47"/>
      <c r="N47"/>
      <c r="O47" s="867">
        <v>9</v>
      </c>
      <c r="P47" s="867" t="s">
        <v>1241</v>
      </c>
      <c r="Q47" s="868">
        <v>0.58333333333333304</v>
      </c>
      <c r="R47" s="868"/>
      <c r="S47" s="868"/>
      <c r="T47">
        <v>1</v>
      </c>
      <c r="U47"/>
      <c r="V47"/>
      <c r="W47"/>
      <c r="X47"/>
      <c r="Y47"/>
      <c r="Z47"/>
      <c r="AA47"/>
      <c r="AB47"/>
      <c r="AC47"/>
      <c r="AD47"/>
      <c r="AE47"/>
      <c r="AF47"/>
      <c r="AG47"/>
      <c r="AH47"/>
      <c r="AI47"/>
      <c r="AJ47"/>
      <c r="AK47"/>
      <c r="AL47"/>
    </row>
    <row r="48" spans="2:38">
      <c r="M48"/>
      <c r="N48"/>
      <c r="O48" s="867">
        <v>10</v>
      </c>
      <c r="P48" s="867" t="s">
        <v>1290</v>
      </c>
      <c r="Q48" s="868">
        <v>0.625</v>
      </c>
      <c r="R48" s="868"/>
      <c r="S48" s="868"/>
      <c r="T48">
        <v>1</v>
      </c>
      <c r="U48"/>
      <c r="V48"/>
      <c r="W48"/>
      <c r="X48"/>
      <c r="Y48"/>
      <c r="Z48"/>
      <c r="AA48"/>
      <c r="AB48"/>
      <c r="AC48"/>
      <c r="AD48"/>
      <c r="AE48"/>
      <c r="AF48"/>
      <c r="AG48"/>
      <c r="AH48"/>
      <c r="AI48"/>
      <c r="AJ48"/>
      <c r="AK48"/>
      <c r="AL48"/>
    </row>
    <row r="49" spans="13:38">
      <c r="M49"/>
      <c r="N49"/>
      <c r="O49" s="867">
        <v>11</v>
      </c>
      <c r="P49" s="867" t="s">
        <v>1291</v>
      </c>
      <c r="Q49" s="868">
        <v>0.66666666666666596</v>
      </c>
      <c r="R49" s="868"/>
      <c r="S49" s="868"/>
      <c r="T49">
        <v>1</v>
      </c>
      <c r="U49"/>
      <c r="V49"/>
      <c r="W49"/>
      <c r="X49"/>
      <c r="Y49"/>
      <c r="Z49"/>
      <c r="AA49"/>
      <c r="AB49"/>
      <c r="AC49"/>
      <c r="AD49"/>
      <c r="AE49"/>
      <c r="AF49"/>
      <c r="AG49"/>
      <c r="AH49"/>
      <c r="AI49"/>
      <c r="AJ49"/>
      <c r="AK49"/>
      <c r="AL49"/>
    </row>
    <row r="50" spans="13:38">
      <c r="M50"/>
      <c r="N50"/>
      <c r="O50" s="867">
        <v>12</v>
      </c>
      <c r="P50" s="867" t="s">
        <v>1292</v>
      </c>
      <c r="Q50" s="868">
        <v>0.70833333333333304</v>
      </c>
      <c r="R50" s="868"/>
      <c r="S50" s="868"/>
      <c r="T50">
        <v>1</v>
      </c>
      <c r="U50"/>
      <c r="V50"/>
      <c r="W50"/>
      <c r="X50"/>
      <c r="Y50"/>
      <c r="Z50"/>
      <c r="AA50"/>
      <c r="AB50"/>
      <c r="AC50"/>
      <c r="AD50"/>
      <c r="AE50"/>
      <c r="AF50"/>
      <c r="AG50"/>
      <c r="AH50"/>
      <c r="AI50"/>
      <c r="AJ50"/>
      <c r="AK50"/>
      <c r="AL50"/>
    </row>
    <row r="51" spans="13:38">
      <c r="M51"/>
      <c r="N51"/>
      <c r="O51" s="867">
        <v>13</v>
      </c>
      <c r="P51" s="867" t="s">
        <v>1293</v>
      </c>
      <c r="Q51" s="868">
        <v>0.72916666666666663</v>
      </c>
      <c r="R51" s="868"/>
      <c r="S51" s="868"/>
      <c r="T51">
        <v>0.5</v>
      </c>
      <c r="U51"/>
      <c r="V51"/>
      <c r="W51"/>
      <c r="X51"/>
      <c r="Y51"/>
      <c r="Z51"/>
      <c r="AA51"/>
      <c r="AB51"/>
      <c r="AC51"/>
      <c r="AD51"/>
      <c r="AE51"/>
      <c r="AF51"/>
      <c r="AG51"/>
      <c r="AH51"/>
      <c r="AI51"/>
      <c r="AJ51"/>
      <c r="AK51"/>
      <c r="AL51"/>
    </row>
    <row r="52" spans="13:38">
      <c r="M52"/>
      <c r="N52"/>
      <c r="O52"/>
      <c r="P52" t="s">
        <v>1294</v>
      </c>
      <c r="Q52"/>
      <c r="R52"/>
      <c r="S52"/>
      <c r="T52">
        <f>SUM(T42:T51)</f>
        <v>8</v>
      </c>
      <c r="U52"/>
      <c r="V52"/>
      <c r="W52"/>
      <c r="X52"/>
      <c r="Y52"/>
      <c r="Z52"/>
      <c r="AA52"/>
      <c r="AB52"/>
      <c r="AC52"/>
      <c r="AD52"/>
      <c r="AE52"/>
      <c r="AF52"/>
      <c r="AG52"/>
      <c r="AH52"/>
      <c r="AI52"/>
      <c r="AJ52"/>
      <c r="AK52"/>
      <c r="AL52"/>
    </row>
    <row r="53" spans="13:38">
      <c r="M53"/>
      <c r="N53"/>
      <c r="O53"/>
      <c r="P53" t="s">
        <v>1295</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829" customWidth="1"/>
    <col min="2" max="2" width="3.453125" style="829" customWidth="1"/>
    <col min="3" max="3" width="9.90625" style="829"/>
    <col min="4" max="4" width="12.90625" style="829" customWidth="1"/>
    <col min="5" max="5" width="13.453125" style="829" customWidth="1"/>
    <col min="6" max="6" width="7.36328125" style="829" customWidth="1"/>
    <col min="7" max="7" width="6.453125" style="829" bestFit="1" customWidth="1"/>
    <col min="8" max="8" width="7.6328125" style="829" bestFit="1" customWidth="1"/>
    <col min="9" max="9" width="3.90625" style="829" customWidth="1"/>
    <col min="10" max="10" width="8.7265625" style="829" bestFit="1" customWidth="1"/>
    <col min="11" max="11" width="5.7265625" style="829" bestFit="1" customWidth="1"/>
    <col min="12" max="12" width="6.6328125" style="829" customWidth="1"/>
    <col min="13" max="13" width="9.26953125" style="829" customWidth="1"/>
    <col min="14" max="14" width="0.90625" style="829" customWidth="1"/>
    <col min="15" max="18" width="9.26953125" style="829" customWidth="1"/>
    <col min="19" max="19" width="9.90625" style="833"/>
    <col min="20" max="20" width="22.08984375" style="833" customWidth="1"/>
    <col min="21" max="21" width="23.36328125" style="833" customWidth="1"/>
    <col min="22" max="22" width="20.26953125" style="833" customWidth="1"/>
    <col min="23" max="16384" width="9.90625" style="833"/>
  </cols>
  <sheetData>
    <row r="1" spans="2:22" ht="15" customHeight="1">
      <c r="B1" s="2317" t="s">
        <v>1296</v>
      </c>
      <c r="C1" s="2317"/>
      <c r="D1" s="2317"/>
      <c r="E1" s="2317"/>
      <c r="F1" s="2317"/>
      <c r="G1" s="2317"/>
      <c r="H1" s="2317"/>
      <c r="I1" s="2317"/>
      <c r="J1" s="2317"/>
      <c r="K1" s="2317"/>
      <c r="L1" s="2317"/>
      <c r="M1" s="2317"/>
      <c r="U1" s="834" t="s">
        <v>1146</v>
      </c>
    </row>
    <row r="2" spans="2:22" ht="15" customHeight="1">
      <c r="C2" s="829" t="s">
        <v>1297</v>
      </c>
    </row>
    <row r="3" spans="2:22" ht="15" customHeight="1">
      <c r="C3" s="829" t="s">
        <v>1298</v>
      </c>
      <c r="T3" s="834" t="s">
        <v>872</v>
      </c>
      <c r="U3" s="834"/>
      <c r="V3" s="835" t="s">
        <v>1147</v>
      </c>
    </row>
    <row r="4" spans="2:22" ht="15" customHeight="1">
      <c r="C4" s="829" t="s">
        <v>1299</v>
      </c>
      <c r="T4" s="2296" t="s">
        <v>1148</v>
      </c>
      <c r="U4" s="836" t="s">
        <v>1149</v>
      </c>
      <c r="V4" s="837">
        <v>0.05</v>
      </c>
    </row>
    <row r="5" spans="2:22" ht="15" customHeight="1">
      <c r="C5" s="829" t="s">
        <v>1300</v>
      </c>
      <c r="T5" s="2297"/>
      <c r="U5" s="838" t="s">
        <v>1150</v>
      </c>
      <c r="V5" s="839">
        <v>4.4999999999999998E-2</v>
      </c>
    </row>
    <row r="6" spans="2:22" ht="15" customHeight="1">
      <c r="C6" s="829" t="s">
        <v>1301</v>
      </c>
      <c r="T6" s="2297"/>
      <c r="U6" s="836" t="s">
        <v>1152</v>
      </c>
      <c r="V6" s="837">
        <v>4.2000000000000003E-2</v>
      </c>
    </row>
    <row r="7" spans="2:22" ht="15" customHeight="1">
      <c r="E7" s="870" t="s">
        <v>1302</v>
      </c>
      <c r="F7" s="833"/>
      <c r="J7" s="833"/>
      <c r="T7" s="2297"/>
      <c r="U7" s="836" t="s">
        <v>1153</v>
      </c>
      <c r="V7" s="837">
        <v>3.7999999999999999E-2</v>
      </c>
    </row>
    <row r="8" spans="2:22" ht="15" customHeight="1">
      <c r="C8" s="829" t="s">
        <v>1303</v>
      </c>
      <c r="F8" s="870"/>
      <c r="J8" s="833"/>
      <c r="T8" s="2297"/>
      <c r="U8" s="836" t="s">
        <v>1154</v>
      </c>
      <c r="V8" s="837">
        <v>3.5999999999999997E-2</v>
      </c>
    </row>
    <row r="9" spans="2:22" ht="15" customHeight="1">
      <c r="C9" s="829" t="s">
        <v>1304</v>
      </c>
      <c r="T9" s="2297"/>
      <c r="U9" s="838" t="s">
        <v>1155</v>
      </c>
      <c r="V9" s="839">
        <v>3.5999999999999997E-2</v>
      </c>
    </row>
    <row r="10" spans="2:22" ht="15" customHeight="1">
      <c r="B10" s="829" t="s">
        <v>16</v>
      </c>
      <c r="C10" s="829" t="s">
        <v>1305</v>
      </c>
      <c r="T10" s="2297"/>
      <c r="U10" s="838" t="s">
        <v>1156</v>
      </c>
      <c r="V10" s="839">
        <v>3.5000000000000003E-2</v>
      </c>
    </row>
    <row r="11" spans="2:22" ht="15" customHeight="1">
      <c r="B11" s="829" t="s">
        <v>17</v>
      </c>
      <c r="C11" s="829" t="s">
        <v>1306</v>
      </c>
      <c r="T11" s="2297"/>
      <c r="U11" s="838" t="s">
        <v>1158</v>
      </c>
      <c r="V11" s="839">
        <v>3.3000000000000002E-2</v>
      </c>
    </row>
    <row r="12" spans="2:22" ht="15" customHeight="1">
      <c r="B12" s="829" t="s">
        <v>18</v>
      </c>
      <c r="C12" s="829" t="s">
        <v>1307</v>
      </c>
      <c r="T12" s="2298"/>
      <c r="U12" s="838" t="s">
        <v>1159</v>
      </c>
      <c r="V12" s="839">
        <v>3.3000000000000002E-2</v>
      </c>
    </row>
    <row r="13" spans="2:22" ht="15" customHeight="1">
      <c r="B13" s="829" t="s">
        <v>19</v>
      </c>
      <c r="C13" s="829" t="s">
        <v>1308</v>
      </c>
      <c r="T13" s="2296" t="s">
        <v>1160</v>
      </c>
      <c r="U13" s="838" t="s">
        <v>1161</v>
      </c>
      <c r="V13" s="839">
        <v>4.7E-2</v>
      </c>
    </row>
    <row r="14" spans="2:22" ht="15" customHeight="1">
      <c r="B14" s="830" t="s">
        <v>1309</v>
      </c>
      <c r="D14" s="830" t="s">
        <v>1310</v>
      </c>
      <c r="T14" s="2297"/>
      <c r="U14" s="838" t="s">
        <v>1162</v>
      </c>
      <c r="V14" s="839">
        <v>4.2999999999999997E-2</v>
      </c>
    </row>
    <row r="15" spans="2:22" ht="15" customHeight="1">
      <c r="D15" s="871" t="s">
        <v>1311</v>
      </c>
      <c r="E15" s="830" t="s">
        <v>1312</v>
      </c>
      <c r="T15" s="2297"/>
      <c r="U15" s="838" t="s">
        <v>1163</v>
      </c>
      <c r="V15" s="839">
        <v>3.7999999999999999E-2</v>
      </c>
    </row>
    <row r="16" spans="2:22" ht="15" customHeight="1">
      <c r="D16" s="871" t="s">
        <v>1313</v>
      </c>
      <c r="E16" s="830" t="s">
        <v>1314</v>
      </c>
      <c r="T16" s="2297"/>
      <c r="U16" s="838" t="s">
        <v>1165</v>
      </c>
      <c r="V16" s="839">
        <v>3.7999999999999999E-2</v>
      </c>
    </row>
    <row r="17" spans="2:22" ht="15" customHeight="1">
      <c r="D17" s="871" t="s">
        <v>1315</v>
      </c>
      <c r="E17" s="830" t="s">
        <v>1316</v>
      </c>
      <c r="T17" s="2297"/>
      <c r="U17" s="836" t="s">
        <v>1166</v>
      </c>
      <c r="V17" s="837">
        <v>3.5999999999999997E-2</v>
      </c>
    </row>
    <row r="18" spans="2:22" ht="15" customHeight="1">
      <c r="D18" s="871" t="s">
        <v>1317</v>
      </c>
      <c r="E18" s="830" t="s">
        <v>1318</v>
      </c>
      <c r="T18" s="2297"/>
      <c r="U18" s="838" t="s">
        <v>1167</v>
      </c>
      <c r="V18" s="839">
        <v>3.5999999999999997E-2</v>
      </c>
    </row>
    <row r="19" spans="2:22" ht="15" customHeight="1" thickBot="1">
      <c r="B19" s="830" t="s">
        <v>1319</v>
      </c>
      <c r="T19" s="2297"/>
      <c r="U19" s="836" t="s">
        <v>1168</v>
      </c>
      <c r="V19" s="837">
        <v>3.5000000000000003E-2</v>
      </c>
    </row>
    <row r="20" spans="2:22" ht="15" customHeight="1">
      <c r="B20" s="830"/>
      <c r="E20" s="2318" t="s">
        <v>1320</v>
      </c>
      <c r="F20" s="2319"/>
      <c r="G20" s="2319"/>
      <c r="H20" s="2319"/>
      <c r="I20" s="2319"/>
      <c r="J20" s="2319"/>
      <c r="K20" s="2320"/>
      <c r="T20" s="2297"/>
      <c r="U20" s="838" t="s">
        <v>1169</v>
      </c>
      <c r="V20" s="839">
        <v>3.4000000000000002E-2</v>
      </c>
    </row>
    <row r="21" spans="2:22" ht="15" customHeight="1" thickBot="1">
      <c r="B21" s="830"/>
      <c r="E21" s="2321"/>
      <c r="F21" s="2322"/>
      <c r="G21" s="2322"/>
      <c r="H21" s="2322"/>
      <c r="I21" s="2322"/>
      <c r="J21" s="2322"/>
      <c r="K21" s="2323"/>
      <c r="T21" s="2297"/>
      <c r="U21" s="838" t="s">
        <v>1170</v>
      </c>
      <c r="V21" s="839">
        <v>3.4000000000000002E-2</v>
      </c>
    </row>
    <row r="22" spans="2:22" ht="15" customHeight="1" thickBot="1">
      <c r="B22" s="830"/>
      <c r="E22" s="2324" t="s">
        <v>1321</v>
      </c>
      <c r="F22" s="2325"/>
      <c r="G22" s="2325"/>
      <c r="H22" s="2325"/>
      <c r="I22" s="2325"/>
      <c r="J22" s="2325"/>
      <c r="K22" s="2326"/>
      <c r="T22" s="2297"/>
      <c r="U22" s="836" t="s">
        <v>1171</v>
      </c>
      <c r="V22" s="837">
        <v>3.4000000000000002E-2</v>
      </c>
    </row>
    <row r="23" spans="2:22" ht="15" customHeight="1">
      <c r="T23" s="2298"/>
      <c r="U23" s="836" t="s">
        <v>1172</v>
      </c>
      <c r="V23" s="837">
        <v>3.3000000000000002E-2</v>
      </c>
    </row>
    <row r="24" spans="2:22" ht="15" customHeight="1">
      <c r="C24" s="829" t="s">
        <v>1322</v>
      </c>
      <c r="T24" s="2296" t="s">
        <v>1173</v>
      </c>
      <c r="U24" s="840" t="s">
        <v>1174</v>
      </c>
      <c r="V24" s="841">
        <v>5.1999999999999998E-2</v>
      </c>
    </row>
    <row r="25" spans="2:22" ht="15" customHeight="1">
      <c r="T25" s="2297"/>
      <c r="U25" s="840" t="s">
        <v>1175</v>
      </c>
      <c r="V25" s="841">
        <v>5.1999999999999998E-2</v>
      </c>
    </row>
    <row r="26" spans="2:22" ht="15" customHeight="1" thickBot="1">
      <c r="C26" s="829" t="s">
        <v>1323</v>
      </c>
      <c r="T26" s="2297"/>
      <c r="U26" s="840" t="s">
        <v>1176</v>
      </c>
      <c r="V26" s="841">
        <v>0.04</v>
      </c>
    </row>
    <row r="27" spans="2:22" ht="15" customHeight="1" thickBot="1">
      <c r="B27" s="829">
        <v>1</v>
      </c>
      <c r="C27" s="829" t="s">
        <v>1324</v>
      </c>
      <c r="E27" s="2299" t="s">
        <v>1340</v>
      </c>
      <c r="F27" s="2300"/>
      <c r="G27" s="2300"/>
      <c r="H27" s="2300"/>
      <c r="I27" s="2300"/>
      <c r="J27" s="2301"/>
      <c r="K27" s="831"/>
      <c r="L27" s="832"/>
      <c r="M27" s="832"/>
      <c r="T27" s="2298"/>
      <c r="U27" s="840" t="s">
        <v>1177</v>
      </c>
      <c r="V27" s="841">
        <v>0.04</v>
      </c>
    </row>
    <row r="28" spans="2:22" ht="15" customHeight="1" thickBot="1">
      <c r="B28" s="829">
        <v>2</v>
      </c>
      <c r="C28" s="829" t="s">
        <v>1325</v>
      </c>
      <c r="E28" s="872">
        <v>25</v>
      </c>
      <c r="F28" s="873" t="s">
        <v>1137</v>
      </c>
      <c r="G28" s="831"/>
      <c r="L28" s="832"/>
      <c r="M28" s="832"/>
      <c r="T28" s="2296" t="s">
        <v>1178</v>
      </c>
      <c r="U28" s="838" t="s">
        <v>1179</v>
      </c>
      <c r="V28" s="839">
        <v>3.9E-2</v>
      </c>
    </row>
    <row r="29" spans="2:22" ht="15" customHeight="1" thickBot="1">
      <c r="B29" s="829">
        <v>3</v>
      </c>
      <c r="C29" s="829" t="s">
        <v>1326</v>
      </c>
      <c r="E29" s="874">
        <f>INDEX('（例示）対策後の熱貫流率計算根拠'!V4:V61,'（例示）対策後の熱貫流率計算根拠'!V62,1)</f>
        <v>0.05</v>
      </c>
      <c r="F29" s="875" t="s">
        <v>1140</v>
      </c>
      <c r="G29" s="829" t="s">
        <v>1327</v>
      </c>
      <c r="T29" s="2297"/>
      <c r="U29" s="836" t="s">
        <v>1180</v>
      </c>
      <c r="V29" s="837">
        <v>3.7999999999999999E-2</v>
      </c>
    </row>
    <row r="30" spans="2:22" ht="15" customHeight="1">
      <c r="T30" s="2297"/>
      <c r="U30" s="838" t="s">
        <v>1181</v>
      </c>
      <c r="V30" s="839">
        <v>3.6999999999999998E-2</v>
      </c>
    </row>
    <row r="31" spans="2:22" ht="15" customHeight="1">
      <c r="C31" s="2302" t="s">
        <v>1328</v>
      </c>
      <c r="D31" s="2302"/>
      <c r="E31" s="2302"/>
      <c r="F31" s="876">
        <f>1/3.91</f>
        <v>0.25575447570332482</v>
      </c>
      <c r="G31" s="877" t="s">
        <v>1329</v>
      </c>
      <c r="H31" s="830">
        <f>E28/1000</f>
        <v>2.5000000000000001E-2</v>
      </c>
      <c r="I31" s="877" t="s">
        <v>1330</v>
      </c>
      <c r="J31" s="878">
        <f>E29</f>
        <v>0.05</v>
      </c>
      <c r="K31" s="830" t="s">
        <v>1331</v>
      </c>
      <c r="L31" s="879">
        <f>1/(F31+H31/J31)</f>
        <v>1.3231810490693741</v>
      </c>
      <c r="M31" s="830" t="s">
        <v>1138</v>
      </c>
      <c r="T31" s="2297"/>
      <c r="U31" s="836" t="s">
        <v>1182</v>
      </c>
      <c r="V31" s="837">
        <v>3.7999999999999999E-2</v>
      </c>
    </row>
    <row r="32" spans="2:22" ht="15" customHeight="1" thickBot="1">
      <c r="T32" s="2298"/>
      <c r="U32" s="836" t="s">
        <v>1183</v>
      </c>
      <c r="V32" s="837">
        <v>3.5999999999999997E-2</v>
      </c>
    </row>
    <row r="33" spans="2:22" ht="15" customHeight="1" thickBot="1">
      <c r="C33" s="2303" t="s">
        <v>1332</v>
      </c>
      <c r="D33" s="2304"/>
      <c r="E33" s="880">
        <f>L31</f>
        <v>1.3231810490693741</v>
      </c>
      <c r="F33" s="881" t="s">
        <v>1333</v>
      </c>
      <c r="G33" s="882"/>
      <c r="H33" s="831"/>
      <c r="T33" s="2296" t="s">
        <v>1184</v>
      </c>
      <c r="U33" s="838" t="s">
        <v>1185</v>
      </c>
      <c r="V33" s="839">
        <v>4.7E-2</v>
      </c>
    </row>
    <row r="34" spans="2:22" ht="15" customHeight="1">
      <c r="T34" s="2298"/>
      <c r="U34" s="838" t="s">
        <v>1186</v>
      </c>
      <c r="V34" s="839">
        <v>3.7999999999999999E-2</v>
      </c>
    </row>
    <row r="35" spans="2:22" ht="15" customHeight="1">
      <c r="B35" s="830" t="s">
        <v>1334</v>
      </c>
      <c r="T35" s="838" t="s">
        <v>1187</v>
      </c>
      <c r="U35" s="836" t="s">
        <v>1187</v>
      </c>
      <c r="V35" s="837">
        <v>6.4000000000000001E-2</v>
      </c>
    </row>
    <row r="36" spans="2:22" ht="15" customHeight="1" thickBot="1">
      <c r="B36" s="830"/>
      <c r="C36" s="829" t="s">
        <v>1335</v>
      </c>
      <c r="T36" s="838" t="s">
        <v>1188</v>
      </c>
      <c r="U36" s="838" t="s">
        <v>1189</v>
      </c>
      <c r="V36" s="839">
        <v>0.04</v>
      </c>
    </row>
    <row r="37" spans="2:22" ht="15" customHeight="1">
      <c r="B37" s="830"/>
      <c r="D37" s="2305" t="s">
        <v>1336</v>
      </c>
      <c r="E37" s="2306"/>
      <c r="F37" s="2311" t="s">
        <v>1337</v>
      </c>
      <c r="G37" s="2312"/>
      <c r="T37" s="2296" t="s">
        <v>1190</v>
      </c>
      <c r="U37" s="836" t="s">
        <v>1191</v>
      </c>
      <c r="V37" s="837">
        <v>0.04</v>
      </c>
    </row>
    <row r="38" spans="2:22" ht="15" customHeight="1">
      <c r="B38" s="830"/>
      <c r="D38" s="2307"/>
      <c r="E38" s="2308"/>
      <c r="F38" s="2313"/>
      <c r="G38" s="2314"/>
      <c r="T38" s="2297"/>
      <c r="U38" s="836" t="s">
        <v>1192</v>
      </c>
      <c r="V38" s="837">
        <v>3.4000000000000002E-2</v>
      </c>
    </row>
    <row r="39" spans="2:22" ht="15" customHeight="1">
      <c r="B39" s="830"/>
      <c r="D39" s="2307"/>
      <c r="E39" s="2308"/>
      <c r="F39" s="2313"/>
      <c r="G39" s="2314"/>
      <c r="T39" s="2298"/>
      <c r="U39" s="836" t="s">
        <v>1193</v>
      </c>
      <c r="V39" s="837">
        <v>2.8000000000000001E-2</v>
      </c>
    </row>
    <row r="40" spans="2:22" ht="15" customHeight="1">
      <c r="B40" s="830"/>
      <c r="D40" s="2307"/>
      <c r="E40" s="2308"/>
      <c r="F40" s="2313"/>
      <c r="G40" s="2314"/>
      <c r="T40" s="2296" t="s">
        <v>1194</v>
      </c>
      <c r="U40" s="836" t="s">
        <v>1195</v>
      </c>
      <c r="V40" s="837">
        <v>4.2000000000000003E-2</v>
      </c>
    </row>
    <row r="41" spans="2:22" ht="15" customHeight="1">
      <c r="B41" s="830"/>
      <c r="D41" s="2307"/>
      <c r="E41" s="2308"/>
      <c r="F41" s="2313"/>
      <c r="G41" s="2314"/>
      <c r="T41" s="2297"/>
      <c r="U41" s="836" t="s">
        <v>1196</v>
      </c>
      <c r="V41" s="837">
        <v>3.7999999999999999E-2</v>
      </c>
    </row>
    <row r="42" spans="2:22" ht="15" customHeight="1" thickBot="1">
      <c r="B42" s="830"/>
      <c r="D42" s="2309"/>
      <c r="E42" s="2310"/>
      <c r="F42" s="2315"/>
      <c r="G42" s="2316"/>
      <c r="T42" s="2296" t="s">
        <v>1198</v>
      </c>
      <c r="U42" s="836" t="s">
        <v>1199</v>
      </c>
      <c r="V42" s="837">
        <v>3.4000000000000002E-2</v>
      </c>
    </row>
    <row r="43" spans="2:22" ht="15" customHeight="1">
      <c r="B43" s="830"/>
      <c r="C43" s="829" t="s">
        <v>1338</v>
      </c>
      <c r="T43" s="2297"/>
      <c r="U43" s="836" t="s">
        <v>1200</v>
      </c>
      <c r="V43" s="837">
        <v>3.5999999999999997E-2</v>
      </c>
    </row>
    <row r="44" spans="2:22" ht="15" customHeight="1">
      <c r="B44" s="830"/>
      <c r="C44" s="829" t="s">
        <v>1339</v>
      </c>
      <c r="T44" s="2297"/>
      <c r="U44" s="836" t="s">
        <v>1201</v>
      </c>
      <c r="V44" s="836">
        <v>3.6999999999999998E-2</v>
      </c>
    </row>
    <row r="45" spans="2:22" ht="15" customHeight="1" thickBot="1">
      <c r="C45" s="829" t="s">
        <v>1323</v>
      </c>
      <c r="T45" s="2297"/>
      <c r="U45" s="836" t="s">
        <v>1202</v>
      </c>
      <c r="V45" s="837">
        <v>0.04</v>
      </c>
    </row>
    <row r="46" spans="2:22" ht="15" customHeight="1" thickBot="1">
      <c r="B46" s="829">
        <v>1</v>
      </c>
      <c r="C46" s="829" t="s">
        <v>1324</v>
      </c>
      <c r="E46" s="2299" t="s">
        <v>1340</v>
      </c>
      <c r="F46" s="2300"/>
      <c r="G46" s="2300"/>
      <c r="H46" s="2300"/>
      <c r="I46" s="2300"/>
      <c r="J46" s="2301"/>
      <c r="K46" s="831"/>
      <c r="T46" s="2298"/>
      <c r="U46" s="836" t="s">
        <v>1203</v>
      </c>
      <c r="V46" s="837">
        <v>4.2000000000000003E-2</v>
      </c>
    </row>
    <row r="47" spans="2:22" ht="15" customHeight="1" thickBot="1">
      <c r="B47" s="829">
        <v>2</v>
      </c>
      <c r="C47" s="829" t="s">
        <v>1325</v>
      </c>
      <c r="E47" s="883">
        <v>50</v>
      </c>
      <c r="F47" s="884" t="s">
        <v>1137</v>
      </c>
      <c r="G47" s="831"/>
      <c r="T47" s="2296" t="s">
        <v>1204</v>
      </c>
      <c r="U47" s="838" t="s">
        <v>1205</v>
      </c>
      <c r="V47" s="839">
        <v>2.9000000000000001E-2</v>
      </c>
    </row>
    <row r="48" spans="2:22" ht="15" customHeight="1" thickBot="1">
      <c r="B48" s="829">
        <v>3</v>
      </c>
      <c r="C48" s="829" t="s">
        <v>1326</v>
      </c>
      <c r="E48" s="874">
        <f>INDEX('（例示）対策後の熱貫流率計算根拠'!V4:V61,'（例示）対策後の熱貫流率計算根拠'!V63,1)</f>
        <v>0.05</v>
      </c>
      <c r="F48" s="885" t="s">
        <v>1140</v>
      </c>
      <c r="G48" s="829" t="s">
        <v>1327</v>
      </c>
      <c r="T48" s="2297"/>
      <c r="U48" s="836" t="s">
        <v>1206</v>
      </c>
      <c r="V48" s="837">
        <v>2.3E-2</v>
      </c>
    </row>
    <row r="49" spans="3:22" ht="15" customHeight="1">
      <c r="T49" s="2297"/>
      <c r="U49" s="836" t="s">
        <v>1207</v>
      </c>
      <c r="V49" s="837">
        <v>2.4E-2</v>
      </c>
    </row>
    <row r="50" spans="3:22" ht="15" customHeight="1">
      <c r="C50" s="2302" t="s">
        <v>1341</v>
      </c>
      <c r="D50" s="2302"/>
      <c r="E50" s="2302"/>
      <c r="F50" s="876">
        <f>1/1.18</f>
        <v>0.84745762711864414</v>
      </c>
      <c r="G50" s="877" t="s">
        <v>1329</v>
      </c>
      <c r="H50" s="830">
        <f>E47/1000</f>
        <v>0.05</v>
      </c>
      <c r="I50" s="877" t="s">
        <v>1330</v>
      </c>
      <c r="J50" s="878">
        <f>E48</f>
        <v>0.05</v>
      </c>
      <c r="K50" s="830" t="s">
        <v>1331</v>
      </c>
      <c r="L50" s="879">
        <f>1/(F50+H50/J50)</f>
        <v>0.54128440366972475</v>
      </c>
      <c r="M50" s="830" t="s">
        <v>1138</v>
      </c>
      <c r="T50" s="2298"/>
      <c r="U50" s="838" t="s">
        <v>1209</v>
      </c>
      <c r="V50" s="839">
        <v>2.8000000000000001E-2</v>
      </c>
    </row>
    <row r="51" spans="3:22" ht="15" customHeight="1" thickBot="1">
      <c r="T51" s="2296" t="s">
        <v>1210</v>
      </c>
      <c r="U51" s="836" t="s">
        <v>1211</v>
      </c>
      <c r="V51" s="837">
        <v>3.4000000000000002E-2</v>
      </c>
    </row>
    <row r="52" spans="3:22" ht="15" customHeight="1" thickBot="1">
      <c r="C52" s="2303" t="s">
        <v>1342</v>
      </c>
      <c r="D52" s="2304"/>
      <c r="E52" s="880">
        <f>L50</f>
        <v>0.54128440366972475</v>
      </c>
      <c r="F52" s="881" t="s">
        <v>1138</v>
      </c>
      <c r="G52" s="882"/>
      <c r="H52" s="831"/>
      <c r="T52" s="2297"/>
      <c r="U52" s="838" t="s">
        <v>1212</v>
      </c>
      <c r="V52" s="839">
        <v>2.5999999999999999E-2</v>
      </c>
    </row>
    <row r="53" spans="3:22">
      <c r="T53" s="2298"/>
      <c r="U53" s="838" t="s">
        <v>1213</v>
      </c>
      <c r="V53" s="839">
        <v>0.04</v>
      </c>
    </row>
    <row r="54" spans="3:22">
      <c r="T54" s="2296" t="s">
        <v>1214</v>
      </c>
      <c r="U54" s="836" t="s">
        <v>1215</v>
      </c>
      <c r="V54" s="837">
        <v>2.1999999999999999E-2</v>
      </c>
    </row>
    <row r="55" spans="3:22">
      <c r="T55" s="2297"/>
      <c r="U55" s="838" t="s">
        <v>1216</v>
      </c>
      <c r="V55" s="839">
        <v>3.5999999999999997E-2</v>
      </c>
    </row>
    <row r="56" spans="3:22">
      <c r="T56" s="2297"/>
      <c r="U56" s="838" t="s">
        <v>1217</v>
      </c>
      <c r="V56" s="839">
        <v>3.4000000000000002E-2</v>
      </c>
    </row>
    <row r="57" spans="3:22">
      <c r="T57" s="2297"/>
      <c r="U57" s="838" t="s">
        <v>1218</v>
      </c>
      <c r="V57" s="839">
        <v>2.8000000000000001E-2</v>
      </c>
    </row>
    <row r="58" spans="3:22">
      <c r="T58" s="2298"/>
      <c r="U58" s="838" t="s">
        <v>1219</v>
      </c>
      <c r="V58" s="839">
        <v>3.5000000000000003E-2</v>
      </c>
    </row>
    <row r="59" spans="3:22">
      <c r="T59" s="2296" t="s">
        <v>1220</v>
      </c>
      <c r="U59" s="838" t="s">
        <v>1221</v>
      </c>
      <c r="V59" s="839">
        <v>0.04</v>
      </c>
    </row>
    <row r="60" spans="3:22">
      <c r="T60" s="2298"/>
      <c r="U60" s="838" t="s">
        <v>1222</v>
      </c>
      <c r="V60" s="839">
        <v>5.1999999999999998E-2</v>
      </c>
    </row>
    <row r="61" spans="3:22" ht="14.25" customHeight="1">
      <c r="T61" s="838" t="s">
        <v>1223</v>
      </c>
      <c r="U61" s="836"/>
      <c r="V61" s="837"/>
    </row>
    <row r="62" spans="3:22" ht="18.75" customHeight="1">
      <c r="U62" s="829"/>
      <c r="V62" s="842">
        <f>MATCH('（例示）対策後の熱貫流率計算根拠'!$E27,'（例示）対策後の熱貫流率計算根拠'!U4:U61,0)</f>
        <v>1</v>
      </c>
    </row>
    <row r="63" spans="3:22" ht="18.75" customHeight="1">
      <c r="U63" s="829"/>
      <c r="V63" s="842">
        <f>MATCH('（例示）対策後の熱貫流率計算根拠'!$E46,'（例示）対策後の熱貫流率計算根拠'!U4:U61,0)</f>
        <v>1</v>
      </c>
    </row>
    <row r="64" spans="3:22" ht="18.75" customHeight="1"/>
    <row r="65" spans="20:20" ht="18.75" customHeight="1">
      <c r="T65" s="829"/>
    </row>
    <row r="66" spans="20:20" ht="18.75" customHeight="1">
      <c r="T66" s="829"/>
    </row>
  </sheetData>
  <mergeCells count="23">
    <mergeCell ref="E27:J27"/>
    <mergeCell ref="T24:T27"/>
    <mergeCell ref="B1:M1"/>
    <mergeCell ref="T13:T23"/>
    <mergeCell ref="E20:K21"/>
    <mergeCell ref="E22:K22"/>
    <mergeCell ref="T4:T12"/>
    <mergeCell ref="C31:E31"/>
    <mergeCell ref="T28:T32"/>
    <mergeCell ref="C33:D33"/>
    <mergeCell ref="T33:T34"/>
    <mergeCell ref="D37:E42"/>
    <mergeCell ref="F37:G42"/>
    <mergeCell ref="T37:T39"/>
    <mergeCell ref="T54:T58"/>
    <mergeCell ref="T59:T60"/>
    <mergeCell ref="T40:T41"/>
    <mergeCell ref="T42:T46"/>
    <mergeCell ref="E46:J46"/>
    <mergeCell ref="C50:E50"/>
    <mergeCell ref="T47:T50"/>
    <mergeCell ref="C52:D52"/>
    <mergeCell ref="T51:T53"/>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P58"/>
  <sheetViews>
    <sheetView showZeros="0" view="pageBreakPreview" topLeftCell="A2" zoomScaleNormal="100" zoomScaleSheetLayoutView="100" workbookViewId="0">
      <selection activeCell="Y25" sqref="Y25:AC25"/>
    </sheetView>
  </sheetViews>
  <sheetFormatPr defaultRowHeight="18" customHeight="1"/>
  <cols>
    <col min="1" max="1" width="1.26953125" style="571" customWidth="1"/>
    <col min="2" max="2" width="3.6328125" style="571" customWidth="1"/>
    <col min="3" max="60" width="2.6328125" style="571" customWidth="1"/>
    <col min="61" max="257" width="9" style="571"/>
    <col min="258" max="290" width="2.6328125" style="571" customWidth="1"/>
    <col min="291" max="291" width="2.36328125" style="571" customWidth="1"/>
    <col min="292" max="316" width="2.6328125" style="571" customWidth="1"/>
    <col min="317" max="513" width="9" style="571"/>
    <col min="514" max="546" width="2.6328125" style="571" customWidth="1"/>
    <col min="547" max="547" width="2.36328125" style="571" customWidth="1"/>
    <col min="548" max="572" width="2.6328125" style="571" customWidth="1"/>
    <col min="573" max="769" width="9" style="571"/>
    <col min="770" max="802" width="2.6328125" style="571" customWidth="1"/>
    <col min="803" max="803" width="2.36328125" style="571" customWidth="1"/>
    <col min="804" max="828" width="2.6328125" style="571" customWidth="1"/>
    <col min="829" max="1025" width="9" style="571"/>
    <col min="1026" max="1058" width="2.6328125" style="571" customWidth="1"/>
    <col min="1059" max="1059" width="2.36328125" style="571" customWidth="1"/>
    <col min="1060" max="1084" width="2.6328125" style="571" customWidth="1"/>
    <col min="1085" max="1281" width="9" style="571"/>
    <col min="1282" max="1314" width="2.6328125" style="571" customWidth="1"/>
    <col min="1315" max="1315" width="2.36328125" style="571" customWidth="1"/>
    <col min="1316" max="1340" width="2.6328125" style="571" customWidth="1"/>
    <col min="1341" max="1537" width="9" style="571"/>
    <col min="1538" max="1570" width="2.6328125" style="571" customWidth="1"/>
    <col min="1571" max="1571" width="2.36328125" style="571" customWidth="1"/>
    <col min="1572" max="1596" width="2.6328125" style="571" customWidth="1"/>
    <col min="1597" max="1793" width="9" style="571"/>
    <col min="1794" max="1826" width="2.6328125" style="571" customWidth="1"/>
    <col min="1827" max="1827" width="2.36328125" style="571" customWidth="1"/>
    <col min="1828" max="1852" width="2.6328125" style="571" customWidth="1"/>
    <col min="1853" max="2049" width="9" style="571"/>
    <col min="2050" max="2082" width="2.6328125" style="571" customWidth="1"/>
    <col min="2083" max="2083" width="2.36328125" style="571" customWidth="1"/>
    <col min="2084" max="2108" width="2.6328125" style="571" customWidth="1"/>
    <col min="2109" max="2305" width="9" style="571"/>
    <col min="2306" max="2338" width="2.6328125" style="571" customWidth="1"/>
    <col min="2339" max="2339" width="2.36328125" style="571" customWidth="1"/>
    <col min="2340" max="2364" width="2.6328125" style="571" customWidth="1"/>
    <col min="2365" max="2561" width="9" style="571"/>
    <col min="2562" max="2594" width="2.6328125" style="571" customWidth="1"/>
    <col min="2595" max="2595" width="2.36328125" style="571" customWidth="1"/>
    <col min="2596" max="2620" width="2.6328125" style="571" customWidth="1"/>
    <col min="2621" max="2817" width="9" style="571"/>
    <col min="2818" max="2850" width="2.6328125" style="571" customWidth="1"/>
    <col min="2851" max="2851" width="2.36328125" style="571" customWidth="1"/>
    <col min="2852" max="2876" width="2.6328125" style="571" customWidth="1"/>
    <col min="2877" max="3073" width="9" style="571"/>
    <col min="3074" max="3106" width="2.6328125" style="571" customWidth="1"/>
    <col min="3107" max="3107" width="2.36328125" style="571" customWidth="1"/>
    <col min="3108" max="3132" width="2.6328125" style="571" customWidth="1"/>
    <col min="3133" max="3329" width="9" style="571"/>
    <col min="3330" max="3362" width="2.6328125" style="571" customWidth="1"/>
    <col min="3363" max="3363" width="2.36328125" style="571" customWidth="1"/>
    <col min="3364" max="3388" width="2.6328125" style="571" customWidth="1"/>
    <col min="3389" max="3585" width="9" style="571"/>
    <col min="3586" max="3618" width="2.6328125" style="571" customWidth="1"/>
    <col min="3619" max="3619" width="2.36328125" style="571" customWidth="1"/>
    <col min="3620" max="3644" width="2.6328125" style="571" customWidth="1"/>
    <col min="3645" max="3841" width="9" style="571"/>
    <col min="3842" max="3874" width="2.6328125" style="571" customWidth="1"/>
    <col min="3875" max="3875" width="2.36328125" style="571" customWidth="1"/>
    <col min="3876" max="3900" width="2.6328125" style="571" customWidth="1"/>
    <col min="3901" max="4097" width="9" style="571"/>
    <col min="4098" max="4130" width="2.6328125" style="571" customWidth="1"/>
    <col min="4131" max="4131" width="2.36328125" style="571" customWidth="1"/>
    <col min="4132" max="4156" width="2.6328125" style="571" customWidth="1"/>
    <col min="4157" max="4353" width="9" style="571"/>
    <col min="4354" max="4386" width="2.6328125" style="571" customWidth="1"/>
    <col min="4387" max="4387" width="2.36328125" style="571" customWidth="1"/>
    <col min="4388" max="4412" width="2.6328125" style="571" customWidth="1"/>
    <col min="4413" max="4609" width="9" style="571"/>
    <col min="4610" max="4642" width="2.6328125" style="571" customWidth="1"/>
    <col min="4643" max="4643" width="2.36328125" style="571" customWidth="1"/>
    <col min="4644" max="4668" width="2.6328125" style="571" customWidth="1"/>
    <col min="4669" max="4865" width="9" style="571"/>
    <col min="4866" max="4898" width="2.6328125" style="571" customWidth="1"/>
    <col min="4899" max="4899" width="2.36328125" style="571" customWidth="1"/>
    <col min="4900" max="4924" width="2.6328125" style="571" customWidth="1"/>
    <col min="4925" max="5121" width="9" style="571"/>
    <col min="5122" max="5154" width="2.6328125" style="571" customWidth="1"/>
    <col min="5155" max="5155" width="2.36328125" style="571" customWidth="1"/>
    <col min="5156" max="5180" width="2.6328125" style="571" customWidth="1"/>
    <col min="5181" max="5377" width="9" style="571"/>
    <col min="5378" max="5410" width="2.6328125" style="571" customWidth="1"/>
    <col min="5411" max="5411" width="2.36328125" style="571" customWidth="1"/>
    <col min="5412" max="5436" width="2.6328125" style="571" customWidth="1"/>
    <col min="5437" max="5633" width="9" style="571"/>
    <col min="5634" max="5666" width="2.6328125" style="571" customWidth="1"/>
    <col min="5667" max="5667" width="2.36328125" style="571" customWidth="1"/>
    <col min="5668" max="5692" width="2.6328125" style="571" customWidth="1"/>
    <col min="5693" max="5889" width="9" style="571"/>
    <col min="5890" max="5922" width="2.6328125" style="571" customWidth="1"/>
    <col min="5923" max="5923" width="2.36328125" style="571" customWidth="1"/>
    <col min="5924" max="5948" width="2.6328125" style="571" customWidth="1"/>
    <col min="5949" max="6145" width="9" style="571"/>
    <col min="6146" max="6178" width="2.6328125" style="571" customWidth="1"/>
    <col min="6179" max="6179" width="2.36328125" style="571" customWidth="1"/>
    <col min="6180" max="6204" width="2.6328125" style="571" customWidth="1"/>
    <col min="6205" max="6401" width="9" style="571"/>
    <col min="6402" max="6434" width="2.6328125" style="571" customWidth="1"/>
    <col min="6435" max="6435" width="2.36328125" style="571" customWidth="1"/>
    <col min="6436" max="6460" width="2.6328125" style="571" customWidth="1"/>
    <col min="6461" max="6657" width="9" style="571"/>
    <col min="6658" max="6690" width="2.6328125" style="571" customWidth="1"/>
    <col min="6691" max="6691" width="2.36328125" style="571" customWidth="1"/>
    <col min="6692" max="6716" width="2.6328125" style="571" customWidth="1"/>
    <col min="6717" max="6913" width="9" style="571"/>
    <col min="6914" max="6946" width="2.6328125" style="571" customWidth="1"/>
    <col min="6947" max="6947" width="2.36328125" style="571" customWidth="1"/>
    <col min="6948" max="6972" width="2.6328125" style="571" customWidth="1"/>
    <col min="6973" max="7169" width="9" style="571"/>
    <col min="7170" max="7202" width="2.6328125" style="571" customWidth="1"/>
    <col min="7203" max="7203" width="2.36328125" style="571" customWidth="1"/>
    <col min="7204" max="7228" width="2.6328125" style="571" customWidth="1"/>
    <col min="7229" max="7425" width="9" style="571"/>
    <col min="7426" max="7458" width="2.6328125" style="571" customWidth="1"/>
    <col min="7459" max="7459" width="2.36328125" style="571" customWidth="1"/>
    <col min="7460" max="7484" width="2.6328125" style="571" customWidth="1"/>
    <col min="7485" max="7681" width="9" style="571"/>
    <col min="7682" max="7714" width="2.6328125" style="571" customWidth="1"/>
    <col min="7715" max="7715" width="2.36328125" style="571" customWidth="1"/>
    <col min="7716" max="7740" width="2.6328125" style="571" customWidth="1"/>
    <col min="7741" max="7937" width="9" style="571"/>
    <col min="7938" max="7970" width="2.6328125" style="571" customWidth="1"/>
    <col min="7971" max="7971" width="2.36328125" style="571" customWidth="1"/>
    <col min="7972" max="7996" width="2.6328125" style="571" customWidth="1"/>
    <col min="7997" max="8193" width="9" style="571"/>
    <col min="8194" max="8226" width="2.6328125" style="571" customWidth="1"/>
    <col min="8227" max="8227" width="2.36328125" style="571" customWidth="1"/>
    <col min="8228" max="8252" width="2.6328125" style="571" customWidth="1"/>
    <col min="8253" max="8449" width="9" style="571"/>
    <col min="8450" max="8482" width="2.6328125" style="571" customWidth="1"/>
    <col min="8483" max="8483" width="2.36328125" style="571" customWidth="1"/>
    <col min="8484" max="8508" width="2.6328125" style="571" customWidth="1"/>
    <col min="8509" max="8705" width="9" style="571"/>
    <col min="8706" max="8738" width="2.6328125" style="571" customWidth="1"/>
    <col min="8739" max="8739" width="2.36328125" style="571" customWidth="1"/>
    <col min="8740" max="8764" width="2.6328125" style="571" customWidth="1"/>
    <col min="8765" max="8961" width="9" style="571"/>
    <col min="8962" max="8994" width="2.6328125" style="571" customWidth="1"/>
    <col min="8995" max="8995" width="2.36328125" style="571" customWidth="1"/>
    <col min="8996" max="9020" width="2.6328125" style="571" customWidth="1"/>
    <col min="9021" max="9217" width="9" style="571"/>
    <col min="9218" max="9250" width="2.6328125" style="571" customWidth="1"/>
    <col min="9251" max="9251" width="2.36328125" style="571" customWidth="1"/>
    <col min="9252" max="9276" width="2.6328125" style="571" customWidth="1"/>
    <col min="9277" max="9473" width="9" style="571"/>
    <col min="9474" max="9506" width="2.6328125" style="571" customWidth="1"/>
    <col min="9507" max="9507" width="2.36328125" style="571" customWidth="1"/>
    <col min="9508" max="9532" width="2.6328125" style="571" customWidth="1"/>
    <col min="9533" max="9729" width="9" style="571"/>
    <col min="9730" max="9762" width="2.6328125" style="571" customWidth="1"/>
    <col min="9763" max="9763" width="2.36328125" style="571" customWidth="1"/>
    <col min="9764" max="9788" width="2.6328125" style="571" customWidth="1"/>
    <col min="9789" max="9985" width="9" style="571"/>
    <col min="9986" max="10018" width="2.6328125" style="571" customWidth="1"/>
    <col min="10019" max="10019" width="2.36328125" style="571" customWidth="1"/>
    <col min="10020" max="10044" width="2.6328125" style="571" customWidth="1"/>
    <col min="10045" max="10241" width="9" style="571"/>
    <col min="10242" max="10274" width="2.6328125" style="571" customWidth="1"/>
    <col min="10275" max="10275" width="2.36328125" style="571" customWidth="1"/>
    <col min="10276" max="10300" width="2.6328125" style="571" customWidth="1"/>
    <col min="10301" max="10497" width="9" style="571"/>
    <col min="10498" max="10530" width="2.6328125" style="571" customWidth="1"/>
    <col min="10531" max="10531" width="2.36328125" style="571" customWidth="1"/>
    <col min="10532" max="10556" width="2.6328125" style="571" customWidth="1"/>
    <col min="10557" max="10753" width="9" style="571"/>
    <col min="10754" max="10786" width="2.6328125" style="571" customWidth="1"/>
    <col min="10787" max="10787" width="2.36328125" style="571" customWidth="1"/>
    <col min="10788" max="10812" width="2.6328125" style="571" customWidth="1"/>
    <col min="10813" max="11009" width="9" style="571"/>
    <col min="11010" max="11042" width="2.6328125" style="571" customWidth="1"/>
    <col min="11043" max="11043" width="2.36328125" style="571" customWidth="1"/>
    <col min="11044" max="11068" width="2.6328125" style="571" customWidth="1"/>
    <col min="11069" max="11265" width="9" style="571"/>
    <col min="11266" max="11298" width="2.6328125" style="571" customWidth="1"/>
    <col min="11299" max="11299" width="2.36328125" style="571" customWidth="1"/>
    <col min="11300" max="11324" width="2.6328125" style="571" customWidth="1"/>
    <col min="11325" max="11521" width="9" style="571"/>
    <col min="11522" max="11554" width="2.6328125" style="571" customWidth="1"/>
    <col min="11555" max="11555" width="2.36328125" style="571" customWidth="1"/>
    <col min="11556" max="11580" width="2.6328125" style="571" customWidth="1"/>
    <col min="11581" max="11777" width="9" style="571"/>
    <col min="11778" max="11810" width="2.6328125" style="571" customWidth="1"/>
    <col min="11811" max="11811" width="2.36328125" style="571" customWidth="1"/>
    <col min="11812" max="11836" width="2.6328125" style="571" customWidth="1"/>
    <col min="11837" max="12033" width="9" style="571"/>
    <col min="12034" max="12066" width="2.6328125" style="571" customWidth="1"/>
    <col min="12067" max="12067" width="2.36328125" style="571" customWidth="1"/>
    <col min="12068" max="12092" width="2.6328125" style="571" customWidth="1"/>
    <col min="12093" max="12289" width="9" style="571"/>
    <col min="12290" max="12322" width="2.6328125" style="571" customWidth="1"/>
    <col min="12323" max="12323" width="2.36328125" style="571" customWidth="1"/>
    <col min="12324" max="12348" width="2.6328125" style="571" customWidth="1"/>
    <col min="12349" max="12545" width="9" style="571"/>
    <col min="12546" max="12578" width="2.6328125" style="571" customWidth="1"/>
    <col min="12579" max="12579" width="2.36328125" style="571" customWidth="1"/>
    <col min="12580" max="12604" width="2.6328125" style="571" customWidth="1"/>
    <col min="12605" max="12801" width="9" style="571"/>
    <col min="12802" max="12834" width="2.6328125" style="571" customWidth="1"/>
    <col min="12835" max="12835" width="2.36328125" style="571" customWidth="1"/>
    <col min="12836" max="12860" width="2.6328125" style="571" customWidth="1"/>
    <col min="12861" max="13057" width="9" style="571"/>
    <col min="13058" max="13090" width="2.6328125" style="571" customWidth="1"/>
    <col min="13091" max="13091" width="2.36328125" style="571" customWidth="1"/>
    <col min="13092" max="13116" width="2.6328125" style="571" customWidth="1"/>
    <col min="13117" max="13313" width="9" style="571"/>
    <col min="13314" max="13346" width="2.6328125" style="571" customWidth="1"/>
    <col min="13347" max="13347" width="2.36328125" style="571" customWidth="1"/>
    <col min="13348" max="13372" width="2.6328125" style="571" customWidth="1"/>
    <col min="13373" max="13569" width="9" style="571"/>
    <col min="13570" max="13602" width="2.6328125" style="571" customWidth="1"/>
    <col min="13603" max="13603" width="2.36328125" style="571" customWidth="1"/>
    <col min="13604" max="13628" width="2.6328125" style="571" customWidth="1"/>
    <col min="13629" max="13825" width="9" style="571"/>
    <col min="13826" max="13858" width="2.6328125" style="571" customWidth="1"/>
    <col min="13859" max="13859" width="2.36328125" style="571" customWidth="1"/>
    <col min="13860" max="13884" width="2.6328125" style="571" customWidth="1"/>
    <col min="13885" max="14081" width="9" style="571"/>
    <col min="14082" max="14114" width="2.6328125" style="571" customWidth="1"/>
    <col min="14115" max="14115" width="2.36328125" style="571" customWidth="1"/>
    <col min="14116" max="14140" width="2.6328125" style="571" customWidth="1"/>
    <col min="14141" max="14337" width="9" style="571"/>
    <col min="14338" max="14370" width="2.6328125" style="571" customWidth="1"/>
    <col min="14371" max="14371" width="2.36328125" style="571" customWidth="1"/>
    <col min="14372" max="14396" width="2.6328125" style="571" customWidth="1"/>
    <col min="14397" max="14593" width="9" style="571"/>
    <col min="14594" max="14626" width="2.6328125" style="571" customWidth="1"/>
    <col min="14627" max="14627" width="2.36328125" style="571" customWidth="1"/>
    <col min="14628" max="14652" width="2.6328125" style="571" customWidth="1"/>
    <col min="14653" max="14849" width="9" style="571"/>
    <col min="14850" max="14882" width="2.6328125" style="571" customWidth="1"/>
    <col min="14883" max="14883" width="2.36328125" style="571" customWidth="1"/>
    <col min="14884" max="14908" width="2.6328125" style="571" customWidth="1"/>
    <col min="14909" max="15105" width="9" style="571"/>
    <col min="15106" max="15138" width="2.6328125" style="571" customWidth="1"/>
    <col min="15139" max="15139" width="2.36328125" style="571" customWidth="1"/>
    <col min="15140" max="15164" width="2.6328125" style="571" customWidth="1"/>
    <col min="15165" max="15361" width="9" style="571"/>
    <col min="15362" max="15394" width="2.6328125" style="571" customWidth="1"/>
    <col min="15395" max="15395" width="2.36328125" style="571" customWidth="1"/>
    <col min="15396" max="15420" width="2.6328125" style="571" customWidth="1"/>
    <col min="15421" max="15617" width="9" style="571"/>
    <col min="15618" max="15650" width="2.6328125" style="571" customWidth="1"/>
    <col min="15651" max="15651" width="2.36328125" style="571" customWidth="1"/>
    <col min="15652" max="15676" width="2.6328125" style="571" customWidth="1"/>
    <col min="15677" max="15873" width="9" style="571"/>
    <col min="15874" max="15906" width="2.6328125" style="571" customWidth="1"/>
    <col min="15907" max="15907" width="2.36328125" style="571" customWidth="1"/>
    <col min="15908" max="15932" width="2.6328125" style="571" customWidth="1"/>
    <col min="15933" max="16129" width="9" style="571"/>
    <col min="16130" max="16162" width="2.6328125" style="571" customWidth="1"/>
    <col min="16163" max="16163" width="2.36328125" style="571" customWidth="1"/>
    <col min="16164" max="16188" width="2.6328125" style="571" customWidth="1"/>
    <col min="16189" max="16384" width="9" style="571"/>
  </cols>
  <sheetData>
    <row r="1" spans="1:36" ht="18" hidden="1" customHeight="1">
      <c r="B1" s="571">
        <v>1</v>
      </c>
      <c r="C1" s="571">
        <v>2</v>
      </c>
      <c r="D1" s="571">
        <v>3</v>
      </c>
      <c r="E1" s="571">
        <v>4</v>
      </c>
      <c r="F1" s="571">
        <v>5</v>
      </c>
      <c r="G1" s="571">
        <v>6</v>
      </c>
      <c r="H1" s="571">
        <v>7</v>
      </c>
      <c r="I1" s="571">
        <v>8</v>
      </c>
      <c r="J1" s="571">
        <v>9</v>
      </c>
      <c r="K1" s="571">
        <v>10</v>
      </c>
      <c r="L1" s="571">
        <v>11</v>
      </c>
      <c r="M1" s="571">
        <v>12</v>
      </c>
      <c r="N1" s="571">
        <v>13</v>
      </c>
      <c r="O1" s="571">
        <v>14</v>
      </c>
      <c r="P1" s="571">
        <v>15</v>
      </c>
      <c r="Q1" s="571">
        <v>16</v>
      </c>
      <c r="R1" s="571">
        <v>17</v>
      </c>
      <c r="S1" s="571">
        <v>18</v>
      </c>
      <c r="T1" s="571">
        <v>19</v>
      </c>
      <c r="U1" s="571">
        <v>20</v>
      </c>
      <c r="V1" s="571">
        <v>21</v>
      </c>
      <c r="W1" s="571">
        <v>22</v>
      </c>
      <c r="X1" s="571">
        <v>23</v>
      </c>
      <c r="Y1" s="571">
        <v>24</v>
      </c>
      <c r="Z1" s="571">
        <v>25</v>
      </c>
      <c r="AA1" s="571">
        <v>26</v>
      </c>
      <c r="AB1" s="571">
        <v>27</v>
      </c>
      <c r="AC1" s="571">
        <v>28</v>
      </c>
      <c r="AD1" s="571">
        <v>29</v>
      </c>
      <c r="AE1" s="571">
        <v>30</v>
      </c>
      <c r="AF1" s="571">
        <v>31</v>
      </c>
      <c r="AG1" s="571">
        <v>32</v>
      </c>
      <c r="AH1" s="571">
        <v>33</v>
      </c>
      <c r="AI1" s="571">
        <v>34</v>
      </c>
    </row>
    <row r="2" spans="1:36" ht="18" customHeight="1">
      <c r="A2" s="1540" t="s">
        <v>1015</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row>
    <row r="3" spans="1:36" s="665" customFormat="1" ht="12">
      <c r="AI3" s="584"/>
    </row>
    <row r="4" spans="1:36" ht="18" customHeight="1">
      <c r="B4" s="666" t="s">
        <v>990</v>
      </c>
      <c r="AI4" s="667" t="s">
        <v>615</v>
      </c>
    </row>
    <row r="5" spans="1:36" ht="18" customHeight="1">
      <c r="B5" s="1617" t="s">
        <v>576</v>
      </c>
      <c r="C5" s="1618"/>
      <c r="D5" s="1618"/>
      <c r="E5" s="1618"/>
      <c r="F5" s="1618"/>
      <c r="G5" s="1618"/>
      <c r="H5" s="1618"/>
      <c r="I5" s="1618"/>
      <c r="J5" s="1618"/>
      <c r="K5" s="1618"/>
      <c r="L5" s="1619"/>
      <c r="M5" s="1623" t="s">
        <v>616</v>
      </c>
      <c r="N5" s="1624"/>
      <c r="O5" s="1624"/>
      <c r="P5" s="1624"/>
      <c r="Q5" s="1624"/>
      <c r="R5" s="1624"/>
      <c r="S5" s="1624"/>
      <c r="T5" s="1624"/>
      <c r="U5" s="1624"/>
      <c r="V5" s="1624"/>
      <c r="W5" s="1624"/>
      <c r="X5" s="1624"/>
      <c r="Y5" s="1623" t="s">
        <v>577</v>
      </c>
      <c r="Z5" s="1624"/>
      <c r="AA5" s="1624"/>
      <c r="AB5" s="1624"/>
      <c r="AC5" s="1625"/>
      <c r="AD5" s="1624" t="s">
        <v>578</v>
      </c>
      <c r="AE5" s="1624"/>
      <c r="AF5" s="1624"/>
      <c r="AG5" s="1624"/>
      <c r="AH5" s="1624"/>
      <c r="AI5" s="1625"/>
    </row>
    <row r="6" spans="1:36" ht="18" customHeight="1">
      <c r="B6" s="1620"/>
      <c r="C6" s="1621"/>
      <c r="D6" s="1621"/>
      <c r="E6" s="1621"/>
      <c r="F6" s="1621"/>
      <c r="G6" s="1621"/>
      <c r="H6" s="1621"/>
      <c r="I6" s="1621"/>
      <c r="J6" s="1621"/>
      <c r="K6" s="1621"/>
      <c r="L6" s="1622"/>
      <c r="M6" s="1629" t="s">
        <v>579</v>
      </c>
      <c r="N6" s="1629"/>
      <c r="O6" s="1629"/>
      <c r="P6" s="1629"/>
      <c r="Q6" s="1629"/>
      <c r="R6" s="1629" t="s">
        <v>580</v>
      </c>
      <c r="S6" s="1629"/>
      <c r="T6" s="1629" t="s">
        <v>581</v>
      </c>
      <c r="U6" s="1629"/>
      <c r="V6" s="1629"/>
      <c r="W6" s="1629"/>
      <c r="X6" s="1630"/>
      <c r="Y6" s="1626"/>
      <c r="Z6" s="1627"/>
      <c r="AA6" s="1627"/>
      <c r="AB6" s="1627"/>
      <c r="AC6" s="1628"/>
      <c r="AD6" s="1627"/>
      <c r="AE6" s="1627"/>
      <c r="AF6" s="1627"/>
      <c r="AG6" s="1627"/>
      <c r="AH6" s="1627"/>
      <c r="AI6" s="1628"/>
    </row>
    <row r="7" spans="1:36" ht="16.75" customHeight="1">
      <c r="B7" s="1585" t="s">
        <v>582</v>
      </c>
      <c r="C7" s="1602"/>
      <c r="D7" s="1603"/>
      <c r="E7" s="1603"/>
      <c r="F7" s="1603"/>
      <c r="G7" s="1603"/>
      <c r="H7" s="1603"/>
      <c r="I7" s="1603"/>
      <c r="J7" s="1603"/>
      <c r="K7" s="1603"/>
      <c r="L7" s="1603"/>
      <c r="M7" s="1606"/>
      <c r="N7" s="1606"/>
      <c r="O7" s="1606"/>
      <c r="P7" s="1606"/>
      <c r="Q7" s="1606"/>
      <c r="R7" s="1606"/>
      <c r="S7" s="1606"/>
      <c r="T7" s="1616">
        <f t="shared" ref="T7:T18" si="0">ROUND(M7*R7,0)</f>
        <v>0</v>
      </c>
      <c r="U7" s="1616"/>
      <c r="V7" s="1616"/>
      <c r="W7" s="1616"/>
      <c r="X7" s="1616"/>
      <c r="Y7" s="1606"/>
      <c r="Z7" s="1606"/>
      <c r="AA7" s="1606"/>
      <c r="AB7" s="1606"/>
      <c r="AC7" s="1606"/>
      <c r="AD7" s="1616">
        <f t="shared" ref="AD7:AD31" si="1">T7+Y7</f>
        <v>0</v>
      </c>
      <c r="AE7" s="1616"/>
      <c r="AF7" s="1616"/>
      <c r="AG7" s="1616"/>
      <c r="AH7" s="1616"/>
      <c r="AI7" s="1616"/>
    </row>
    <row r="8" spans="1:36" ht="16.75" customHeight="1">
      <c r="B8" s="1586"/>
      <c r="C8" s="1594"/>
      <c r="D8" s="1595"/>
      <c r="E8" s="1595"/>
      <c r="F8" s="1595"/>
      <c r="G8" s="1595"/>
      <c r="H8" s="1595"/>
      <c r="I8" s="1595"/>
      <c r="J8" s="1595"/>
      <c r="K8" s="1595"/>
      <c r="L8" s="1596"/>
      <c r="M8" s="1610"/>
      <c r="N8" s="1611"/>
      <c r="O8" s="1611"/>
      <c r="P8" s="1611"/>
      <c r="Q8" s="1612"/>
      <c r="R8" s="1610"/>
      <c r="S8" s="1612"/>
      <c r="T8" s="1613">
        <f t="shared" si="0"/>
        <v>0</v>
      </c>
      <c r="U8" s="1614"/>
      <c r="V8" s="1614"/>
      <c r="W8" s="1614"/>
      <c r="X8" s="1615"/>
      <c r="Y8" s="1610"/>
      <c r="Z8" s="1611"/>
      <c r="AA8" s="1611"/>
      <c r="AB8" s="1611"/>
      <c r="AC8" s="1612"/>
      <c r="AD8" s="1613">
        <f t="shared" ref="AD8:AD16" si="2">T8+Y8</f>
        <v>0</v>
      </c>
      <c r="AE8" s="1614"/>
      <c r="AF8" s="1614"/>
      <c r="AG8" s="1614"/>
      <c r="AH8" s="1614"/>
      <c r="AI8" s="1615"/>
    </row>
    <row r="9" spans="1:36" ht="16.75" customHeight="1">
      <c r="B9" s="1586"/>
      <c r="C9" s="1594"/>
      <c r="D9" s="1595"/>
      <c r="E9" s="1595"/>
      <c r="F9" s="1595"/>
      <c r="G9" s="1595"/>
      <c r="H9" s="1595"/>
      <c r="I9" s="1595"/>
      <c r="J9" s="1595"/>
      <c r="K9" s="1595"/>
      <c r="L9" s="1596"/>
      <c r="M9" s="1610"/>
      <c r="N9" s="1611"/>
      <c r="O9" s="1611"/>
      <c r="P9" s="1611"/>
      <c r="Q9" s="1612"/>
      <c r="R9" s="1610"/>
      <c r="S9" s="1612"/>
      <c r="T9" s="1613">
        <f t="shared" si="0"/>
        <v>0</v>
      </c>
      <c r="U9" s="1614"/>
      <c r="V9" s="1614"/>
      <c r="W9" s="1614"/>
      <c r="X9" s="1615"/>
      <c r="Y9" s="1610"/>
      <c r="Z9" s="1611"/>
      <c r="AA9" s="1611"/>
      <c r="AB9" s="1611"/>
      <c r="AC9" s="1612"/>
      <c r="AD9" s="1613">
        <f t="shared" si="2"/>
        <v>0</v>
      </c>
      <c r="AE9" s="1614"/>
      <c r="AF9" s="1614"/>
      <c r="AG9" s="1614"/>
      <c r="AH9" s="1614"/>
      <c r="AI9" s="1615"/>
    </row>
    <row r="10" spans="1:36" ht="16.75" customHeight="1">
      <c r="B10" s="1586"/>
      <c r="C10" s="1594"/>
      <c r="D10" s="1595"/>
      <c r="E10" s="1595"/>
      <c r="F10" s="1595"/>
      <c r="G10" s="1595"/>
      <c r="H10" s="1595"/>
      <c r="I10" s="1595"/>
      <c r="J10" s="1595"/>
      <c r="K10" s="1595"/>
      <c r="L10" s="1596"/>
      <c r="M10" s="1610"/>
      <c r="N10" s="1611"/>
      <c r="O10" s="1611"/>
      <c r="P10" s="1611"/>
      <c r="Q10" s="1612"/>
      <c r="R10" s="1610"/>
      <c r="S10" s="1612"/>
      <c r="T10" s="1613">
        <f t="shared" ref="T10:T15" si="3">ROUND(M10*R10,0)</f>
        <v>0</v>
      </c>
      <c r="U10" s="1614"/>
      <c r="V10" s="1614"/>
      <c r="W10" s="1614"/>
      <c r="X10" s="1615"/>
      <c r="Y10" s="1610"/>
      <c r="Z10" s="1611"/>
      <c r="AA10" s="1611"/>
      <c r="AB10" s="1611"/>
      <c r="AC10" s="1612"/>
      <c r="AD10" s="1613">
        <f t="shared" si="2"/>
        <v>0</v>
      </c>
      <c r="AE10" s="1614"/>
      <c r="AF10" s="1614"/>
      <c r="AG10" s="1614"/>
      <c r="AH10" s="1614"/>
      <c r="AI10" s="1615"/>
    </row>
    <row r="11" spans="1:36" ht="16.75" customHeight="1">
      <c r="B11" s="1586"/>
      <c r="C11" s="1594"/>
      <c r="D11" s="1595"/>
      <c r="E11" s="1595"/>
      <c r="F11" s="1595"/>
      <c r="G11" s="1595"/>
      <c r="H11" s="1595"/>
      <c r="I11" s="1595"/>
      <c r="J11" s="1595"/>
      <c r="K11" s="1595"/>
      <c r="L11" s="1596"/>
      <c r="M11" s="1610"/>
      <c r="N11" s="1611"/>
      <c r="O11" s="1611"/>
      <c r="P11" s="1611"/>
      <c r="Q11" s="1612"/>
      <c r="R11" s="1610"/>
      <c r="S11" s="1612"/>
      <c r="T11" s="1613">
        <f t="shared" si="3"/>
        <v>0</v>
      </c>
      <c r="U11" s="1614"/>
      <c r="V11" s="1614"/>
      <c r="W11" s="1614"/>
      <c r="X11" s="1615"/>
      <c r="Y11" s="1610"/>
      <c r="Z11" s="1611"/>
      <c r="AA11" s="1611"/>
      <c r="AB11" s="1611"/>
      <c r="AC11" s="1612"/>
      <c r="AD11" s="1613">
        <f t="shared" si="2"/>
        <v>0</v>
      </c>
      <c r="AE11" s="1614"/>
      <c r="AF11" s="1614"/>
      <c r="AG11" s="1614"/>
      <c r="AH11" s="1614"/>
      <c r="AI11" s="1615"/>
    </row>
    <row r="12" spans="1:36" ht="16.75" customHeight="1">
      <c r="B12" s="1586"/>
      <c r="C12" s="1594"/>
      <c r="D12" s="1595"/>
      <c r="E12" s="1595"/>
      <c r="F12" s="1595"/>
      <c r="G12" s="1595"/>
      <c r="H12" s="1595"/>
      <c r="I12" s="1595"/>
      <c r="J12" s="1595"/>
      <c r="K12" s="1595"/>
      <c r="L12" s="1596"/>
      <c r="M12" s="1610"/>
      <c r="N12" s="1611"/>
      <c r="O12" s="1611"/>
      <c r="P12" s="1611"/>
      <c r="Q12" s="1612"/>
      <c r="R12" s="1610"/>
      <c r="S12" s="1612"/>
      <c r="T12" s="1613">
        <f t="shared" si="3"/>
        <v>0</v>
      </c>
      <c r="U12" s="1614"/>
      <c r="V12" s="1614"/>
      <c r="W12" s="1614"/>
      <c r="X12" s="1615"/>
      <c r="Y12" s="1610"/>
      <c r="Z12" s="1611"/>
      <c r="AA12" s="1611"/>
      <c r="AB12" s="1611"/>
      <c r="AC12" s="1612"/>
      <c r="AD12" s="1613">
        <f t="shared" si="2"/>
        <v>0</v>
      </c>
      <c r="AE12" s="1614"/>
      <c r="AF12" s="1614"/>
      <c r="AG12" s="1614"/>
      <c r="AH12" s="1614"/>
      <c r="AI12" s="1615"/>
    </row>
    <row r="13" spans="1:36" ht="16.75" customHeight="1">
      <c r="B13" s="1586"/>
      <c r="C13" s="1594"/>
      <c r="D13" s="1595"/>
      <c r="E13" s="1595"/>
      <c r="F13" s="1595"/>
      <c r="G13" s="1595"/>
      <c r="H13" s="1595"/>
      <c r="I13" s="1595"/>
      <c r="J13" s="1595"/>
      <c r="K13" s="1595"/>
      <c r="L13" s="1596"/>
      <c r="M13" s="1610"/>
      <c r="N13" s="1611"/>
      <c r="O13" s="1611"/>
      <c r="P13" s="1611"/>
      <c r="Q13" s="1612"/>
      <c r="R13" s="1610"/>
      <c r="S13" s="1612"/>
      <c r="T13" s="1613">
        <f t="shared" si="3"/>
        <v>0</v>
      </c>
      <c r="U13" s="1614"/>
      <c r="V13" s="1614"/>
      <c r="W13" s="1614"/>
      <c r="X13" s="1615"/>
      <c r="Y13" s="1610"/>
      <c r="Z13" s="1611"/>
      <c r="AA13" s="1611"/>
      <c r="AB13" s="1611"/>
      <c r="AC13" s="1612"/>
      <c r="AD13" s="1613">
        <f t="shared" si="2"/>
        <v>0</v>
      </c>
      <c r="AE13" s="1614"/>
      <c r="AF13" s="1614"/>
      <c r="AG13" s="1614"/>
      <c r="AH13" s="1614"/>
      <c r="AI13" s="1615"/>
    </row>
    <row r="14" spans="1:36" ht="16.75" customHeight="1">
      <c r="B14" s="1586"/>
      <c r="C14" s="1594"/>
      <c r="D14" s="1595"/>
      <c r="E14" s="1595"/>
      <c r="F14" s="1595"/>
      <c r="G14" s="1595"/>
      <c r="H14" s="1595"/>
      <c r="I14" s="1595"/>
      <c r="J14" s="1595"/>
      <c r="K14" s="1595"/>
      <c r="L14" s="1596"/>
      <c r="M14" s="1610"/>
      <c r="N14" s="1611"/>
      <c r="O14" s="1611"/>
      <c r="P14" s="1611"/>
      <c r="Q14" s="1612"/>
      <c r="R14" s="1610"/>
      <c r="S14" s="1612"/>
      <c r="T14" s="1613">
        <f t="shared" si="3"/>
        <v>0</v>
      </c>
      <c r="U14" s="1614"/>
      <c r="V14" s="1614"/>
      <c r="W14" s="1614"/>
      <c r="X14" s="1615"/>
      <c r="Y14" s="1610"/>
      <c r="Z14" s="1611"/>
      <c r="AA14" s="1611"/>
      <c r="AB14" s="1611"/>
      <c r="AC14" s="1612"/>
      <c r="AD14" s="1613">
        <f t="shared" si="2"/>
        <v>0</v>
      </c>
      <c r="AE14" s="1614"/>
      <c r="AF14" s="1614"/>
      <c r="AG14" s="1614"/>
      <c r="AH14" s="1614"/>
      <c r="AI14" s="1615"/>
    </row>
    <row r="15" spans="1:36" ht="16.75" customHeight="1">
      <c r="B15" s="1586"/>
      <c r="C15" s="1594"/>
      <c r="D15" s="1595"/>
      <c r="E15" s="1595"/>
      <c r="F15" s="1595"/>
      <c r="G15" s="1595"/>
      <c r="H15" s="1595"/>
      <c r="I15" s="1595"/>
      <c r="J15" s="1595"/>
      <c r="K15" s="1595"/>
      <c r="L15" s="1596"/>
      <c r="M15" s="1610"/>
      <c r="N15" s="1611"/>
      <c r="O15" s="1611"/>
      <c r="P15" s="1611"/>
      <c r="Q15" s="1612"/>
      <c r="R15" s="1610"/>
      <c r="S15" s="1612"/>
      <c r="T15" s="1613">
        <f t="shared" si="3"/>
        <v>0</v>
      </c>
      <c r="U15" s="1614"/>
      <c r="V15" s="1614"/>
      <c r="W15" s="1614"/>
      <c r="X15" s="1615"/>
      <c r="Y15" s="1610"/>
      <c r="Z15" s="1611"/>
      <c r="AA15" s="1611"/>
      <c r="AB15" s="1611"/>
      <c r="AC15" s="1612"/>
      <c r="AD15" s="1613">
        <f t="shared" si="2"/>
        <v>0</v>
      </c>
      <c r="AE15" s="1614"/>
      <c r="AF15" s="1614"/>
      <c r="AG15" s="1614"/>
      <c r="AH15" s="1614"/>
      <c r="AI15" s="1615"/>
    </row>
    <row r="16" spans="1:36" ht="16.75" customHeight="1">
      <c r="B16" s="1586"/>
      <c r="C16" s="1594"/>
      <c r="D16" s="1595"/>
      <c r="E16" s="1595"/>
      <c r="F16" s="1595"/>
      <c r="G16" s="1595"/>
      <c r="H16" s="1595"/>
      <c r="I16" s="1595"/>
      <c r="J16" s="1595"/>
      <c r="K16" s="1595"/>
      <c r="L16" s="1596"/>
      <c r="M16" s="1610"/>
      <c r="N16" s="1611"/>
      <c r="O16" s="1611"/>
      <c r="P16" s="1611"/>
      <c r="Q16" s="1612"/>
      <c r="R16" s="1610"/>
      <c r="S16" s="1612"/>
      <c r="T16" s="1613">
        <f t="shared" si="0"/>
        <v>0</v>
      </c>
      <c r="U16" s="1614"/>
      <c r="V16" s="1614"/>
      <c r="W16" s="1614"/>
      <c r="X16" s="1615"/>
      <c r="Y16" s="1610"/>
      <c r="Z16" s="1611"/>
      <c r="AA16" s="1611"/>
      <c r="AB16" s="1611"/>
      <c r="AC16" s="1612"/>
      <c r="AD16" s="1613">
        <f t="shared" si="2"/>
        <v>0</v>
      </c>
      <c r="AE16" s="1614"/>
      <c r="AF16" s="1614"/>
      <c r="AG16" s="1614"/>
      <c r="AH16" s="1614"/>
      <c r="AI16" s="1615"/>
    </row>
    <row r="17" spans="2:42" ht="16.75" customHeight="1">
      <c r="B17" s="1586"/>
      <c r="C17" s="1594"/>
      <c r="D17" s="1595"/>
      <c r="E17" s="1595"/>
      <c r="F17" s="1595"/>
      <c r="G17" s="1595"/>
      <c r="H17" s="1595"/>
      <c r="I17" s="1595"/>
      <c r="J17" s="1595"/>
      <c r="K17" s="1595"/>
      <c r="L17" s="1596"/>
      <c r="M17" s="1610"/>
      <c r="N17" s="1611"/>
      <c r="O17" s="1611"/>
      <c r="P17" s="1611"/>
      <c r="Q17" s="1612"/>
      <c r="R17" s="1610"/>
      <c r="S17" s="1612"/>
      <c r="T17" s="1613">
        <f t="shared" si="0"/>
        <v>0</v>
      </c>
      <c r="U17" s="1614"/>
      <c r="V17" s="1614"/>
      <c r="W17" s="1614"/>
      <c r="X17" s="1615"/>
      <c r="Y17" s="1610"/>
      <c r="Z17" s="1611"/>
      <c r="AA17" s="1611"/>
      <c r="AB17" s="1611"/>
      <c r="AC17" s="1612"/>
      <c r="AD17" s="1613">
        <f t="shared" si="1"/>
        <v>0</v>
      </c>
      <c r="AE17" s="1614"/>
      <c r="AF17" s="1614"/>
      <c r="AG17" s="1614"/>
      <c r="AH17" s="1614"/>
      <c r="AI17" s="1615"/>
    </row>
    <row r="18" spans="2:42" ht="16.75" customHeight="1">
      <c r="B18" s="1586"/>
      <c r="C18" s="1607" t="s">
        <v>991</v>
      </c>
      <c r="D18" s="1608"/>
      <c r="E18" s="1608"/>
      <c r="F18" s="1608"/>
      <c r="G18" s="1608"/>
      <c r="H18" s="1608"/>
      <c r="I18" s="1608"/>
      <c r="J18" s="1608"/>
      <c r="K18" s="1608"/>
      <c r="L18" s="1609"/>
      <c r="M18" s="1610"/>
      <c r="N18" s="1611"/>
      <c r="O18" s="1611"/>
      <c r="P18" s="1611"/>
      <c r="Q18" s="1612"/>
      <c r="R18" s="1610"/>
      <c r="S18" s="1612"/>
      <c r="T18" s="1613">
        <f t="shared" si="0"/>
        <v>0</v>
      </c>
      <c r="U18" s="1614"/>
      <c r="V18" s="1614"/>
      <c r="W18" s="1614"/>
      <c r="X18" s="1615"/>
      <c r="Y18" s="1610"/>
      <c r="Z18" s="1611"/>
      <c r="AA18" s="1611"/>
      <c r="AB18" s="1611"/>
      <c r="AC18" s="1612"/>
      <c r="AD18" s="1613">
        <f t="shared" si="1"/>
        <v>0</v>
      </c>
      <c r="AE18" s="1614"/>
      <c r="AF18" s="1614"/>
      <c r="AG18" s="1614"/>
      <c r="AH18" s="1614"/>
      <c r="AI18" s="1615"/>
    </row>
    <row r="19" spans="2:42" ht="18" customHeight="1">
      <c r="B19" s="1587"/>
      <c r="C19" s="1583" t="s">
        <v>812</v>
      </c>
      <c r="D19" s="1583"/>
      <c r="E19" s="1583"/>
      <c r="F19" s="1583"/>
      <c r="G19" s="1583"/>
      <c r="H19" s="1583"/>
      <c r="I19" s="1583"/>
      <c r="J19" s="1583"/>
      <c r="K19" s="1583"/>
      <c r="L19" s="1583"/>
      <c r="M19" s="1584"/>
      <c r="N19" s="1584"/>
      <c r="O19" s="1584"/>
      <c r="P19" s="1584"/>
      <c r="Q19" s="1584"/>
      <c r="R19" s="1584"/>
      <c r="S19" s="1584"/>
      <c r="T19" s="1569">
        <f>SUM(T7:T18)</f>
        <v>0</v>
      </c>
      <c r="U19" s="1569"/>
      <c r="V19" s="1569"/>
      <c r="W19" s="1569"/>
      <c r="X19" s="1569"/>
      <c r="Y19" s="1569">
        <f>SUM(Y7:Y18)</f>
        <v>0</v>
      </c>
      <c r="Z19" s="1569"/>
      <c r="AA19" s="1569"/>
      <c r="AB19" s="1569"/>
      <c r="AC19" s="1569"/>
      <c r="AD19" s="1569">
        <f t="shared" si="1"/>
        <v>0</v>
      </c>
      <c r="AE19" s="1569"/>
      <c r="AF19" s="1569"/>
      <c r="AG19" s="1569"/>
      <c r="AH19" s="1569"/>
      <c r="AI19" s="1569"/>
    </row>
    <row r="20" spans="2:42" ht="16.75" customHeight="1">
      <c r="B20" s="1585" t="s">
        <v>869</v>
      </c>
      <c r="C20" s="1602"/>
      <c r="D20" s="1603"/>
      <c r="E20" s="1603"/>
      <c r="F20" s="1603"/>
      <c r="G20" s="1603"/>
      <c r="H20" s="1603"/>
      <c r="I20" s="1603"/>
      <c r="J20" s="1603"/>
      <c r="K20" s="1603"/>
      <c r="L20" s="1603"/>
      <c r="M20" s="1604"/>
      <c r="N20" s="1604"/>
      <c r="O20" s="1604"/>
      <c r="P20" s="1604"/>
      <c r="Q20" s="1604"/>
      <c r="R20" s="1605"/>
      <c r="S20" s="1605"/>
      <c r="T20" s="1606"/>
      <c r="U20" s="1606"/>
      <c r="V20" s="1606"/>
      <c r="W20" s="1606"/>
      <c r="X20" s="1606"/>
      <c r="Y20" s="1606"/>
      <c r="Z20" s="1606"/>
      <c r="AA20" s="1606"/>
      <c r="AB20" s="1606"/>
      <c r="AC20" s="1606"/>
      <c r="AD20" s="1601">
        <f t="shared" si="1"/>
        <v>0</v>
      </c>
      <c r="AE20" s="1601"/>
      <c r="AF20" s="1601"/>
      <c r="AG20" s="1601"/>
      <c r="AH20" s="1601"/>
      <c r="AI20" s="1601"/>
    </row>
    <row r="21" spans="2:42" ht="16.75" customHeight="1">
      <c r="B21" s="1586"/>
      <c r="C21" s="1594"/>
      <c r="D21" s="1595"/>
      <c r="E21" s="1595"/>
      <c r="F21" s="1595"/>
      <c r="G21" s="1595"/>
      <c r="H21" s="1595"/>
      <c r="I21" s="1595"/>
      <c r="J21" s="1595"/>
      <c r="K21" s="1595"/>
      <c r="L21" s="1596"/>
      <c r="M21" s="1597"/>
      <c r="N21" s="1597"/>
      <c r="O21" s="1597"/>
      <c r="P21" s="1597"/>
      <c r="Q21" s="1597"/>
      <c r="R21" s="1598"/>
      <c r="S21" s="1598"/>
      <c r="T21" s="1599"/>
      <c r="U21" s="1599"/>
      <c r="V21" s="1599"/>
      <c r="W21" s="1599"/>
      <c r="X21" s="1599"/>
      <c r="Y21" s="1599"/>
      <c r="Z21" s="1599"/>
      <c r="AA21" s="1599"/>
      <c r="AB21" s="1599"/>
      <c r="AC21" s="1599"/>
      <c r="AD21" s="1600">
        <f t="shared" ref="AD21:AD27" si="4">T21+Y21</f>
        <v>0</v>
      </c>
      <c r="AE21" s="1600"/>
      <c r="AF21" s="1600"/>
      <c r="AG21" s="1600"/>
      <c r="AH21" s="1600"/>
      <c r="AI21" s="1600"/>
    </row>
    <row r="22" spans="2:42" ht="16.75" customHeight="1">
      <c r="B22" s="1586"/>
      <c r="C22" s="1594"/>
      <c r="D22" s="1595"/>
      <c r="E22" s="1595"/>
      <c r="F22" s="1595"/>
      <c r="G22" s="1595"/>
      <c r="H22" s="1595"/>
      <c r="I22" s="1595"/>
      <c r="J22" s="1595"/>
      <c r="K22" s="1595"/>
      <c r="L22" s="1596"/>
      <c r="M22" s="1597"/>
      <c r="N22" s="1597"/>
      <c r="O22" s="1597"/>
      <c r="P22" s="1597"/>
      <c r="Q22" s="1597"/>
      <c r="R22" s="1598"/>
      <c r="S22" s="1598"/>
      <c r="T22" s="1599"/>
      <c r="U22" s="1599"/>
      <c r="V22" s="1599"/>
      <c r="W22" s="1599"/>
      <c r="X22" s="1599"/>
      <c r="Y22" s="1599"/>
      <c r="Z22" s="1599"/>
      <c r="AA22" s="1599"/>
      <c r="AB22" s="1599"/>
      <c r="AC22" s="1599"/>
      <c r="AD22" s="1600">
        <f t="shared" si="4"/>
        <v>0</v>
      </c>
      <c r="AE22" s="1600"/>
      <c r="AF22" s="1600"/>
      <c r="AG22" s="1600"/>
      <c r="AH22" s="1600"/>
      <c r="AI22" s="1600"/>
    </row>
    <row r="23" spans="2:42" ht="16.75" customHeight="1">
      <c r="B23" s="1586"/>
      <c r="C23" s="1594"/>
      <c r="D23" s="1595"/>
      <c r="E23" s="1595"/>
      <c r="F23" s="1595"/>
      <c r="G23" s="1595"/>
      <c r="H23" s="1595"/>
      <c r="I23" s="1595"/>
      <c r="J23" s="1595"/>
      <c r="K23" s="1595"/>
      <c r="L23" s="1596"/>
      <c r="M23" s="1597"/>
      <c r="N23" s="1597"/>
      <c r="O23" s="1597"/>
      <c r="P23" s="1597"/>
      <c r="Q23" s="1597"/>
      <c r="R23" s="1598"/>
      <c r="S23" s="1598"/>
      <c r="T23" s="1599"/>
      <c r="U23" s="1599"/>
      <c r="V23" s="1599"/>
      <c r="W23" s="1599"/>
      <c r="X23" s="1599"/>
      <c r="Y23" s="1599"/>
      <c r="Z23" s="1599"/>
      <c r="AA23" s="1599"/>
      <c r="AB23" s="1599"/>
      <c r="AC23" s="1599"/>
      <c r="AD23" s="1600">
        <f t="shared" si="4"/>
        <v>0</v>
      </c>
      <c r="AE23" s="1600"/>
      <c r="AF23" s="1600"/>
      <c r="AG23" s="1600"/>
      <c r="AH23" s="1600"/>
      <c r="AI23" s="1600"/>
    </row>
    <row r="24" spans="2:42" ht="16.75" customHeight="1">
      <c r="B24" s="1586"/>
      <c r="C24" s="1594"/>
      <c r="D24" s="1595"/>
      <c r="E24" s="1595"/>
      <c r="F24" s="1595"/>
      <c r="G24" s="1595"/>
      <c r="H24" s="1595"/>
      <c r="I24" s="1595"/>
      <c r="J24" s="1595"/>
      <c r="K24" s="1595"/>
      <c r="L24" s="1596"/>
      <c r="M24" s="1597"/>
      <c r="N24" s="1597"/>
      <c r="O24" s="1597"/>
      <c r="P24" s="1597"/>
      <c r="Q24" s="1597"/>
      <c r="R24" s="1598"/>
      <c r="S24" s="1598"/>
      <c r="T24" s="1599"/>
      <c r="U24" s="1599"/>
      <c r="V24" s="1599"/>
      <c r="W24" s="1599"/>
      <c r="X24" s="1599"/>
      <c r="Y24" s="1599"/>
      <c r="Z24" s="1599"/>
      <c r="AA24" s="1599"/>
      <c r="AB24" s="1599"/>
      <c r="AC24" s="1599"/>
      <c r="AD24" s="1600">
        <f t="shared" si="4"/>
        <v>0</v>
      </c>
      <c r="AE24" s="1600"/>
      <c r="AF24" s="1600"/>
      <c r="AG24" s="1600"/>
      <c r="AH24" s="1600"/>
      <c r="AI24" s="1600"/>
    </row>
    <row r="25" spans="2:42" ht="16.75" customHeight="1">
      <c r="B25" s="1586"/>
      <c r="C25" s="1594"/>
      <c r="D25" s="1595"/>
      <c r="E25" s="1595"/>
      <c r="F25" s="1595"/>
      <c r="G25" s="1595"/>
      <c r="H25" s="1595"/>
      <c r="I25" s="1595"/>
      <c r="J25" s="1595"/>
      <c r="K25" s="1595"/>
      <c r="L25" s="1596"/>
      <c r="M25" s="1597"/>
      <c r="N25" s="1597"/>
      <c r="O25" s="1597"/>
      <c r="P25" s="1597"/>
      <c r="Q25" s="1597"/>
      <c r="R25" s="1598"/>
      <c r="S25" s="1598"/>
      <c r="T25" s="1599"/>
      <c r="U25" s="1599"/>
      <c r="V25" s="1599"/>
      <c r="W25" s="1599"/>
      <c r="X25" s="1599"/>
      <c r="Y25" s="1599"/>
      <c r="Z25" s="1599"/>
      <c r="AA25" s="1599"/>
      <c r="AB25" s="1599"/>
      <c r="AC25" s="1599"/>
      <c r="AD25" s="1600">
        <f t="shared" si="4"/>
        <v>0</v>
      </c>
      <c r="AE25" s="1600"/>
      <c r="AF25" s="1600"/>
      <c r="AG25" s="1600"/>
      <c r="AH25" s="1600"/>
      <c r="AI25" s="1600"/>
    </row>
    <row r="26" spans="2:42" ht="16.75" customHeight="1">
      <c r="B26" s="1586"/>
      <c r="C26" s="1594"/>
      <c r="D26" s="1595"/>
      <c r="E26" s="1595"/>
      <c r="F26" s="1595"/>
      <c r="G26" s="1595"/>
      <c r="H26" s="1595"/>
      <c r="I26" s="1595"/>
      <c r="J26" s="1595"/>
      <c r="K26" s="1595"/>
      <c r="L26" s="1596"/>
      <c r="M26" s="1597"/>
      <c r="N26" s="1597"/>
      <c r="O26" s="1597"/>
      <c r="P26" s="1597"/>
      <c r="Q26" s="1597"/>
      <c r="R26" s="1598"/>
      <c r="S26" s="1598"/>
      <c r="T26" s="1599"/>
      <c r="U26" s="1599"/>
      <c r="V26" s="1599"/>
      <c r="W26" s="1599"/>
      <c r="X26" s="1599"/>
      <c r="Y26" s="1599"/>
      <c r="Z26" s="1599"/>
      <c r="AA26" s="1599"/>
      <c r="AB26" s="1599"/>
      <c r="AC26" s="1599"/>
      <c r="AD26" s="1600">
        <f t="shared" si="4"/>
        <v>0</v>
      </c>
      <c r="AE26" s="1600"/>
      <c r="AF26" s="1600"/>
      <c r="AG26" s="1600"/>
      <c r="AH26" s="1600"/>
      <c r="AI26" s="1600"/>
    </row>
    <row r="27" spans="2:42" ht="16.75" customHeight="1">
      <c r="B27" s="1586"/>
      <c r="C27" s="1594"/>
      <c r="D27" s="1595"/>
      <c r="E27" s="1595"/>
      <c r="F27" s="1595"/>
      <c r="G27" s="1595"/>
      <c r="H27" s="1595"/>
      <c r="I27" s="1595"/>
      <c r="J27" s="1595"/>
      <c r="K27" s="1595"/>
      <c r="L27" s="1596"/>
      <c r="M27" s="1597"/>
      <c r="N27" s="1597"/>
      <c r="O27" s="1597"/>
      <c r="P27" s="1597"/>
      <c r="Q27" s="1597"/>
      <c r="R27" s="1598"/>
      <c r="S27" s="1598"/>
      <c r="T27" s="1599"/>
      <c r="U27" s="1599"/>
      <c r="V27" s="1599"/>
      <c r="W27" s="1599"/>
      <c r="X27" s="1599"/>
      <c r="Y27" s="1599"/>
      <c r="Z27" s="1599"/>
      <c r="AA27" s="1599"/>
      <c r="AB27" s="1599"/>
      <c r="AC27" s="1599"/>
      <c r="AD27" s="1600">
        <f t="shared" si="4"/>
        <v>0</v>
      </c>
      <c r="AE27" s="1600"/>
      <c r="AF27" s="1600"/>
      <c r="AG27" s="1600"/>
      <c r="AH27" s="1600"/>
      <c r="AI27" s="1600"/>
    </row>
    <row r="28" spans="2:42" ht="16.75" customHeight="1">
      <c r="B28" s="1586"/>
      <c r="C28" s="1594"/>
      <c r="D28" s="1595"/>
      <c r="E28" s="1595"/>
      <c r="F28" s="1595"/>
      <c r="G28" s="1595"/>
      <c r="H28" s="1595"/>
      <c r="I28" s="1595"/>
      <c r="J28" s="1595"/>
      <c r="K28" s="1595"/>
      <c r="L28" s="1596"/>
      <c r="M28" s="1597"/>
      <c r="N28" s="1597"/>
      <c r="O28" s="1597"/>
      <c r="P28" s="1597"/>
      <c r="Q28" s="1597"/>
      <c r="R28" s="1598"/>
      <c r="S28" s="1598"/>
      <c r="T28" s="1599"/>
      <c r="U28" s="1599"/>
      <c r="V28" s="1599"/>
      <c r="W28" s="1599"/>
      <c r="X28" s="1599"/>
      <c r="Y28" s="1599"/>
      <c r="Z28" s="1599"/>
      <c r="AA28" s="1599"/>
      <c r="AB28" s="1599"/>
      <c r="AC28" s="1599"/>
      <c r="AD28" s="1600">
        <f t="shared" si="1"/>
        <v>0</v>
      </c>
      <c r="AE28" s="1600"/>
      <c r="AF28" s="1600"/>
      <c r="AG28" s="1600"/>
      <c r="AH28" s="1600"/>
      <c r="AI28" s="1600"/>
    </row>
    <row r="29" spans="2:42" ht="16.75" customHeight="1">
      <c r="B29" s="1586"/>
      <c r="C29" s="1594"/>
      <c r="D29" s="1595"/>
      <c r="E29" s="1595"/>
      <c r="F29" s="1595"/>
      <c r="G29" s="1595"/>
      <c r="H29" s="1595"/>
      <c r="I29" s="1595"/>
      <c r="J29" s="1595"/>
      <c r="K29" s="1595"/>
      <c r="L29" s="1596"/>
      <c r="M29" s="1597"/>
      <c r="N29" s="1597"/>
      <c r="O29" s="1597"/>
      <c r="P29" s="1597"/>
      <c r="Q29" s="1597"/>
      <c r="R29" s="1598"/>
      <c r="S29" s="1598"/>
      <c r="T29" s="1599"/>
      <c r="U29" s="1599"/>
      <c r="V29" s="1599"/>
      <c r="W29" s="1599"/>
      <c r="X29" s="1599"/>
      <c r="Y29" s="1599"/>
      <c r="Z29" s="1599"/>
      <c r="AA29" s="1599"/>
      <c r="AB29" s="1599"/>
      <c r="AC29" s="1599"/>
      <c r="AD29" s="1600">
        <f t="shared" si="1"/>
        <v>0</v>
      </c>
      <c r="AE29" s="1600"/>
      <c r="AF29" s="1600"/>
      <c r="AG29" s="1600"/>
      <c r="AH29" s="1600"/>
      <c r="AI29" s="1600"/>
    </row>
    <row r="30" spans="2:42" ht="16.75" customHeight="1">
      <c r="B30" s="1586"/>
      <c r="C30" s="1588" t="s">
        <v>992</v>
      </c>
      <c r="D30" s="1589"/>
      <c r="E30" s="1589"/>
      <c r="F30" s="1589"/>
      <c r="G30" s="1589"/>
      <c r="H30" s="1589"/>
      <c r="I30" s="1589"/>
      <c r="J30" s="1589"/>
      <c r="K30" s="1589"/>
      <c r="L30" s="1589"/>
      <c r="M30" s="1590"/>
      <c r="N30" s="1590"/>
      <c r="O30" s="1590"/>
      <c r="P30" s="1590"/>
      <c r="Q30" s="1590"/>
      <c r="R30" s="1591"/>
      <c r="S30" s="1591"/>
      <c r="T30" s="1592"/>
      <c r="U30" s="1592"/>
      <c r="V30" s="1592"/>
      <c r="W30" s="1592"/>
      <c r="X30" s="1592"/>
      <c r="Y30" s="1592"/>
      <c r="Z30" s="1592"/>
      <c r="AA30" s="1592"/>
      <c r="AB30" s="1592"/>
      <c r="AC30" s="1592"/>
      <c r="AD30" s="1593">
        <f>T30+Y30</f>
        <v>0</v>
      </c>
      <c r="AE30" s="1593"/>
      <c r="AF30" s="1593"/>
      <c r="AG30" s="1593"/>
      <c r="AH30" s="1593"/>
      <c r="AI30" s="1593"/>
    </row>
    <row r="31" spans="2:42" ht="18" customHeight="1">
      <c r="B31" s="1587"/>
      <c r="C31" s="1583" t="s">
        <v>581</v>
      </c>
      <c r="D31" s="1583"/>
      <c r="E31" s="1583"/>
      <c r="F31" s="1583"/>
      <c r="G31" s="1583"/>
      <c r="H31" s="1583"/>
      <c r="I31" s="1583"/>
      <c r="J31" s="1583"/>
      <c r="K31" s="1583"/>
      <c r="L31" s="1583"/>
      <c r="M31" s="1584"/>
      <c r="N31" s="1584"/>
      <c r="O31" s="1584"/>
      <c r="P31" s="1584"/>
      <c r="Q31" s="1584"/>
      <c r="R31" s="1584"/>
      <c r="S31" s="1584"/>
      <c r="T31" s="1569">
        <f>SUM(T20:T30)</f>
        <v>0</v>
      </c>
      <c r="U31" s="1569"/>
      <c r="V31" s="1569"/>
      <c r="W31" s="1569"/>
      <c r="X31" s="1569"/>
      <c r="Y31" s="1569">
        <f>SUM(Y20:Y30)</f>
        <v>0</v>
      </c>
      <c r="Z31" s="1569"/>
      <c r="AA31" s="1569"/>
      <c r="AB31" s="1569"/>
      <c r="AC31" s="1569"/>
      <c r="AD31" s="1569">
        <f t="shared" si="1"/>
        <v>0</v>
      </c>
      <c r="AE31" s="1569"/>
      <c r="AF31" s="1569"/>
      <c r="AG31" s="1569"/>
      <c r="AH31" s="1569"/>
      <c r="AI31" s="1569"/>
      <c r="AP31" s="668"/>
    </row>
    <row r="32" spans="2:42" ht="18" customHeight="1">
      <c r="B32" s="1567" t="s">
        <v>72</v>
      </c>
      <c r="C32" s="1567"/>
      <c r="D32" s="1567"/>
      <c r="E32" s="1567"/>
      <c r="F32" s="1567"/>
      <c r="G32" s="1567"/>
      <c r="H32" s="1567"/>
      <c r="I32" s="1567"/>
      <c r="J32" s="1567"/>
      <c r="K32" s="1567"/>
      <c r="L32" s="1567"/>
      <c r="M32" s="1568" t="s">
        <v>809</v>
      </c>
      <c r="N32" s="1568"/>
      <c r="O32" s="1568"/>
      <c r="P32" s="1568"/>
      <c r="Q32" s="1568"/>
      <c r="R32" s="1568"/>
      <c r="S32" s="1568"/>
      <c r="T32" s="1568"/>
      <c r="U32" s="1568"/>
      <c r="V32" s="1568"/>
      <c r="W32" s="1568"/>
      <c r="X32" s="1568"/>
      <c r="Y32" s="1568"/>
      <c r="Z32" s="1568"/>
      <c r="AA32" s="1568"/>
      <c r="AB32" s="1568"/>
      <c r="AC32" s="1568"/>
      <c r="AD32" s="1569">
        <f>AD19+AD31</f>
        <v>0</v>
      </c>
      <c r="AE32" s="1569"/>
      <c r="AF32" s="1569"/>
      <c r="AG32" s="1569"/>
      <c r="AH32" s="1569"/>
      <c r="AI32" s="1569"/>
    </row>
    <row r="33" spans="1:35" ht="18" customHeight="1">
      <c r="B33" s="1567" t="s">
        <v>583</v>
      </c>
      <c r="C33" s="1567"/>
      <c r="D33" s="1567"/>
      <c r="E33" s="1567"/>
      <c r="F33" s="1567"/>
      <c r="G33" s="1567"/>
      <c r="H33" s="1567"/>
      <c r="I33" s="1567"/>
      <c r="J33" s="1567"/>
      <c r="K33" s="1567"/>
      <c r="L33" s="1567"/>
      <c r="M33" s="1568"/>
      <c r="N33" s="1568"/>
      <c r="O33" s="1568"/>
      <c r="P33" s="1568"/>
      <c r="Q33" s="1568"/>
      <c r="R33" s="1568"/>
      <c r="S33" s="1568"/>
      <c r="T33" s="1568"/>
      <c r="U33" s="1568"/>
      <c r="V33" s="1568"/>
      <c r="W33" s="1568"/>
      <c r="X33" s="1568"/>
      <c r="Y33" s="1568"/>
      <c r="Z33" s="1568"/>
      <c r="AA33" s="1568"/>
      <c r="AB33" s="1568"/>
      <c r="AC33" s="1568"/>
      <c r="AD33" s="1569">
        <f>ROUNDDOWN(AD32*0.1,0)</f>
        <v>0</v>
      </c>
      <c r="AE33" s="1569"/>
      <c r="AF33" s="1569"/>
      <c r="AG33" s="1569"/>
      <c r="AH33" s="1569"/>
      <c r="AI33" s="1569"/>
    </row>
    <row r="34" spans="1:35" ht="18" customHeight="1">
      <c r="B34" s="1567" t="s">
        <v>584</v>
      </c>
      <c r="C34" s="1567"/>
      <c r="D34" s="1567"/>
      <c r="E34" s="1567"/>
      <c r="F34" s="1567"/>
      <c r="G34" s="1567"/>
      <c r="H34" s="1567"/>
      <c r="I34" s="1567"/>
      <c r="J34" s="1567"/>
      <c r="K34" s="1567"/>
      <c r="L34" s="1567"/>
      <c r="M34" s="1568" t="s">
        <v>810</v>
      </c>
      <c r="N34" s="1568"/>
      <c r="O34" s="1568"/>
      <c r="P34" s="1568"/>
      <c r="Q34" s="1568"/>
      <c r="R34" s="1568"/>
      <c r="S34" s="1568"/>
      <c r="T34" s="1568"/>
      <c r="U34" s="1568"/>
      <c r="V34" s="1568"/>
      <c r="W34" s="1568"/>
      <c r="X34" s="1568"/>
      <c r="Y34" s="1568"/>
      <c r="Z34" s="1568"/>
      <c r="AA34" s="1568"/>
      <c r="AB34" s="1568"/>
      <c r="AC34" s="1568"/>
      <c r="AD34" s="1569">
        <f>AD32+AD33</f>
        <v>0</v>
      </c>
      <c r="AE34" s="1569"/>
      <c r="AF34" s="1569"/>
      <c r="AG34" s="1569"/>
      <c r="AH34" s="1569"/>
      <c r="AI34" s="1569"/>
    </row>
    <row r="35" spans="1:35" s="665" customFormat="1" ht="13">
      <c r="A35" s="1580" t="s">
        <v>1012</v>
      </c>
      <c r="B35" s="1580"/>
      <c r="C35" s="1581" t="s">
        <v>1013</v>
      </c>
      <c r="D35" s="1581"/>
      <c r="E35" s="1581"/>
      <c r="F35" s="1581"/>
      <c r="G35" s="1581"/>
      <c r="H35" s="1581"/>
      <c r="I35" s="1581"/>
      <c r="J35" s="1581"/>
      <c r="K35" s="1581"/>
      <c r="L35" s="1581"/>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670"/>
    </row>
    <row r="36" spans="1:35" ht="20.149999999999999" customHeight="1">
      <c r="A36" s="242"/>
      <c r="B36" s="242"/>
      <c r="C36" s="1582" t="s">
        <v>1014</v>
      </c>
      <c r="D36" s="1582"/>
      <c r="E36" s="1582"/>
      <c r="F36" s="1582"/>
      <c r="G36" s="1582"/>
      <c r="H36" s="1582"/>
      <c r="I36" s="1582"/>
      <c r="J36" s="1582"/>
      <c r="K36" s="1582"/>
      <c r="L36" s="1582"/>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row>
    <row r="37" spans="1:35" ht="20.149999999999999" customHeight="1">
      <c r="A37" s="665"/>
      <c r="B37" s="669"/>
      <c r="C37" s="669"/>
      <c r="D37" s="670"/>
      <c r="E37" s="670"/>
      <c r="F37" s="670"/>
      <c r="G37" s="670"/>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row>
    <row r="38" spans="1:35" ht="14">
      <c r="B38" s="666" t="s">
        <v>993</v>
      </c>
      <c r="E38" s="665"/>
    </row>
    <row r="39" spans="1:35" s="673" customFormat="1" ht="20.149999999999999" customHeight="1">
      <c r="A39" s="571"/>
      <c r="B39" s="671" t="s">
        <v>811</v>
      </c>
      <c r="C39" s="670"/>
      <c r="D39" s="670"/>
      <c r="E39" s="670"/>
      <c r="F39" s="670"/>
      <c r="G39" s="670"/>
      <c r="H39" s="670"/>
      <c r="I39" s="670"/>
      <c r="J39" s="670"/>
      <c r="K39" s="670"/>
      <c r="L39" s="670"/>
      <c r="M39" s="670"/>
      <c r="N39" s="670"/>
      <c r="O39" s="670"/>
      <c r="P39" s="670"/>
      <c r="Q39" s="663"/>
      <c r="R39" s="663"/>
      <c r="S39" s="571"/>
      <c r="T39" s="571"/>
      <c r="U39" s="571"/>
      <c r="V39" s="571"/>
      <c r="W39" s="571"/>
      <c r="X39" s="571"/>
      <c r="Y39" s="571"/>
      <c r="Z39" s="571"/>
      <c r="AA39" s="571"/>
      <c r="AB39" s="571"/>
      <c r="AC39" s="571"/>
      <c r="AD39" s="571"/>
      <c r="AE39" s="571"/>
      <c r="AF39" s="571"/>
      <c r="AG39" s="571"/>
      <c r="AH39" s="571"/>
    </row>
    <row r="40" spans="1:35" ht="20.149999999999999" customHeight="1">
      <c r="B40" s="1570">
        <v>3000000</v>
      </c>
      <c r="C40" s="1571"/>
      <c r="D40" s="1571"/>
      <c r="E40" s="1571"/>
      <c r="F40" s="1572"/>
      <c r="Q40" s="572"/>
      <c r="R40" s="572"/>
    </row>
    <row r="41" spans="1:35" s="681" customFormat="1" ht="20.149999999999999" customHeight="1">
      <c r="A41" s="571"/>
      <c r="B41" s="672"/>
      <c r="C41" s="672"/>
      <c r="D41" s="672"/>
      <c r="E41" s="672"/>
      <c r="F41" s="672"/>
      <c r="G41" s="571"/>
      <c r="H41" s="571"/>
      <c r="I41" s="571"/>
      <c r="J41" s="571"/>
      <c r="K41" s="571"/>
      <c r="L41" s="571"/>
      <c r="M41" s="571"/>
      <c r="N41" s="571"/>
      <c r="O41" s="571"/>
      <c r="P41" s="571"/>
      <c r="Q41" s="572"/>
      <c r="R41" s="572"/>
      <c r="S41" s="571"/>
      <c r="T41" s="571"/>
      <c r="U41" s="571"/>
      <c r="V41" s="665"/>
      <c r="W41" s="665"/>
      <c r="X41" s="665"/>
      <c r="Y41" s="665"/>
      <c r="Z41" s="665"/>
      <c r="AA41" s="665"/>
      <c r="AB41" s="665"/>
      <c r="AC41" s="665"/>
      <c r="AD41" s="665"/>
      <c r="AE41" s="571"/>
      <c r="AF41" s="571"/>
      <c r="AG41" s="571"/>
      <c r="AH41" s="571"/>
    </row>
    <row r="42" spans="1:35" ht="14.5" thickBot="1">
      <c r="A42" s="673"/>
      <c r="B42" s="671" t="s">
        <v>813</v>
      </c>
      <c r="C42" s="673"/>
      <c r="D42" s="673"/>
      <c r="E42" s="673"/>
      <c r="F42" s="673"/>
      <c r="G42" s="673"/>
      <c r="H42" s="673"/>
      <c r="I42" s="673"/>
      <c r="J42" s="673"/>
      <c r="K42" s="673"/>
      <c r="L42" s="673"/>
      <c r="M42" s="673"/>
      <c r="N42" s="673"/>
      <c r="O42" s="673"/>
      <c r="P42" s="673"/>
      <c r="Q42" s="674"/>
      <c r="R42" s="674"/>
      <c r="S42" s="673"/>
      <c r="T42" s="673"/>
      <c r="V42" s="673"/>
      <c r="W42" s="1573" t="s">
        <v>994</v>
      </c>
      <c r="X42" s="1573"/>
      <c r="Y42" s="1573"/>
      <c r="Z42" s="1573"/>
      <c r="AA42" s="1573"/>
      <c r="AB42" s="1573"/>
      <c r="AC42" s="673"/>
      <c r="AD42" s="673"/>
      <c r="AE42" s="673"/>
      <c r="AF42" s="673"/>
      <c r="AG42" s="673"/>
      <c r="AH42" s="673"/>
    </row>
    <row r="43" spans="1:35" s="673" customFormat="1" ht="18" customHeight="1" thickBot="1">
      <c r="A43" s="571"/>
      <c r="B43" s="1570">
        <f>AD19</f>
        <v>0</v>
      </c>
      <c r="C43" s="1571"/>
      <c r="D43" s="1571"/>
      <c r="E43" s="1571"/>
      <c r="F43" s="1572"/>
      <c r="G43" s="675" t="s">
        <v>585</v>
      </c>
      <c r="H43" s="1574">
        <v>0.33333333333333331</v>
      </c>
      <c r="I43" s="1575"/>
      <c r="J43" s="1576"/>
      <c r="K43" s="675" t="s">
        <v>586</v>
      </c>
      <c r="L43" s="1570">
        <f>ROUNDDOWN(B43*H43,-4)</f>
        <v>0</v>
      </c>
      <c r="M43" s="1571"/>
      <c r="N43" s="1571"/>
      <c r="O43" s="1571"/>
      <c r="P43" s="1572"/>
      <c r="Q43" s="572"/>
      <c r="R43" s="572"/>
      <c r="S43" s="571"/>
      <c r="T43" s="571"/>
      <c r="U43" s="571"/>
      <c r="V43" s="571"/>
      <c r="W43" s="1577">
        <f>MIN(B40,L43)</f>
        <v>0</v>
      </c>
      <c r="X43" s="1578"/>
      <c r="Y43" s="1578"/>
      <c r="Z43" s="1578"/>
      <c r="AA43" s="1578"/>
      <c r="AB43" s="1579"/>
      <c r="AD43" s="571"/>
      <c r="AE43" s="571"/>
      <c r="AF43" s="571"/>
      <c r="AG43" s="571"/>
      <c r="AH43" s="571"/>
    </row>
    <row r="44" spans="1:35" ht="18" customHeight="1">
      <c r="A44" s="681"/>
      <c r="B44" s="1565" t="s">
        <v>814</v>
      </c>
      <c r="C44" s="1565"/>
      <c r="D44" s="1565"/>
      <c r="E44" s="1565"/>
      <c r="F44" s="1565"/>
      <c r="G44" s="676"/>
      <c r="H44" s="677"/>
      <c r="I44" s="677"/>
      <c r="J44" s="677"/>
      <c r="K44" s="678"/>
      <c r="L44" s="679"/>
      <c r="M44" s="679"/>
      <c r="N44" s="679"/>
      <c r="O44" s="679"/>
      <c r="P44" s="679"/>
      <c r="Q44" s="680"/>
      <c r="R44" s="680"/>
      <c r="S44" s="681"/>
      <c r="T44" s="681"/>
      <c r="U44" s="673"/>
      <c r="V44" s="681"/>
      <c r="W44" s="1566" t="s">
        <v>815</v>
      </c>
      <c r="X44" s="1566"/>
      <c r="Y44" s="1566"/>
      <c r="Z44" s="1566"/>
      <c r="AA44" s="1566"/>
      <c r="AB44" s="1566"/>
      <c r="AC44" s="673"/>
      <c r="AD44" s="681"/>
      <c r="AE44" s="681"/>
      <c r="AF44" s="681"/>
      <c r="AG44" s="681"/>
      <c r="AH44" s="681"/>
    </row>
    <row r="45" spans="1:35" s="681" customFormat="1" ht="15.5">
      <c r="A45" s="571"/>
      <c r="B45" s="672"/>
      <c r="C45" s="672"/>
      <c r="D45" s="672"/>
      <c r="E45" s="672"/>
      <c r="F45" s="672"/>
      <c r="G45" s="682"/>
      <c r="H45" s="683"/>
      <c r="I45" s="683"/>
      <c r="J45" s="683"/>
      <c r="K45" s="684"/>
      <c r="L45" s="672"/>
      <c r="M45" s="672"/>
      <c r="N45" s="672"/>
      <c r="O45" s="672"/>
      <c r="P45" s="672"/>
      <c r="Q45" s="572"/>
      <c r="R45" s="572"/>
      <c r="S45" s="571"/>
      <c r="T45" s="571"/>
      <c r="U45" s="571"/>
      <c r="V45" s="673"/>
      <c r="W45" s="673"/>
      <c r="X45" s="673"/>
      <c r="Y45" s="673"/>
      <c r="Z45" s="673"/>
      <c r="AA45" s="673"/>
      <c r="AB45" s="673"/>
      <c r="AC45" s="673"/>
      <c r="AD45" s="673"/>
      <c r="AE45" s="571"/>
      <c r="AF45" s="571"/>
      <c r="AG45" s="571"/>
      <c r="AH45" s="571"/>
    </row>
    <row r="46" spans="1:35" ht="9" customHeight="1">
      <c r="A46" s="673"/>
      <c r="B46" s="673"/>
      <c r="C46" s="673"/>
      <c r="D46" s="673"/>
      <c r="E46" s="673"/>
      <c r="F46" s="673"/>
      <c r="G46" s="673"/>
      <c r="H46" s="673"/>
      <c r="I46" s="673"/>
      <c r="J46" s="673"/>
      <c r="K46" s="673"/>
      <c r="L46" s="673"/>
      <c r="M46" s="673"/>
      <c r="N46" s="673"/>
      <c r="O46" s="673"/>
      <c r="P46" s="673"/>
      <c r="Q46" s="674"/>
      <c r="R46" s="674"/>
      <c r="S46" s="673"/>
      <c r="T46" s="673"/>
      <c r="U46" s="673"/>
      <c r="V46" s="673"/>
      <c r="W46" s="673"/>
      <c r="X46" s="673"/>
      <c r="Y46" s="673"/>
      <c r="Z46" s="673"/>
      <c r="AA46" s="673"/>
      <c r="AB46" s="673"/>
      <c r="AC46" s="673"/>
      <c r="AD46" s="673"/>
      <c r="AE46" s="673"/>
      <c r="AF46" s="673"/>
      <c r="AG46" s="673"/>
      <c r="AH46" s="673"/>
    </row>
    <row r="47" spans="1:35" s="673" customFormat="1" ht="18" customHeight="1">
      <c r="A47" s="571"/>
      <c r="B47" s="571"/>
      <c r="C47" s="571"/>
      <c r="D47" s="571"/>
      <c r="E47" s="571"/>
      <c r="F47" s="571"/>
      <c r="G47" s="571"/>
      <c r="H47" s="571"/>
      <c r="I47" s="571"/>
      <c r="J47" s="571"/>
      <c r="K47" s="571"/>
      <c r="L47" s="571"/>
      <c r="M47" s="571"/>
      <c r="N47" s="571"/>
      <c r="O47" s="571"/>
      <c r="P47" s="571"/>
      <c r="Q47" s="572"/>
      <c r="R47" s="572"/>
      <c r="S47" s="571"/>
      <c r="T47" s="571"/>
      <c r="U47" s="571"/>
      <c r="V47" s="571"/>
      <c r="W47" s="571"/>
      <c r="X47" s="571"/>
      <c r="Y47" s="571"/>
      <c r="Z47" s="571"/>
      <c r="AA47" s="571"/>
      <c r="AB47" s="571"/>
      <c r="AC47" s="571"/>
      <c r="AD47" s="571"/>
      <c r="AE47" s="571"/>
      <c r="AF47" s="571"/>
      <c r="AG47" s="571"/>
      <c r="AH47" s="571"/>
    </row>
    <row r="48" spans="1:35" ht="18" customHeight="1">
      <c r="A48" s="681"/>
      <c r="B48" s="681"/>
      <c r="C48" s="681"/>
      <c r="D48" s="681"/>
      <c r="E48" s="681"/>
      <c r="F48" s="681"/>
      <c r="G48" s="681"/>
      <c r="H48" s="681"/>
      <c r="I48" s="681"/>
      <c r="J48" s="681"/>
      <c r="K48" s="681"/>
      <c r="L48" s="681"/>
      <c r="M48" s="681"/>
      <c r="N48" s="681"/>
      <c r="O48" s="681"/>
      <c r="P48" s="681"/>
      <c r="Q48" s="680"/>
      <c r="R48" s="680"/>
      <c r="S48" s="681"/>
      <c r="T48" s="681"/>
      <c r="U48" s="681"/>
      <c r="V48" s="681"/>
      <c r="W48" s="681"/>
      <c r="X48" s="681"/>
      <c r="Y48" s="681"/>
      <c r="Z48" s="681"/>
      <c r="AA48" s="681"/>
      <c r="AB48" s="681"/>
      <c r="AC48" s="681"/>
      <c r="AD48" s="681"/>
      <c r="AE48" s="681"/>
      <c r="AF48" s="681"/>
      <c r="AG48" s="681"/>
      <c r="AH48" s="681"/>
    </row>
    <row r="49" spans="1:34" ht="15.5">
      <c r="B49" s="672"/>
      <c r="C49" s="672"/>
      <c r="D49" s="672"/>
      <c r="E49" s="672"/>
      <c r="F49" s="672"/>
      <c r="G49" s="672"/>
      <c r="Q49" s="572"/>
      <c r="R49" s="572"/>
    </row>
    <row r="50" spans="1:34" ht="18" customHeight="1">
      <c r="A50" s="673"/>
      <c r="B50" s="673"/>
      <c r="C50" s="673"/>
      <c r="D50" s="673"/>
      <c r="E50" s="673"/>
      <c r="F50" s="673"/>
      <c r="G50" s="673"/>
      <c r="H50" s="673"/>
      <c r="I50" s="673"/>
      <c r="J50" s="673"/>
      <c r="K50" s="673"/>
      <c r="L50" s="673"/>
      <c r="M50" s="673"/>
      <c r="N50" s="673"/>
      <c r="O50" s="673"/>
      <c r="P50" s="673"/>
      <c r="Q50" s="674"/>
      <c r="R50" s="674"/>
      <c r="S50" s="673"/>
      <c r="T50" s="673"/>
      <c r="U50" s="673"/>
      <c r="V50" s="673"/>
      <c r="W50" s="673"/>
      <c r="X50" s="673"/>
      <c r="Y50" s="673"/>
      <c r="Z50" s="673"/>
      <c r="AA50" s="673"/>
      <c r="AB50" s="673"/>
      <c r="AC50" s="673"/>
      <c r="AD50" s="673"/>
      <c r="AE50" s="673"/>
      <c r="AF50" s="673"/>
      <c r="AG50" s="673"/>
      <c r="AH50" s="673"/>
    </row>
    <row r="51" spans="1:34" ht="18" customHeight="1">
      <c r="Q51" s="572"/>
      <c r="R51" s="572"/>
    </row>
    <row r="52" spans="1:34" ht="18" customHeight="1">
      <c r="Q52" s="572"/>
      <c r="R52" s="572"/>
    </row>
    <row r="53" spans="1:34" ht="18" customHeight="1">
      <c r="Q53" s="572"/>
      <c r="R53" s="572"/>
    </row>
    <row r="54" spans="1:34" ht="18" customHeight="1">
      <c r="Q54" s="572"/>
      <c r="R54" s="572"/>
    </row>
    <row r="55" spans="1:34" ht="18" customHeight="1">
      <c r="R55" s="572"/>
    </row>
    <row r="56" spans="1:34" ht="18" customHeight="1">
      <c r="R56" s="572"/>
    </row>
    <row r="57" spans="1:34" ht="18" customHeight="1">
      <c r="R57" s="572"/>
    </row>
    <row r="58" spans="1:34" ht="18" customHeight="1">
      <c r="R58" s="572"/>
    </row>
  </sheetData>
  <sheetProtection password="D73A" sheet="1" formatCells="0" insertRows="0"/>
  <mergeCells count="180">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A2:AJ2"/>
    <mergeCell ref="B5:L6"/>
    <mergeCell ref="M5:X5"/>
    <mergeCell ref="Y5:AC6"/>
    <mergeCell ref="AD5:AI6"/>
    <mergeCell ref="M6:Q6"/>
    <mergeCell ref="R6:S6"/>
    <mergeCell ref="T6:X6"/>
    <mergeCell ref="AD7:AI7"/>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19:L19"/>
    <mergeCell ref="M19:Q19"/>
    <mergeCell ref="R19:S19"/>
    <mergeCell ref="T19:X19"/>
    <mergeCell ref="Y19:AC19"/>
    <mergeCell ref="AD19:AI19"/>
    <mergeCell ref="C18:L18"/>
    <mergeCell ref="M18:Q18"/>
    <mergeCell ref="R18:S18"/>
    <mergeCell ref="T18:X18"/>
    <mergeCell ref="Y18:AC18"/>
    <mergeCell ref="AD18:AI18"/>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s>
  <phoneticPr fontId="2"/>
  <conditionalFormatting sqref="C7:S9 C14:S18 R10:R13 C10:M13">
    <cfRule type="containsBlanks" dxfId="26" priority="4">
      <formula>LEN(TRIM(C7))=0</formula>
    </cfRule>
  </conditionalFormatting>
  <conditionalFormatting sqref="Y7:AC18">
    <cfRule type="containsBlanks" dxfId="25" priority="3">
      <formula>LEN(TRIM(Y7))=0</formula>
    </cfRule>
  </conditionalFormatting>
  <conditionalFormatting sqref="C20:S30">
    <cfRule type="containsBlanks" dxfId="24" priority="2">
      <formula>LEN(TRIM(C20))=0</formula>
    </cfRule>
  </conditionalFormatting>
  <conditionalFormatting sqref="Y20:AC30">
    <cfRule type="containsBlanks" dxfId="23" priority="1">
      <formula>LEN(TRIM(Y20))=0</formula>
    </cfRule>
  </conditionalFormatting>
  <pageMargins left="0.55000000000000004" right="0.15748031496062992" top="0.56999999999999995" bottom="0.33" header="0.19" footer="0.31496062992125984"/>
  <pageSetup paperSize="9" orientation="portrait" r:id="rId1"/>
  <headerFooter>
    <oddHeader>&amp;L様式第６－３号（第１３条関係）</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2"/>
  <sheetViews>
    <sheetView showGridLines="0" showZeros="0" view="pageBreakPreview" zoomScaleNormal="100" zoomScaleSheetLayoutView="100" workbookViewId="0">
      <selection activeCell="J22" sqref="J22"/>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665" t="s">
        <v>240</v>
      </c>
      <c r="B1" s="1666"/>
      <c r="C1" s="1666"/>
      <c r="D1" s="1666"/>
      <c r="E1" s="1666"/>
      <c r="F1" s="1666"/>
      <c r="G1" s="1666"/>
      <c r="H1" s="1666"/>
      <c r="I1" s="1666"/>
      <c r="J1" s="1666"/>
      <c r="K1" s="1666"/>
      <c r="L1" s="1666"/>
    </row>
    <row r="2" spans="1:12">
      <c r="B2" s="323"/>
    </row>
    <row r="3" spans="1:12" s="324" customFormat="1">
      <c r="B3" s="324" t="s">
        <v>627</v>
      </c>
    </row>
    <row r="4" spans="1:12" s="324" customFormat="1">
      <c r="B4" s="974" t="s">
        <v>1420</v>
      </c>
    </row>
    <row r="5" spans="1:12" s="324" customFormat="1" ht="16">
      <c r="B5" s="324" t="s">
        <v>1018</v>
      </c>
    </row>
    <row r="6" spans="1:12" s="324" customFormat="1"/>
    <row r="7" spans="1:12" s="324" customFormat="1" ht="18.5" thickBot="1">
      <c r="A7" s="325" t="s">
        <v>628</v>
      </c>
    </row>
    <row r="8" spans="1:12" s="324" customFormat="1" ht="18.5" thickBot="1">
      <c r="A8" s="325"/>
      <c r="H8" s="685" t="s">
        <v>629</v>
      </c>
      <c r="I8" s="1649" t="s">
        <v>1582</v>
      </c>
      <c r="J8" s="1650"/>
      <c r="K8" s="1651"/>
    </row>
    <row r="9" spans="1:12" s="324" customFormat="1" ht="16.25" customHeight="1" thickBot="1">
      <c r="A9" s="326">
        <v>1</v>
      </c>
      <c r="B9" s="633" t="s">
        <v>870</v>
      </c>
      <c r="C9" s="1674">
        <f>'① '!J12</f>
        <v>0</v>
      </c>
      <c r="D9" s="1675"/>
      <c r="E9" s="1675"/>
      <c r="F9" s="1674"/>
      <c r="G9" s="1674"/>
      <c r="H9" s="1674"/>
      <c r="I9" s="1676"/>
      <c r="J9" s="1676"/>
      <c r="K9" s="1676"/>
    </row>
    <row r="10" spans="1:12" s="324" customFormat="1" ht="16.25" customHeight="1" thickBot="1">
      <c r="B10" s="695" t="s">
        <v>1011</v>
      </c>
      <c r="C10" s="686" t="s">
        <v>630</v>
      </c>
      <c r="D10" s="1659"/>
      <c r="E10" s="1651"/>
      <c r="F10" s="687"/>
      <c r="G10" s="660"/>
      <c r="H10" s="661"/>
      <c r="I10" s="661"/>
      <c r="J10" s="661"/>
      <c r="K10" s="661"/>
    </row>
    <row r="11" spans="1:12" s="324" customFormat="1" ht="16.25" hidden="1" customHeight="1">
      <c r="B11" s="326" t="s">
        <v>631</v>
      </c>
      <c r="C11" s="1652"/>
      <c r="D11" s="1653"/>
      <c r="E11" s="1653"/>
      <c r="F11" s="1653"/>
      <c r="G11" s="1653"/>
      <c r="H11" s="1653"/>
      <c r="I11" s="1653"/>
      <c r="J11" s="1653"/>
      <c r="K11" s="1653"/>
    </row>
    <row r="12" spans="1:12" s="324" customFormat="1" ht="16.25" hidden="1" customHeight="1">
      <c r="C12" s="327"/>
      <c r="D12" s="328"/>
      <c r="E12" s="328"/>
      <c r="F12" s="328"/>
      <c r="G12" s="328"/>
      <c r="H12" s="328"/>
      <c r="I12" s="328"/>
      <c r="J12" s="328"/>
      <c r="K12" s="329"/>
    </row>
    <row r="13" spans="1:12" s="324" customFormat="1" ht="16.25" hidden="1" customHeight="1">
      <c r="B13" s="326" t="s">
        <v>632</v>
      </c>
      <c r="C13" s="1662"/>
      <c r="D13" s="1662"/>
      <c r="E13" s="1662"/>
      <c r="F13" s="1662"/>
      <c r="G13" s="1662"/>
      <c r="H13" s="1662"/>
      <c r="I13" s="1662"/>
      <c r="J13" s="1662"/>
      <c r="K13" s="1662"/>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741</v>
      </c>
      <c r="C17" s="401"/>
      <c r="D17" s="401"/>
      <c r="E17" s="402"/>
      <c r="F17" s="330"/>
      <c r="G17" s="330"/>
      <c r="H17" s="330"/>
      <c r="I17" s="330"/>
    </row>
    <row r="18" spans="1:9" ht="14.5" hidden="1" thickBot="1">
      <c r="B18" s="331" t="s">
        <v>635</v>
      </c>
      <c r="C18" s="1655">
        <v>0</v>
      </c>
      <c r="D18" s="1656"/>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657" t="s">
        <v>643</v>
      </c>
      <c r="C27" s="1657"/>
      <c r="D27" s="1658"/>
      <c r="E27" s="688"/>
      <c r="F27" s="322" t="s">
        <v>644</v>
      </c>
      <c r="G27" s="330"/>
      <c r="H27" s="330"/>
      <c r="I27" s="330"/>
    </row>
    <row r="28" spans="1:9" ht="14.5" thickBot="1">
      <c r="B28" s="1657" t="s">
        <v>645</v>
      </c>
      <c r="C28" s="1657"/>
      <c r="D28" s="1658"/>
      <c r="E28" s="689"/>
      <c r="F28" s="322" t="s">
        <v>646</v>
      </c>
      <c r="G28" s="330"/>
      <c r="H28" s="330"/>
      <c r="I28" s="330"/>
    </row>
    <row r="29" spans="1:9">
      <c r="B29" s="1657" t="s">
        <v>647</v>
      </c>
      <c r="C29" s="1657"/>
      <c r="D29" s="1658"/>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970" t="s">
        <v>1389</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925" t="s">
        <v>1379</v>
      </c>
      <c r="H35" s="339"/>
      <c r="I35" s="339"/>
      <c r="J35" s="339"/>
      <c r="K35" s="339"/>
    </row>
    <row r="36" spans="1:18" ht="18">
      <c r="A36" s="337"/>
      <c r="C36" s="339"/>
      <c r="D36" s="339"/>
      <c r="E36" s="339"/>
      <c r="F36" s="339"/>
      <c r="G36" s="339"/>
      <c r="H36" s="339"/>
      <c r="I36" s="339"/>
      <c r="J36" s="339"/>
      <c r="K36" s="339"/>
      <c r="O36" s="340"/>
    </row>
    <row r="37" spans="1:18" ht="18" hidden="1">
      <c r="A37" s="337"/>
      <c r="B37" s="927"/>
      <c r="C37" s="339"/>
      <c r="D37" s="339"/>
      <c r="E37" s="339"/>
      <c r="F37" s="339"/>
      <c r="G37" s="339"/>
      <c r="H37" s="339"/>
      <c r="I37" s="339"/>
      <c r="J37" s="339"/>
      <c r="K37" s="339"/>
      <c r="O37" s="340"/>
    </row>
    <row r="38" spans="1:18" ht="18" hidden="1">
      <c r="A38" s="325"/>
      <c r="B38" s="927"/>
      <c r="O38" s="340"/>
      <c r="P38" s="340"/>
    </row>
    <row r="39" spans="1:18" ht="18" hidden="1">
      <c r="A39" s="325"/>
      <c r="B39" s="927"/>
      <c r="O39" s="340"/>
      <c r="P39" s="340"/>
    </row>
    <row r="40" spans="1:18" ht="18" hidden="1">
      <c r="A40" s="325"/>
      <c r="B40" s="927"/>
      <c r="O40" s="340"/>
      <c r="P40" s="339" t="b">
        <f>OR(AND(O41,O42)=TRUE,AND(O43,O44)=TRUE,AND(O45,O46)=TRUE)</f>
        <v>0</v>
      </c>
    </row>
    <row r="41" spans="1:18" ht="18" hidden="1">
      <c r="A41" s="325"/>
      <c r="B41" s="927"/>
      <c r="N41" s="887" t="s">
        <v>1349</v>
      </c>
      <c r="O41" s="340" t="b">
        <v>0</v>
      </c>
      <c r="P41" s="339" t="b">
        <f>IF(AND(O41,O42)=TRUE,FALSE,O41)</f>
        <v>0</v>
      </c>
      <c r="Q41" s="322" t="str">
        <f>IF(P41=TRUE,"屋根遮熱","")</f>
        <v/>
      </c>
    </row>
    <row r="42" spans="1:18" ht="18" hidden="1">
      <c r="A42" s="325"/>
      <c r="B42" s="928"/>
      <c r="N42" s="887" t="s">
        <v>1350</v>
      </c>
      <c r="O42" s="340" t="b">
        <v>0</v>
      </c>
      <c r="P42" s="339" t="b">
        <f>IF(AND(O42,O41)=TRUE,FALSE,O42)</f>
        <v>0</v>
      </c>
      <c r="Q42" s="322" t="str">
        <f>IF(P42=TRUE,"屋根断熱","")</f>
        <v/>
      </c>
    </row>
    <row r="43" spans="1:18">
      <c r="A43" s="323">
        <v>2</v>
      </c>
      <c r="B43" s="323" t="s">
        <v>651</v>
      </c>
      <c r="N43" s="887" t="s">
        <v>1352</v>
      </c>
      <c r="O43" s="340" t="b">
        <v>0</v>
      </c>
      <c r="P43" s="339" t="b">
        <f>IF(AND(O43,O44)=TRUE,FALSE,O43)</f>
        <v>0</v>
      </c>
      <c r="Q43" s="322" t="str">
        <f>IF(P43=TRUE,"外壁断熱","")</f>
        <v/>
      </c>
    </row>
    <row r="44" spans="1:18">
      <c r="B44" s="324" t="s">
        <v>652</v>
      </c>
      <c r="N44" s="887" t="s">
        <v>1351</v>
      </c>
      <c r="O44" s="340" t="b">
        <v>0</v>
      </c>
      <c r="P44" s="339" t="b">
        <f>IF(AND(O44,O43)=TRUE,FALSE,O44)</f>
        <v>0</v>
      </c>
      <c r="Q44" s="322" t="str">
        <f>IF(P44=TRUE,"外壁遮熱","")</f>
        <v/>
      </c>
    </row>
    <row r="45" spans="1:18" ht="14.5" thickBot="1">
      <c r="B45" s="324" t="s">
        <v>653</v>
      </c>
      <c r="N45" s="887" t="s">
        <v>1353</v>
      </c>
      <c r="O45" s="340" t="b">
        <v>0</v>
      </c>
      <c r="P45" s="339" t="b">
        <f>IF(AND(O45,O46)=TRUE,FALSE,O45)</f>
        <v>0</v>
      </c>
      <c r="Q45" s="322" t="str">
        <f>IF(P45=TRUE,"窓断熱","")</f>
        <v/>
      </c>
    </row>
    <row r="46" spans="1:18" ht="14.5" thickBot="1">
      <c r="B46" s="1661" t="s">
        <v>654</v>
      </c>
      <c r="C46" s="1661"/>
      <c r="D46" s="1661"/>
      <c r="E46" s="1661"/>
      <c r="N46" s="887" t="s">
        <v>1354</v>
      </c>
      <c r="O46" s="340" t="b">
        <v>0</v>
      </c>
      <c r="P46" s="339" t="b">
        <f>IF(AND(O46,O45)=TRUE,FALSE,O46)</f>
        <v>0</v>
      </c>
      <c r="Q46" s="322" t="str">
        <f>IF(P46=TRUE,"窓遮熱","")</f>
        <v/>
      </c>
      <c r="R46" s="886" t="str">
        <f>Q41&amp;"　"&amp;Q42&amp;"　"&amp;Q43&amp;"  "&amp;Q44&amp;"  "&amp;Q45&amp;"  "&amp;Q46</f>
        <v xml:space="preserve">　　      </v>
      </c>
    </row>
    <row r="47" spans="1:18" ht="17" thickBot="1">
      <c r="B47" s="330" t="s">
        <v>655</v>
      </c>
      <c r="C47" s="330" t="s">
        <v>656</v>
      </c>
      <c r="D47" s="341" t="s">
        <v>1120</v>
      </c>
    </row>
    <row r="48" spans="1:18" ht="14.5" thickBot="1">
      <c r="B48" s="342" t="s">
        <v>657</v>
      </c>
      <c r="C48" s="690" t="s">
        <v>658</v>
      </c>
      <c r="D48" s="691"/>
      <c r="G48" s="330"/>
      <c r="N48" s="322">
        <f>IF(P$41=TRUE,D48,IF(P$42=TRUE,D48,0))</f>
        <v>0</v>
      </c>
    </row>
    <row r="49" spans="2:15" ht="14.5" thickBot="1">
      <c r="B49" s="1660" t="s">
        <v>659</v>
      </c>
      <c r="C49" s="690" t="s">
        <v>660</v>
      </c>
      <c r="D49" s="692"/>
      <c r="N49" s="322">
        <f>IF(P$43=TRUE,D49,IF(P$44=TRUE,D49,0))</f>
        <v>0</v>
      </c>
    </row>
    <row r="50" spans="2:15" ht="14.5" thickBot="1">
      <c r="B50" s="1660"/>
      <c r="C50" s="690" t="s">
        <v>661</v>
      </c>
      <c r="D50" s="692">
        <v>0</v>
      </c>
      <c r="N50" s="322">
        <f t="shared" ref="N50:N56" si="0">IF(P$43=TRUE,D50,IF(P$44=TRUE,D50,0))</f>
        <v>0</v>
      </c>
    </row>
    <row r="51" spans="2:15" ht="14.5" thickBot="1">
      <c r="B51" s="1660"/>
      <c r="C51" s="690" t="s">
        <v>662</v>
      </c>
      <c r="D51" s="692"/>
      <c r="N51" s="322">
        <f t="shared" si="0"/>
        <v>0</v>
      </c>
    </row>
    <row r="52" spans="2:15" ht="14.5" thickBot="1">
      <c r="B52" s="1660"/>
      <c r="C52" s="690" t="s">
        <v>663</v>
      </c>
      <c r="D52" s="692"/>
      <c r="N52" s="322">
        <f t="shared" si="0"/>
        <v>0</v>
      </c>
    </row>
    <row r="53" spans="2:15" ht="14.5" thickBot="1">
      <c r="B53" s="1660"/>
      <c r="C53" s="690" t="s">
        <v>664</v>
      </c>
      <c r="D53" s="692"/>
      <c r="N53" s="322">
        <f t="shared" si="0"/>
        <v>0</v>
      </c>
    </row>
    <row r="54" spans="2:15" ht="14.5" thickBot="1">
      <c r="B54" s="1660"/>
      <c r="C54" s="690" t="s">
        <v>665</v>
      </c>
      <c r="D54" s="692">
        <v>0</v>
      </c>
      <c r="N54" s="322">
        <f t="shared" si="0"/>
        <v>0</v>
      </c>
    </row>
    <row r="55" spans="2:15" ht="14.5" thickBot="1">
      <c r="B55" s="1660"/>
      <c r="C55" s="690" t="s">
        <v>666</v>
      </c>
      <c r="D55" s="692"/>
      <c r="E55" s="345"/>
      <c r="N55" s="322">
        <f t="shared" si="0"/>
        <v>0</v>
      </c>
    </row>
    <row r="56" spans="2:15" ht="14.5" thickBot="1">
      <c r="B56" s="1660"/>
      <c r="C56" s="690" t="s">
        <v>667</v>
      </c>
      <c r="D56" s="692">
        <v>0</v>
      </c>
      <c r="N56" s="322">
        <f t="shared" si="0"/>
        <v>0</v>
      </c>
    </row>
    <row r="57" spans="2:15" ht="14.5" thickBot="1">
      <c r="B57" s="1660" t="s">
        <v>668</v>
      </c>
      <c r="C57" s="690" t="s">
        <v>660</v>
      </c>
      <c r="D57" s="692"/>
      <c r="N57" s="322">
        <f>IF(P$45=TRUE,D57,0)</f>
        <v>0</v>
      </c>
      <c r="O57" s="322">
        <f>IF(P$46=TRUE,D57,0)</f>
        <v>0</v>
      </c>
    </row>
    <row r="58" spans="2:15" ht="14.5" thickBot="1">
      <c r="B58" s="1660"/>
      <c r="C58" s="690" t="s">
        <v>661</v>
      </c>
      <c r="D58" s="692">
        <v>0</v>
      </c>
      <c r="N58" s="322">
        <f t="shared" ref="N58:N64" si="1">IF(P$45=TRUE,D58,0)</f>
        <v>0</v>
      </c>
      <c r="O58" s="322">
        <f t="shared" ref="O58:O64" si="2">IF(P$46=TRUE,D58,0)</f>
        <v>0</v>
      </c>
    </row>
    <row r="59" spans="2:15" ht="14.5" thickBot="1">
      <c r="B59" s="1660"/>
      <c r="C59" s="690" t="s">
        <v>662</v>
      </c>
      <c r="D59" s="692"/>
      <c r="N59" s="322">
        <f t="shared" si="1"/>
        <v>0</v>
      </c>
      <c r="O59" s="322">
        <f>IF(P$46=TRUE,D59,0)</f>
        <v>0</v>
      </c>
    </row>
    <row r="60" spans="2:15" ht="14.5" thickBot="1">
      <c r="B60" s="1660"/>
      <c r="C60" s="690" t="s">
        <v>663</v>
      </c>
      <c r="D60" s="692">
        <v>0</v>
      </c>
      <c r="N60" s="322">
        <f t="shared" si="1"/>
        <v>0</v>
      </c>
      <c r="O60" s="322">
        <f t="shared" si="2"/>
        <v>0</v>
      </c>
    </row>
    <row r="61" spans="2:15" ht="14.5" thickBot="1">
      <c r="B61" s="1660"/>
      <c r="C61" s="690" t="s">
        <v>664</v>
      </c>
      <c r="D61" s="692"/>
      <c r="N61" s="322">
        <f t="shared" si="1"/>
        <v>0</v>
      </c>
      <c r="O61" s="322">
        <f t="shared" si="2"/>
        <v>0</v>
      </c>
    </row>
    <row r="62" spans="2:15" ht="14.5" thickBot="1">
      <c r="B62" s="1660"/>
      <c r="C62" s="690" t="s">
        <v>665</v>
      </c>
      <c r="D62" s="692">
        <v>0</v>
      </c>
      <c r="N62" s="322">
        <f t="shared" si="1"/>
        <v>0</v>
      </c>
      <c r="O62" s="322">
        <f t="shared" si="2"/>
        <v>0</v>
      </c>
    </row>
    <row r="63" spans="2:15" ht="14.5" thickBot="1">
      <c r="B63" s="1660"/>
      <c r="C63" s="690" t="s">
        <v>666</v>
      </c>
      <c r="D63" s="692"/>
      <c r="N63" s="322">
        <f t="shared" si="1"/>
        <v>0</v>
      </c>
      <c r="O63" s="322">
        <f t="shared" si="2"/>
        <v>0</v>
      </c>
    </row>
    <row r="64" spans="2:15" ht="14.5" thickBot="1">
      <c r="B64" s="1660"/>
      <c r="C64" s="690" t="s">
        <v>667</v>
      </c>
      <c r="D64" s="693">
        <v>0</v>
      </c>
      <c r="E64" s="322" t="s">
        <v>669</v>
      </c>
      <c r="G64" s="330"/>
      <c r="N64" s="322">
        <f t="shared" si="1"/>
        <v>0</v>
      </c>
      <c r="O64" s="322">
        <f t="shared" si="2"/>
        <v>0</v>
      </c>
    </row>
    <row r="65" spans="1:9">
      <c r="E65" s="346" t="s">
        <v>670</v>
      </c>
    </row>
    <row r="66" spans="1:9">
      <c r="E66" s="346" t="s">
        <v>671</v>
      </c>
    </row>
    <row r="68" spans="1:9" ht="18" customHeight="1">
      <c r="A68" s="1009" t="s">
        <v>1410</v>
      </c>
      <c r="B68" s="323"/>
    </row>
    <row r="69" spans="1:9" ht="18" customHeight="1">
      <c r="A69" s="633" t="s">
        <v>1383</v>
      </c>
    </row>
    <row r="70" spans="1:9" ht="18" customHeight="1">
      <c r="A70" s="633"/>
      <c r="B70" s="1664" t="s">
        <v>1417</v>
      </c>
      <c r="C70" s="1664"/>
      <c r="D70" s="1664"/>
      <c r="E70" s="1664"/>
      <c r="F70" s="1664"/>
      <c r="G70" s="1664"/>
      <c r="H70" s="1664"/>
      <c r="I70" s="1664"/>
    </row>
    <row r="71" spans="1:9" ht="18" customHeight="1">
      <c r="B71" s="816" t="s">
        <v>1390</v>
      </c>
    </row>
    <row r="72" spans="1:9" ht="18" hidden="1" customHeight="1">
      <c r="B72" s="929"/>
    </row>
    <row r="73" spans="1:9" ht="18" hidden="1" customHeight="1">
      <c r="B73" s="705"/>
    </row>
    <row r="74" spans="1:9" ht="18" hidden="1" customHeight="1">
      <c r="B74" s="705"/>
    </row>
    <row r="75" spans="1:9" ht="18" customHeight="1">
      <c r="B75" s="1661" t="s">
        <v>672</v>
      </c>
      <c r="C75" s="1661"/>
      <c r="D75" s="1661"/>
      <c r="E75" s="1661"/>
    </row>
    <row r="76" spans="1:9" ht="18" customHeight="1">
      <c r="B76" s="820" t="s">
        <v>192</v>
      </c>
      <c r="C76" s="334"/>
      <c r="D76" s="347">
        <v>3.91</v>
      </c>
      <c r="E76" s="334" t="s">
        <v>1121</v>
      </c>
      <c r="G76" s="1633" t="s">
        <v>1122</v>
      </c>
      <c r="H76" s="1633"/>
      <c r="I76" s="1633"/>
    </row>
    <row r="77" spans="1:9" ht="12" customHeight="1">
      <c r="B77" s="334"/>
      <c r="C77" s="334"/>
      <c r="D77" s="334"/>
      <c r="E77" s="334"/>
    </row>
    <row r="78" spans="1:9" ht="18" customHeight="1">
      <c r="B78" s="816" t="s">
        <v>1131</v>
      </c>
      <c r="D78" s="1632" t="str">
        <f>IF(D76&gt;3.91,"補助対象外の性能値です","")</f>
        <v/>
      </c>
      <c r="E78" s="1632"/>
      <c r="F78" s="1632"/>
      <c r="G78" s="1632"/>
      <c r="H78" s="1632"/>
      <c r="I78" s="1632"/>
    </row>
    <row r="79" spans="1:9" ht="18" hidden="1" customHeight="1">
      <c r="B79" s="324"/>
    </row>
    <row r="80" spans="1:9" ht="18" hidden="1" customHeight="1">
      <c r="B80" s="705"/>
    </row>
    <row r="81" spans="1:18" ht="18" hidden="1" customHeight="1">
      <c r="B81" s="706"/>
    </row>
    <row r="82" spans="1:18" ht="18" customHeight="1">
      <c r="B82" s="348" t="s">
        <v>673</v>
      </c>
      <c r="C82" s="348"/>
      <c r="D82" s="348"/>
      <c r="E82" s="348"/>
    </row>
    <row r="83" spans="1:18" ht="18" customHeight="1">
      <c r="B83" s="334" t="s">
        <v>674</v>
      </c>
      <c r="C83" s="334"/>
      <c r="D83" s="333">
        <v>0.7</v>
      </c>
      <c r="E83" s="334"/>
      <c r="G83" s="1633" t="s">
        <v>1413</v>
      </c>
      <c r="H83" s="1633"/>
    </row>
    <row r="84" spans="1:18" ht="18" customHeight="1">
      <c r="B84" s="334"/>
      <c r="C84" s="334"/>
      <c r="D84" s="334"/>
      <c r="E84" s="334"/>
    </row>
    <row r="85" spans="1:18" ht="18" customHeight="1">
      <c r="A85" s="694"/>
      <c r="B85" s="694"/>
      <c r="C85" s="694"/>
      <c r="D85" s="1663" t="str">
        <f>IF(D83&gt;0.7,"補助対象外の性能値です","")</f>
        <v/>
      </c>
      <c r="E85" s="1663"/>
      <c r="F85" s="1663"/>
      <c r="G85" s="1663"/>
      <c r="H85" s="1663"/>
      <c r="I85" s="1663"/>
      <c r="J85" s="694"/>
      <c r="K85" s="694"/>
      <c r="L85" s="694"/>
    </row>
    <row r="86" spans="1:18" ht="18" customHeight="1">
      <c r="A86" s="633" t="s">
        <v>1384</v>
      </c>
      <c r="O86" s="349" t="s">
        <v>675</v>
      </c>
      <c r="P86" s="349"/>
      <c r="Q86" s="349"/>
      <c r="R86" s="349"/>
    </row>
    <row r="87" spans="1:18" ht="18" customHeight="1">
      <c r="B87" s="816" t="s">
        <v>1132</v>
      </c>
      <c r="O87" s="349" t="s">
        <v>676</v>
      </c>
      <c r="P87" s="349"/>
      <c r="Q87" s="349"/>
      <c r="R87" s="349"/>
    </row>
    <row r="88" spans="1:18" ht="18" customHeight="1" thickBot="1">
      <c r="B88" s="1693" t="s">
        <v>1416</v>
      </c>
      <c r="C88" s="1693"/>
      <c r="D88" s="1693"/>
      <c r="E88" s="1693"/>
      <c r="F88" s="1693"/>
      <c r="G88" s="1693"/>
      <c r="H88" s="1693"/>
      <c r="I88" s="1693"/>
      <c r="J88" s="1693"/>
      <c r="K88" s="1693"/>
      <c r="L88" s="1693"/>
      <c r="O88" s="1654" t="s">
        <v>678</v>
      </c>
      <c r="P88" s="1654"/>
      <c r="Q88" s="1654"/>
    </row>
    <row r="89" spans="1:18" ht="18" hidden="1" customHeight="1" thickBot="1">
      <c r="B89" s="1677" t="s">
        <v>677</v>
      </c>
      <c r="C89" s="1677"/>
      <c r="D89" s="1677"/>
      <c r="E89" s="1677"/>
      <c r="O89" s="701"/>
      <c r="P89" s="701"/>
      <c r="Q89" s="701"/>
    </row>
    <row r="90" spans="1:18" ht="18" hidden="1" customHeight="1" thickBot="1">
      <c r="B90" s="705"/>
      <c r="C90" s="702"/>
      <c r="D90" s="702"/>
      <c r="E90" s="702"/>
      <c r="O90" s="701"/>
      <c r="P90" s="701"/>
      <c r="Q90" s="701"/>
    </row>
    <row r="91" spans="1:18" s="373" customFormat="1" ht="18" customHeight="1" thickBot="1">
      <c r="A91" s="322"/>
      <c r="B91" s="705"/>
      <c r="C91" s="702"/>
      <c r="D91" s="702"/>
      <c r="E91" s="702"/>
      <c r="F91" s="322"/>
      <c r="G91" s="322"/>
      <c r="H91" s="322"/>
      <c r="I91" s="322"/>
      <c r="J91" s="322"/>
      <c r="K91" s="322"/>
      <c r="L91" s="322"/>
      <c r="O91" s="397" t="s">
        <v>734</v>
      </c>
      <c r="P91" s="398" t="s">
        <v>735</v>
      </c>
      <c r="Q91" s="399" t="s">
        <v>737</v>
      </c>
    </row>
    <row r="92" spans="1:18" ht="18" customHeight="1" thickBot="1">
      <c r="A92" s="373"/>
      <c r="B92" s="364" t="s">
        <v>731</v>
      </c>
      <c r="C92" s="1015" t="s">
        <v>732</v>
      </c>
      <c r="D92" s="1015" t="s">
        <v>704</v>
      </c>
      <c r="E92" s="400"/>
      <c r="F92" s="373"/>
      <c r="G92" s="373"/>
      <c r="H92" s="373"/>
      <c r="I92" s="373"/>
      <c r="J92" s="373"/>
      <c r="K92" s="373"/>
      <c r="L92" s="373"/>
      <c r="O92" s="1678" t="s">
        <v>682</v>
      </c>
      <c r="P92" s="354" t="s">
        <v>683</v>
      </c>
      <c r="Q92" s="355">
        <v>1.18</v>
      </c>
      <c r="R92" s="349" t="s">
        <v>684</v>
      </c>
    </row>
    <row r="93" spans="1:18" ht="18" customHeight="1" thickBot="1">
      <c r="B93" s="1660" t="s">
        <v>659</v>
      </c>
      <c r="C93" s="1011" t="s">
        <v>660</v>
      </c>
      <c r="D93" s="1012">
        <v>1.18</v>
      </c>
      <c r="E93" s="334" t="s">
        <v>1121</v>
      </c>
      <c r="G93" s="1631" t="s">
        <v>1123</v>
      </c>
      <c r="H93" s="1631"/>
      <c r="I93" s="1631"/>
      <c r="O93" s="1679"/>
      <c r="P93" s="356" t="s">
        <v>685</v>
      </c>
      <c r="Q93" s="357">
        <v>0.8</v>
      </c>
      <c r="R93" s="358" t="s">
        <v>686</v>
      </c>
    </row>
    <row r="94" spans="1:18" ht="18" customHeight="1" thickBot="1">
      <c r="B94" s="1660"/>
      <c r="C94" s="343" t="s">
        <v>661</v>
      </c>
      <c r="D94" s="601">
        <v>1.18</v>
      </c>
      <c r="E94" s="334" t="s">
        <v>1121</v>
      </c>
      <c r="G94" s="1632" t="str">
        <f>IF(OR(D93&gt;1.18,D94&gt;1.18,D95&gt;1.18,D96&gt;1.18,D97&gt;1.18,D98&gt;1.18,D99&gt;1.18,D100&gt;1.18),"補助対象外の性能値です","")</f>
        <v/>
      </c>
      <c r="H94" s="1632"/>
      <c r="I94" s="1632"/>
      <c r="J94" s="1632"/>
      <c r="K94" s="1632"/>
      <c r="L94" s="1632"/>
      <c r="O94" s="1679"/>
      <c r="P94" s="356" t="s">
        <v>687</v>
      </c>
      <c r="Q94" s="357">
        <v>0.8</v>
      </c>
      <c r="R94" s="358" t="s">
        <v>686</v>
      </c>
    </row>
    <row r="95" spans="1:18" ht="18" customHeight="1" thickBot="1">
      <c r="B95" s="1660"/>
      <c r="C95" s="343" t="s">
        <v>662</v>
      </c>
      <c r="D95" s="601">
        <v>1.18</v>
      </c>
      <c r="E95" s="334" t="s">
        <v>1121</v>
      </c>
      <c r="O95" s="1679"/>
      <c r="P95" s="356" t="s">
        <v>688</v>
      </c>
      <c r="Q95" s="357">
        <v>0.8</v>
      </c>
      <c r="R95" s="358" t="s">
        <v>686</v>
      </c>
    </row>
    <row r="96" spans="1:18" ht="18" customHeight="1" thickBot="1">
      <c r="B96" s="1660"/>
      <c r="C96" s="343" t="s">
        <v>663</v>
      </c>
      <c r="D96" s="601">
        <v>1.18</v>
      </c>
      <c r="E96" s="334" t="s">
        <v>1121</v>
      </c>
      <c r="O96" s="1679"/>
      <c r="P96" s="359" t="s">
        <v>689</v>
      </c>
      <c r="Q96" s="360">
        <v>1.18</v>
      </c>
      <c r="R96" s="349" t="s">
        <v>684</v>
      </c>
    </row>
    <row r="97" spans="1:19" ht="18" customHeight="1" thickBot="1">
      <c r="B97" s="1660"/>
      <c r="C97" s="343" t="s">
        <v>664</v>
      </c>
      <c r="D97" s="601">
        <v>1.18</v>
      </c>
      <c r="E97" s="334" t="s">
        <v>1121</v>
      </c>
      <c r="O97" s="1679"/>
      <c r="P97" s="359" t="s">
        <v>690</v>
      </c>
      <c r="Q97" s="360">
        <v>1.18</v>
      </c>
      <c r="R97" s="349" t="s">
        <v>684</v>
      </c>
    </row>
    <row r="98" spans="1:19" ht="18" customHeight="1" thickBot="1">
      <c r="B98" s="1660"/>
      <c r="C98" s="343" t="s">
        <v>665</v>
      </c>
      <c r="D98" s="601">
        <v>1.18</v>
      </c>
      <c r="E98" s="334" t="s">
        <v>1121</v>
      </c>
      <c r="O98" s="1679"/>
      <c r="P98" s="359" t="s">
        <v>691</v>
      </c>
      <c r="Q98" s="360">
        <v>1.18</v>
      </c>
      <c r="R98" s="349" t="s">
        <v>684</v>
      </c>
    </row>
    <row r="99" spans="1:19" ht="18" customHeight="1" thickBot="1">
      <c r="B99" s="1660"/>
      <c r="C99" s="343" t="s">
        <v>666</v>
      </c>
      <c r="D99" s="601">
        <v>1.18</v>
      </c>
      <c r="E99" s="334" t="s">
        <v>1121</v>
      </c>
      <c r="O99" s="1680"/>
      <c r="P99" s="361" t="s">
        <v>692</v>
      </c>
      <c r="Q99" s="362">
        <v>1.18</v>
      </c>
      <c r="R99" s="349" t="s">
        <v>684</v>
      </c>
    </row>
    <row r="100" spans="1:19" ht="18" customHeight="1" thickBot="1">
      <c r="B100" s="1660"/>
      <c r="C100" s="343" t="s">
        <v>667</v>
      </c>
      <c r="D100" s="601">
        <v>1.18</v>
      </c>
      <c r="E100" s="334" t="s">
        <v>1121</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816" t="s">
        <v>1133</v>
      </c>
      <c r="O102" s="349" t="s">
        <v>676</v>
      </c>
      <c r="P102" s="349"/>
      <c r="Q102" s="349"/>
      <c r="R102" s="349"/>
      <c r="S102" s="349"/>
    </row>
    <row r="103" spans="1:19" ht="18" hidden="1" customHeight="1">
      <c r="B103" s="395"/>
      <c r="O103" s="349"/>
      <c r="P103" s="349"/>
      <c r="Q103" s="349"/>
      <c r="R103" s="349"/>
      <c r="S103" s="349"/>
    </row>
    <row r="104" spans="1:19" ht="18" hidden="1" customHeight="1">
      <c r="B104" s="705"/>
      <c r="O104" s="349"/>
      <c r="P104" s="349"/>
      <c r="Q104" s="349"/>
      <c r="R104" s="349"/>
      <c r="S104" s="349"/>
    </row>
    <row r="105" spans="1:19" ht="18" hidden="1" customHeight="1">
      <c r="B105" s="706"/>
      <c r="O105" s="349"/>
      <c r="P105" s="349"/>
      <c r="Q105" s="349"/>
      <c r="R105" s="349"/>
      <c r="S105" s="349"/>
    </row>
    <row r="106" spans="1:19" ht="18" customHeight="1" thickBot="1">
      <c r="B106" s="706"/>
      <c r="O106" s="1654" t="s">
        <v>694</v>
      </c>
      <c r="P106" s="1654"/>
      <c r="Q106" s="1654"/>
      <c r="S106" s="349"/>
    </row>
    <row r="107" spans="1:19" s="373" customFormat="1" ht="18" customHeight="1" thickBot="1">
      <c r="A107" s="322"/>
      <c r="B107" s="1677" t="s">
        <v>693</v>
      </c>
      <c r="C107" s="1677"/>
      <c r="D107" s="1677"/>
      <c r="E107" s="1677"/>
      <c r="F107" s="1677"/>
      <c r="G107" s="1677"/>
      <c r="H107" s="322"/>
      <c r="I107" s="322"/>
      <c r="J107" s="322"/>
      <c r="K107" s="322"/>
      <c r="L107" s="322"/>
      <c r="O107" s="397" t="s">
        <v>734</v>
      </c>
      <c r="P107" s="398" t="s">
        <v>735</v>
      </c>
      <c r="Q107" s="399" t="s">
        <v>736</v>
      </c>
    </row>
    <row r="108" spans="1:19" ht="18" customHeight="1" thickBot="1">
      <c r="A108" s="373"/>
      <c r="B108" s="364" t="s">
        <v>731</v>
      </c>
      <c r="C108" s="1015" t="s">
        <v>732</v>
      </c>
      <c r="D108" s="1016" t="s">
        <v>1411</v>
      </c>
      <c r="E108" s="364"/>
      <c r="F108" s="373"/>
      <c r="G108" s="373"/>
      <c r="H108" s="373"/>
      <c r="I108" s="373"/>
      <c r="J108" s="373"/>
      <c r="K108" s="373"/>
      <c r="L108" s="373"/>
      <c r="O108" s="1678" t="s">
        <v>682</v>
      </c>
      <c r="P108" s="354" t="s">
        <v>683</v>
      </c>
      <c r="Q108" s="355">
        <v>0.7</v>
      </c>
      <c r="R108" s="349" t="s">
        <v>684</v>
      </c>
      <c r="S108" s="349"/>
    </row>
    <row r="109" spans="1:19" ht="18" customHeight="1" thickBot="1">
      <c r="B109" s="1660" t="s">
        <v>659</v>
      </c>
      <c r="C109" s="343" t="s">
        <v>660</v>
      </c>
      <c r="D109" s="1010">
        <v>0.7</v>
      </c>
      <c r="E109" s="334"/>
      <c r="G109" s="1631" t="s">
        <v>1413</v>
      </c>
      <c r="H109" s="1631"/>
      <c r="O109" s="1679"/>
      <c r="P109" s="356" t="s">
        <v>685</v>
      </c>
      <c r="Q109" s="357">
        <v>0.3</v>
      </c>
      <c r="R109" s="358" t="s">
        <v>695</v>
      </c>
      <c r="S109" s="349"/>
    </row>
    <row r="110" spans="1:19" ht="18" customHeight="1" thickBot="1">
      <c r="B110" s="1660"/>
      <c r="C110" s="343" t="s">
        <v>661</v>
      </c>
      <c r="D110" s="600">
        <v>0.7</v>
      </c>
      <c r="E110" s="334"/>
      <c r="G110" s="1632" t="str">
        <f>IF(OR((D109&gt;0.7),D110&gt;0.7,D111&gt;0.7,D112&gt;0.7,D113&gt;0.7,D114&gt;0.7,D116&gt;0.7),"補助対象外の性能値です","")</f>
        <v/>
      </c>
      <c r="H110" s="1632"/>
      <c r="I110" s="1632"/>
      <c r="J110" s="1632"/>
      <c r="K110" s="1632"/>
      <c r="L110" s="1632"/>
      <c r="O110" s="1679"/>
      <c r="P110" s="356" t="s">
        <v>687</v>
      </c>
      <c r="Q110" s="357">
        <v>0.3</v>
      </c>
      <c r="R110" s="358" t="s">
        <v>695</v>
      </c>
      <c r="S110" s="349"/>
    </row>
    <row r="111" spans="1:19" ht="18" customHeight="1" thickBot="1">
      <c r="B111" s="1660"/>
      <c r="C111" s="343" t="s">
        <v>662</v>
      </c>
      <c r="D111" s="600">
        <v>0.7</v>
      </c>
      <c r="E111" s="334"/>
      <c r="O111" s="1679"/>
      <c r="P111" s="356" t="s">
        <v>688</v>
      </c>
      <c r="Q111" s="357">
        <v>0.3</v>
      </c>
      <c r="R111" s="358" t="s">
        <v>695</v>
      </c>
      <c r="S111" s="349"/>
    </row>
    <row r="112" spans="1:19" ht="18" customHeight="1" thickBot="1">
      <c r="B112" s="1660"/>
      <c r="C112" s="343" t="s">
        <v>663</v>
      </c>
      <c r="D112" s="600">
        <v>0.7</v>
      </c>
      <c r="E112" s="334"/>
      <c r="O112" s="1679"/>
      <c r="P112" s="359" t="s">
        <v>689</v>
      </c>
      <c r="Q112" s="360">
        <v>0.7</v>
      </c>
      <c r="R112" s="349" t="s">
        <v>684</v>
      </c>
      <c r="S112" s="349"/>
    </row>
    <row r="113" spans="1:19" ht="18" customHeight="1" thickBot="1">
      <c r="B113" s="1660"/>
      <c r="C113" s="343" t="s">
        <v>664</v>
      </c>
      <c r="D113" s="600">
        <v>0.7</v>
      </c>
      <c r="E113" s="334"/>
      <c r="O113" s="1679"/>
      <c r="P113" s="359" t="s">
        <v>690</v>
      </c>
      <c r="Q113" s="360">
        <v>0.7</v>
      </c>
      <c r="R113" s="349" t="s">
        <v>684</v>
      </c>
      <c r="S113" s="349"/>
    </row>
    <row r="114" spans="1:19" ht="18" customHeight="1" thickBot="1">
      <c r="B114" s="1660"/>
      <c r="C114" s="343" t="s">
        <v>665</v>
      </c>
      <c r="D114" s="600">
        <v>0.7</v>
      </c>
      <c r="E114" s="334"/>
      <c r="O114" s="1679"/>
      <c r="P114" s="359" t="s">
        <v>691</v>
      </c>
      <c r="Q114" s="360">
        <v>0.7</v>
      </c>
      <c r="R114" s="349" t="s">
        <v>684</v>
      </c>
      <c r="S114" s="349"/>
    </row>
    <row r="115" spans="1:19" ht="18" customHeight="1" thickBot="1">
      <c r="B115" s="1660"/>
      <c r="C115" s="343" t="s">
        <v>666</v>
      </c>
      <c r="D115" s="600">
        <v>0.7</v>
      </c>
      <c r="E115" s="334"/>
      <c r="O115" s="1680"/>
      <c r="P115" s="361" t="s">
        <v>692</v>
      </c>
      <c r="Q115" s="362">
        <v>0.7</v>
      </c>
      <c r="R115" s="349" t="s">
        <v>684</v>
      </c>
    </row>
    <row r="116" spans="1:19" ht="18" customHeight="1" thickBot="1">
      <c r="B116" s="1660"/>
      <c r="C116" s="343" t="s">
        <v>667</v>
      </c>
      <c r="D116" s="600">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709"/>
      <c r="B120" s="710"/>
      <c r="C120" s="710"/>
      <c r="D120" s="710"/>
      <c r="E120" s="709"/>
      <c r="F120" s="709"/>
      <c r="G120" s="709"/>
      <c r="H120" s="709"/>
      <c r="I120" s="709"/>
      <c r="J120" s="709"/>
      <c r="K120" s="709"/>
      <c r="L120" s="709"/>
    </row>
    <row r="121" spans="1:19" ht="18" customHeight="1">
      <c r="A121" s="973" t="s">
        <v>1385</v>
      </c>
      <c r="C121" s="350"/>
      <c r="D121" s="350"/>
      <c r="E121" s="350"/>
      <c r="F121" s="334"/>
      <c r="G121" s="363"/>
      <c r="H121" s="363"/>
      <c r="I121" s="363"/>
      <c r="J121" s="708"/>
      <c r="K121" s="334"/>
      <c r="L121" s="334"/>
    </row>
    <row r="122" spans="1:19" ht="18" customHeight="1">
      <c r="B122" s="1694" t="s">
        <v>1422</v>
      </c>
      <c r="C122" s="1695"/>
      <c r="D122" s="1695"/>
      <c r="E122" s="1695"/>
      <c r="F122" s="1695"/>
      <c r="G122" s="1695"/>
      <c r="H122" s="1695"/>
      <c r="I122" s="1695"/>
      <c r="J122" s="1695"/>
      <c r="K122" s="1695"/>
    </row>
    <row r="123" spans="1:19" ht="18" customHeight="1">
      <c r="B123" s="1695"/>
      <c r="C123" s="1695"/>
      <c r="D123" s="1695"/>
      <c r="E123" s="1695"/>
      <c r="F123" s="1695"/>
      <c r="G123" s="1695"/>
      <c r="H123" s="1695"/>
      <c r="I123" s="1695"/>
      <c r="J123" s="1695"/>
      <c r="K123" s="1695"/>
    </row>
    <row r="124" spans="1:19" ht="18" customHeight="1" thickBot="1">
      <c r="B124" s="1668" t="s">
        <v>1408</v>
      </c>
      <c r="C124" s="1669"/>
      <c r="D124" s="1669"/>
      <c r="E124" s="1669"/>
      <c r="F124" s="1669"/>
      <c r="G124" s="1669"/>
    </row>
    <row r="125" spans="1:19" ht="19.5" thickBot="1">
      <c r="B125" s="1639" t="s">
        <v>1415</v>
      </c>
      <c r="C125" s="1639"/>
      <c r="D125" s="1640"/>
      <c r="E125" s="1696" t="s">
        <v>1409</v>
      </c>
      <c r="F125" s="1697"/>
      <c r="G125" s="1017" t="s">
        <v>1054</v>
      </c>
    </row>
    <row r="126" spans="1:19" ht="18" customHeight="1" thickBot="1">
      <c r="B126" s="1641" t="s">
        <v>696</v>
      </c>
      <c r="C126" s="1642"/>
      <c r="D126" s="1643"/>
      <c r="E126" s="365">
        <v>5.95</v>
      </c>
      <c r="F126" s="366" t="s">
        <v>1121</v>
      </c>
      <c r="G126" s="1008">
        <v>0.876</v>
      </c>
    </row>
    <row r="127" spans="1:19" ht="18" customHeight="1" thickBot="1">
      <c r="B127" s="1644" t="s">
        <v>697</v>
      </c>
      <c r="C127" s="1645"/>
      <c r="D127" s="1646"/>
      <c r="E127" s="367">
        <v>5.61</v>
      </c>
      <c r="F127" s="366" t="s">
        <v>1121</v>
      </c>
      <c r="G127" s="368">
        <v>0.49</v>
      </c>
    </row>
    <row r="128" spans="1:19" ht="18" customHeight="1" thickBot="1">
      <c r="B128" s="1685" t="s">
        <v>698</v>
      </c>
      <c r="C128" s="1686"/>
      <c r="D128" s="1687"/>
      <c r="E128" s="369">
        <v>2.5</v>
      </c>
      <c r="F128" s="366" t="s">
        <v>1121</v>
      </c>
      <c r="G128" s="370">
        <v>0.41499999999999998</v>
      </c>
    </row>
    <row r="129" spans="2:22" ht="18" customHeight="1" thickBot="1">
      <c r="B129" s="1682" t="s">
        <v>699</v>
      </c>
      <c r="C129" s="1683"/>
      <c r="D129" s="1684"/>
      <c r="E129" s="371">
        <v>1.69</v>
      </c>
      <c r="F129" s="366" t="s">
        <v>1121</v>
      </c>
      <c r="G129" s="372">
        <v>0.40799999999999997</v>
      </c>
    </row>
    <row r="130" spans="2:22" ht="18" customHeight="1" thickBot="1">
      <c r="B130" s="1636" t="s">
        <v>1414</v>
      </c>
      <c r="C130" s="1637"/>
      <c r="D130" s="1638"/>
      <c r="E130" s="344"/>
      <c r="F130" s="366" t="s">
        <v>1121</v>
      </c>
      <c r="G130" s="344"/>
      <c r="H130" s="1681"/>
      <c r="I130" s="1633"/>
      <c r="J130" s="1633"/>
      <c r="K130" s="1633"/>
      <c r="L130" s="1633"/>
      <c r="O130" s="349" t="s">
        <v>675</v>
      </c>
      <c r="P130" s="349"/>
      <c r="Q130" s="349"/>
      <c r="R130" s="349"/>
      <c r="S130" s="349"/>
    </row>
    <row r="131" spans="2:22" ht="18" customHeight="1">
      <c r="B131" s="1647" t="s">
        <v>1421</v>
      </c>
      <c r="C131" s="1648"/>
      <c r="D131" s="1648"/>
      <c r="E131" s="1648"/>
      <c r="F131" s="1648"/>
      <c r="G131" s="1648"/>
      <c r="H131" s="1648"/>
      <c r="I131" s="1648"/>
      <c r="J131" s="1648"/>
      <c r="K131" s="1648"/>
      <c r="L131" s="1648"/>
      <c r="O131" s="349"/>
      <c r="P131" s="349"/>
      <c r="Q131" s="349"/>
      <c r="R131" s="349"/>
      <c r="S131" s="349"/>
    </row>
    <row r="132" spans="2:22" ht="18" customHeight="1">
      <c r="B132" s="1648"/>
      <c r="C132" s="1648"/>
      <c r="D132" s="1648"/>
      <c r="E132" s="1648"/>
      <c r="F132" s="1648"/>
      <c r="G132" s="1648"/>
      <c r="H132" s="1648"/>
      <c r="I132" s="1648"/>
      <c r="J132" s="1648"/>
      <c r="K132" s="1648"/>
      <c r="L132" s="1648"/>
      <c r="O132" s="349"/>
      <c r="P132" s="349"/>
      <c r="Q132" s="349"/>
      <c r="R132" s="349"/>
      <c r="S132" s="349"/>
    </row>
    <row r="133" spans="2:22" ht="18" hidden="1" customHeight="1">
      <c r="B133" s="1018"/>
      <c r="C133" s="1018"/>
      <c r="D133" s="1018"/>
      <c r="E133" s="1018"/>
      <c r="F133" s="1018"/>
      <c r="G133" s="1018"/>
      <c r="H133" s="1018"/>
      <c r="I133" s="1018"/>
      <c r="J133" s="1018"/>
      <c r="K133" s="1018"/>
      <c r="L133" s="1018"/>
      <c r="O133" s="349"/>
      <c r="P133" s="349"/>
      <c r="Q133" s="349"/>
      <c r="R133" s="349"/>
      <c r="S133" s="349"/>
    </row>
    <row r="134" spans="2:22" ht="18" hidden="1" customHeight="1">
      <c r="B134" s="705"/>
      <c r="C134" s="894"/>
      <c r="D134" s="894"/>
      <c r="E134" s="894"/>
      <c r="F134" s="894"/>
      <c r="G134" s="894"/>
      <c r="H134" s="894"/>
      <c r="I134" s="894"/>
      <c r="J134" s="894"/>
      <c r="K134" s="894"/>
      <c r="O134" s="349" t="s">
        <v>700</v>
      </c>
      <c r="P134" s="349"/>
      <c r="Q134" s="349"/>
      <c r="R134" s="349"/>
      <c r="S134" s="349"/>
    </row>
    <row r="135" spans="2:22" ht="18" customHeight="1">
      <c r="B135" s="1635" t="s">
        <v>1418</v>
      </c>
      <c r="C135" s="1635"/>
      <c r="D135" s="1635"/>
      <c r="E135" s="1635"/>
      <c r="F135" s="1635"/>
      <c r="G135" s="1635"/>
      <c r="H135" s="1635"/>
      <c r="I135" s="1635"/>
      <c r="J135" s="1635"/>
      <c r="K135" s="1635"/>
      <c r="L135" s="1635"/>
      <c r="O135" s="349" t="s">
        <v>701</v>
      </c>
      <c r="P135" s="349"/>
      <c r="Q135" s="349"/>
      <c r="R135" s="349"/>
      <c r="S135" s="349"/>
    </row>
    <row r="136" spans="2:22" ht="18" customHeight="1">
      <c r="B136" s="1635"/>
      <c r="C136" s="1635"/>
      <c r="D136" s="1635"/>
      <c r="E136" s="1635"/>
      <c r="F136" s="1635"/>
      <c r="G136" s="1635"/>
      <c r="H136" s="1635"/>
      <c r="I136" s="1635"/>
      <c r="J136" s="1635"/>
      <c r="K136" s="1635"/>
      <c r="L136" s="1635"/>
      <c r="O136" s="349"/>
      <c r="P136" s="349"/>
      <c r="Q136" s="349"/>
      <c r="R136" s="349"/>
      <c r="S136" s="349"/>
    </row>
    <row r="137" spans="2:22" ht="18" hidden="1" customHeight="1">
      <c r="B137" s="324"/>
      <c r="O137" s="349" t="s">
        <v>703</v>
      </c>
      <c r="P137" s="349"/>
      <c r="Q137" s="349"/>
      <c r="R137" s="349"/>
      <c r="S137" s="349"/>
    </row>
    <row r="138" spans="2:22" ht="25.5" customHeight="1" thickBot="1">
      <c r="B138" s="403" t="s">
        <v>1407</v>
      </c>
      <c r="C138" s="346"/>
      <c r="D138" s="346"/>
      <c r="E138" s="346"/>
      <c r="I138" s="1633" t="s">
        <v>702</v>
      </c>
      <c r="J138" s="1633"/>
      <c r="K138" s="1633"/>
      <c r="O138" s="1654" t="s">
        <v>705</v>
      </c>
      <c r="P138" s="1654"/>
      <c r="Q138" s="1654"/>
      <c r="R138" s="1654"/>
      <c r="S138" s="349"/>
    </row>
    <row r="139" spans="2:22" ht="22.5" thickBot="1">
      <c r="B139" s="396" t="s">
        <v>731</v>
      </c>
      <c r="C139" s="396" t="s">
        <v>732</v>
      </c>
      <c r="D139" s="1692" t="s">
        <v>733</v>
      </c>
      <c r="E139" s="1692"/>
      <c r="F139" s="1692"/>
      <c r="G139" s="364" t="s">
        <v>704</v>
      </c>
      <c r="H139" s="1013" t="s">
        <v>1412</v>
      </c>
      <c r="I139" s="1634" t="s">
        <v>704</v>
      </c>
      <c r="J139" s="1634"/>
      <c r="K139" s="1014" t="s">
        <v>1412</v>
      </c>
      <c r="O139" s="351" t="s">
        <v>679</v>
      </c>
      <c r="P139" s="352" t="s">
        <v>680</v>
      </c>
      <c r="Q139" s="352" t="s">
        <v>681</v>
      </c>
      <c r="R139" s="353" t="s">
        <v>706</v>
      </c>
      <c r="S139" s="349"/>
    </row>
    <row r="140" spans="2:22" ht="18" customHeight="1" thickBot="1">
      <c r="B140" s="1660" t="s">
        <v>668</v>
      </c>
      <c r="C140" s="343" t="s">
        <v>660</v>
      </c>
      <c r="D140" s="1670" t="s">
        <v>696</v>
      </c>
      <c r="E140" s="1671"/>
      <c r="F140" s="1672"/>
      <c r="G140" s="350">
        <f>INDEX($E$126:$E$130,V140,1)</f>
        <v>5.95</v>
      </c>
      <c r="H140" s="334">
        <f>INDEX($G$126:$G$130,V140,1)</f>
        <v>0.876</v>
      </c>
      <c r="J140" s="345" t="s">
        <v>1124</v>
      </c>
      <c r="K140" s="330">
        <v>0.876</v>
      </c>
      <c r="O140" s="1688" t="s">
        <v>707</v>
      </c>
      <c r="P140" s="354" t="s">
        <v>683</v>
      </c>
      <c r="Q140" s="374">
        <v>6.29</v>
      </c>
      <c r="R140" s="375">
        <v>0.96</v>
      </c>
      <c r="S140" s="349" t="s">
        <v>684</v>
      </c>
      <c r="V140" s="322">
        <f t="shared" ref="V140:V146" si="3">MATCH($D140,$B$126:$B$130,0)</f>
        <v>1</v>
      </c>
    </row>
    <row r="141" spans="2:22" ht="18" customHeight="1" thickBot="1">
      <c r="B141" s="1660"/>
      <c r="C141" s="343" t="s">
        <v>661</v>
      </c>
      <c r="D141" s="1673" t="s">
        <v>696</v>
      </c>
      <c r="E141" s="1671"/>
      <c r="F141" s="1672"/>
      <c r="G141" s="350">
        <f t="shared" ref="G141:G146" si="4">INDEX($E$126:$E$130,V141,1)</f>
        <v>5.95</v>
      </c>
      <c r="H141" s="334">
        <f t="shared" ref="H141:H146" si="5">INDEX($G$126:$G$130,V141,1)</f>
        <v>0.876</v>
      </c>
      <c r="O141" s="1689"/>
      <c r="P141" s="359" t="s">
        <v>708</v>
      </c>
      <c r="Q141" s="376">
        <v>6.29</v>
      </c>
      <c r="R141" s="377">
        <v>0.96</v>
      </c>
      <c r="S141" s="349" t="s">
        <v>684</v>
      </c>
      <c r="V141" s="322">
        <f t="shared" si="3"/>
        <v>1</v>
      </c>
    </row>
    <row r="142" spans="2:22" ht="18" customHeight="1" thickBot="1">
      <c r="B142" s="1660"/>
      <c r="C142" s="343" t="s">
        <v>662</v>
      </c>
      <c r="D142" s="1673" t="s">
        <v>696</v>
      </c>
      <c r="E142" s="1671"/>
      <c r="F142" s="1672"/>
      <c r="G142" s="350">
        <f t="shared" si="4"/>
        <v>5.95</v>
      </c>
      <c r="H142" s="334">
        <f t="shared" si="5"/>
        <v>0.876</v>
      </c>
      <c r="O142" s="1689"/>
      <c r="P142" s="359" t="s">
        <v>709</v>
      </c>
      <c r="Q142" s="376">
        <v>6.29</v>
      </c>
      <c r="R142" s="377">
        <v>0.96</v>
      </c>
      <c r="S142" s="349" t="s">
        <v>684</v>
      </c>
      <c r="V142" s="322">
        <f t="shared" si="3"/>
        <v>1</v>
      </c>
    </row>
    <row r="143" spans="2:22" ht="18" customHeight="1" thickBot="1">
      <c r="B143" s="1660"/>
      <c r="C143" s="343" t="s">
        <v>663</v>
      </c>
      <c r="D143" s="1673" t="s">
        <v>696</v>
      </c>
      <c r="E143" s="1671"/>
      <c r="F143" s="1672"/>
      <c r="G143" s="350">
        <f t="shared" si="4"/>
        <v>5.95</v>
      </c>
      <c r="H143" s="334">
        <f t="shared" si="5"/>
        <v>0.876</v>
      </c>
      <c r="O143" s="1689"/>
      <c r="P143" s="359" t="s">
        <v>710</v>
      </c>
      <c r="Q143" s="376">
        <v>6.29</v>
      </c>
      <c r="R143" s="377">
        <v>0.96</v>
      </c>
      <c r="S143" s="349" t="s">
        <v>684</v>
      </c>
      <c r="V143" s="322">
        <f t="shared" si="3"/>
        <v>1</v>
      </c>
    </row>
    <row r="144" spans="2:22" ht="18" customHeight="1" thickBot="1">
      <c r="B144" s="1660"/>
      <c r="C144" s="343" t="s">
        <v>664</v>
      </c>
      <c r="D144" s="1673" t="s">
        <v>696</v>
      </c>
      <c r="E144" s="1671"/>
      <c r="F144" s="1672"/>
      <c r="G144" s="350">
        <f t="shared" si="4"/>
        <v>5.95</v>
      </c>
      <c r="H144" s="334">
        <f t="shared" si="5"/>
        <v>0.876</v>
      </c>
      <c r="O144" s="1689"/>
      <c r="P144" s="356" t="s">
        <v>711</v>
      </c>
      <c r="Q144" s="378">
        <v>3</v>
      </c>
      <c r="R144" s="379">
        <v>0.8</v>
      </c>
      <c r="S144" s="358" t="s">
        <v>712</v>
      </c>
      <c r="V144" s="322">
        <f t="shared" si="3"/>
        <v>1</v>
      </c>
    </row>
    <row r="145" spans="1:22" ht="18" customHeight="1" thickBot="1">
      <c r="B145" s="1660"/>
      <c r="C145" s="343" t="s">
        <v>665</v>
      </c>
      <c r="D145" s="1673" t="s">
        <v>696</v>
      </c>
      <c r="E145" s="1671"/>
      <c r="F145" s="1672"/>
      <c r="G145" s="350">
        <f t="shared" si="4"/>
        <v>5.95</v>
      </c>
      <c r="H145" s="334">
        <f t="shared" si="5"/>
        <v>0.876</v>
      </c>
      <c r="O145" s="1689"/>
      <c r="P145" s="356" t="s">
        <v>713</v>
      </c>
      <c r="Q145" s="378">
        <v>3</v>
      </c>
      <c r="R145" s="379">
        <v>0.8</v>
      </c>
      <c r="S145" s="358" t="s">
        <v>712</v>
      </c>
      <c r="V145" s="322">
        <f t="shared" si="3"/>
        <v>1</v>
      </c>
    </row>
    <row r="146" spans="1:22" ht="18" customHeight="1" thickBot="1">
      <c r="B146" s="1660"/>
      <c r="C146" s="343" t="s">
        <v>666</v>
      </c>
      <c r="D146" s="1673" t="s">
        <v>696</v>
      </c>
      <c r="E146" s="1671"/>
      <c r="F146" s="1672"/>
      <c r="G146" s="350">
        <f t="shared" si="4"/>
        <v>5.95</v>
      </c>
      <c r="H146" s="334">
        <f t="shared" si="5"/>
        <v>0.876</v>
      </c>
      <c r="O146" s="1689"/>
      <c r="P146" s="356" t="s">
        <v>714</v>
      </c>
      <c r="Q146" s="378">
        <v>3</v>
      </c>
      <c r="R146" s="379">
        <v>0.8</v>
      </c>
      <c r="S146" s="358" t="s">
        <v>712</v>
      </c>
      <c r="V146" s="322">
        <f t="shared" si="3"/>
        <v>1</v>
      </c>
    </row>
    <row r="147" spans="1:22" ht="18" customHeight="1" thickBot="1">
      <c r="B147" s="1660"/>
      <c r="C147" s="343" t="s">
        <v>667</v>
      </c>
      <c r="D147" s="1673" t="s">
        <v>696</v>
      </c>
      <c r="E147" s="1671"/>
      <c r="F147" s="1672"/>
      <c r="G147" s="350">
        <f>INDEX($E$126:$E$130,V149,1)</f>
        <v>5.95</v>
      </c>
      <c r="H147" s="334">
        <f>INDEX($G$126:$G$130,V149,1)</f>
        <v>0.876</v>
      </c>
      <c r="O147" s="1690"/>
      <c r="P147" s="711"/>
      <c r="Q147" s="712"/>
      <c r="R147" s="713"/>
      <c r="S147" s="358"/>
    </row>
    <row r="148" spans="1:22" ht="18" customHeight="1">
      <c r="B148" s="350"/>
      <c r="C148" s="350"/>
      <c r="D148" s="350"/>
      <c r="E148" s="350"/>
      <c r="F148" s="350"/>
      <c r="G148" s="350"/>
      <c r="H148" s="334"/>
      <c r="O148" s="1690"/>
      <c r="P148" s="711"/>
      <c r="Q148" s="712"/>
      <c r="R148" s="713"/>
      <c r="S148" s="358"/>
    </row>
    <row r="149" spans="1:22" ht="18" hidden="1" customHeight="1" thickBot="1">
      <c r="B149" s="350"/>
      <c r="C149" s="350"/>
      <c r="D149" s="350"/>
      <c r="E149" s="350"/>
      <c r="F149" s="350"/>
      <c r="G149" s="350"/>
      <c r="H149" s="334"/>
      <c r="O149" s="1691"/>
      <c r="P149" s="361" t="s">
        <v>692</v>
      </c>
      <c r="Q149" s="380">
        <v>6.29</v>
      </c>
      <c r="R149" s="381">
        <v>0.96</v>
      </c>
      <c r="S149" s="349" t="s">
        <v>684</v>
      </c>
      <c r="V149" s="322">
        <f>MATCH($D147,$B$126:$B$130,0)</f>
        <v>1</v>
      </c>
    </row>
    <row r="150" spans="1:22" ht="18" hidden="1" customHeight="1"/>
    <row r="151" spans="1:22" ht="18" hidden="1" customHeight="1">
      <c r="A151" s="382">
        <v>4</v>
      </c>
      <c r="B151" s="383" t="s">
        <v>715</v>
      </c>
      <c r="C151" s="384"/>
      <c r="D151" s="384"/>
      <c r="E151" s="384"/>
      <c r="F151" s="384"/>
      <c r="G151" s="384"/>
      <c r="H151" s="384"/>
      <c r="I151" s="384"/>
      <c r="J151" s="384"/>
      <c r="K151" s="385"/>
    </row>
    <row r="152" spans="1:22" ht="18" hidden="1" customHeight="1">
      <c r="A152" s="386"/>
      <c r="K152" s="387"/>
    </row>
    <row r="153" spans="1:22" ht="18" hidden="1" customHeight="1">
      <c r="A153" s="386"/>
      <c r="B153" s="322" t="s">
        <v>716</v>
      </c>
      <c r="K153" s="387"/>
    </row>
    <row r="154" spans="1:22" ht="18" hidden="1" customHeight="1">
      <c r="A154" s="386"/>
      <c r="B154" s="1667" t="s">
        <v>717</v>
      </c>
      <c r="C154" s="1667"/>
      <c r="D154" s="1667"/>
      <c r="E154" s="1667"/>
      <c r="F154" s="1667"/>
      <c r="K154" s="387"/>
    </row>
    <row r="155" spans="1:22" ht="18" hidden="1" customHeight="1">
      <c r="A155" s="386"/>
      <c r="B155" s="388" t="s">
        <v>718</v>
      </c>
      <c r="C155" s="388" t="s">
        <v>719</v>
      </c>
      <c r="D155" s="388" t="s">
        <v>720</v>
      </c>
      <c r="E155" s="388" t="s">
        <v>721</v>
      </c>
      <c r="F155" s="388" t="s">
        <v>722</v>
      </c>
      <c r="K155" s="387"/>
    </row>
    <row r="156" spans="1:22" ht="18" hidden="1" customHeight="1">
      <c r="A156" s="386"/>
      <c r="B156" s="389" t="s">
        <v>723</v>
      </c>
      <c r="C156" s="388" t="s">
        <v>636</v>
      </c>
      <c r="D156" s="390">
        <f t="shared" ref="D156:F157" si="6">D166+D176+D186+D196+D216+D206</f>
        <v>0</v>
      </c>
      <c r="E156" s="390">
        <f t="shared" si="6"/>
        <v>0</v>
      </c>
      <c r="F156" s="390">
        <f t="shared" si="6"/>
        <v>0</v>
      </c>
      <c r="K156" s="387"/>
    </row>
    <row r="157" spans="1:22" ht="18" hidden="1" customHeight="1">
      <c r="A157" s="386"/>
      <c r="B157" s="389" t="s">
        <v>724</v>
      </c>
      <c r="C157" s="388" t="s">
        <v>725</v>
      </c>
      <c r="D157" s="898">
        <f t="shared" si="6"/>
        <v>0</v>
      </c>
      <c r="E157" s="898">
        <f t="shared" si="6"/>
        <v>0</v>
      </c>
      <c r="F157" s="898">
        <f t="shared" si="6"/>
        <v>0</v>
      </c>
      <c r="K157" s="387"/>
    </row>
    <row r="158" spans="1:22" ht="18" hidden="1" customHeight="1">
      <c r="A158" s="386"/>
      <c r="B158" s="389" t="s">
        <v>726</v>
      </c>
      <c r="C158" s="388" t="s">
        <v>246</v>
      </c>
      <c r="D158" s="391" t="e">
        <f>(1-D160/D159)*100</f>
        <v>#DIV/0!</v>
      </c>
      <c r="E158" s="391" t="e">
        <f t="shared" ref="E158:F158" si="7">(1-E160/E159)*100</f>
        <v>#DIV/0!</v>
      </c>
      <c r="F158" s="391" t="e">
        <f t="shared" si="7"/>
        <v>#DIV/0!</v>
      </c>
      <c r="K158" s="387"/>
    </row>
    <row r="159" spans="1:22" ht="18" hidden="1" customHeight="1">
      <c r="A159" s="386"/>
      <c r="B159" s="389" t="s">
        <v>727</v>
      </c>
      <c r="C159" s="388" t="s">
        <v>725</v>
      </c>
      <c r="D159" s="559">
        <f t="shared" ref="D159:F162" si="8">D169+D179+D189+D199+D219+D209</f>
        <v>0</v>
      </c>
      <c r="E159" s="559">
        <f t="shared" si="8"/>
        <v>0</v>
      </c>
      <c r="F159" s="559">
        <f t="shared" si="8"/>
        <v>0</v>
      </c>
      <c r="K159" s="387"/>
    </row>
    <row r="160" spans="1:22" ht="18" hidden="1" customHeight="1">
      <c r="A160" s="386"/>
      <c r="B160" s="389" t="s">
        <v>728</v>
      </c>
      <c r="C160" s="388" t="s">
        <v>725</v>
      </c>
      <c r="D160" s="559">
        <f t="shared" si="8"/>
        <v>0</v>
      </c>
      <c r="E160" s="559">
        <f t="shared" si="8"/>
        <v>0</v>
      </c>
      <c r="F160" s="559">
        <f t="shared" si="8"/>
        <v>0</v>
      </c>
      <c r="K160" s="387"/>
    </row>
    <row r="161" spans="1:11" ht="18" hidden="1" customHeight="1" thickBot="1">
      <c r="A161" s="386"/>
      <c r="B161" s="389" t="s">
        <v>729</v>
      </c>
      <c r="C161" s="388" t="s">
        <v>636</v>
      </c>
      <c r="D161" s="892">
        <f t="shared" si="8"/>
        <v>0</v>
      </c>
      <c r="E161" s="892">
        <f t="shared" si="8"/>
        <v>0</v>
      </c>
      <c r="F161" s="892">
        <f t="shared" si="8"/>
        <v>0</v>
      </c>
      <c r="K161" s="387"/>
    </row>
    <row r="162" spans="1:11" ht="18" hidden="1" customHeight="1">
      <c r="A162" s="392"/>
      <c r="B162" s="389" t="s">
        <v>730</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thickBot="1">
      <c r="B164" s="388" t="s">
        <v>1345</v>
      </c>
      <c r="C164" s="322" t="s">
        <v>1358</v>
      </c>
    </row>
    <row r="165" spans="1:11" ht="18" hidden="1" customHeight="1" thickBot="1">
      <c r="B165" s="388" t="s">
        <v>718</v>
      </c>
      <c r="C165" s="388" t="s">
        <v>719</v>
      </c>
      <c r="D165" s="388" t="s">
        <v>720</v>
      </c>
      <c r="E165" s="388" t="s">
        <v>721</v>
      </c>
      <c r="F165" s="388" t="s">
        <v>722</v>
      </c>
    </row>
    <row r="166" spans="1:11" ht="18" hidden="1" customHeight="1">
      <c r="B166" s="389" t="s">
        <v>723</v>
      </c>
      <c r="C166" s="388" t="s">
        <v>636</v>
      </c>
      <c r="D166" s="390">
        <f>さいたま市屋根遮熱!E34*H166</f>
        <v>0</v>
      </c>
      <c r="E166" s="390">
        <f>熊谷市屋根遮熱!E34*H166</f>
        <v>0</v>
      </c>
      <c r="F166" s="390">
        <f>秩父市屋根遮熱!E34*H166</f>
        <v>0</v>
      </c>
      <c r="H166" s="888" t="str">
        <f>IF(P41=TRUE,"1","0")</f>
        <v>0</v>
      </c>
    </row>
    <row r="167" spans="1:11" ht="18" hidden="1" customHeight="1">
      <c r="B167" s="389" t="s">
        <v>724</v>
      </c>
      <c r="C167" s="388" t="s">
        <v>725</v>
      </c>
      <c r="D167" s="559">
        <f>さいたま市屋根遮熱!E35*H166</f>
        <v>0</v>
      </c>
      <c r="E167" s="559">
        <f>熊谷市屋根遮熱!E35*H166</f>
        <v>0</v>
      </c>
      <c r="F167" s="559">
        <f>秩父市屋根遮熱!E35*H166</f>
        <v>0</v>
      </c>
    </row>
    <row r="168" spans="1:11" ht="18" hidden="1" customHeight="1">
      <c r="B168" s="389" t="s">
        <v>726</v>
      </c>
      <c r="C168" s="388" t="s">
        <v>246</v>
      </c>
      <c r="D168" s="391" t="e">
        <f>(1-D170/D169)*100*H166</f>
        <v>#DIV/0!</v>
      </c>
      <c r="E168" s="391" t="e">
        <f>(1-E170/E169)*100*H166</f>
        <v>#DIV/0!</v>
      </c>
      <c r="F168" s="391" t="e">
        <f>(1-F170/F169)*100*H166</f>
        <v>#DIV/0!</v>
      </c>
    </row>
    <row r="169" spans="1:11" ht="18" hidden="1" customHeight="1">
      <c r="B169" s="389" t="s">
        <v>727</v>
      </c>
      <c r="C169" s="388" t="s">
        <v>725</v>
      </c>
      <c r="D169" s="391">
        <f>さいたま市屋根遮熱!T35*H166</f>
        <v>0</v>
      </c>
      <c r="E169" s="391">
        <f>熊谷市屋根遮熱!T35*H166</f>
        <v>0</v>
      </c>
      <c r="F169" s="391">
        <f>秩父市屋根遮熱!T35*H166</f>
        <v>0</v>
      </c>
    </row>
    <row r="170" spans="1:11" ht="18" hidden="1" customHeight="1">
      <c r="B170" s="389" t="s">
        <v>728</v>
      </c>
      <c r="C170" s="388" t="s">
        <v>725</v>
      </c>
      <c r="D170" s="391">
        <f>さいたま市屋根遮熱!AB35*H166</f>
        <v>0</v>
      </c>
      <c r="E170" s="391">
        <f>熊谷市屋根遮熱!AB35*H166</f>
        <v>0</v>
      </c>
      <c r="F170" s="391">
        <f>秩父市屋根遮熱!AB35*H166</f>
        <v>0</v>
      </c>
    </row>
    <row r="171" spans="1:11" ht="18" hidden="1" customHeight="1">
      <c r="B171" s="389" t="s">
        <v>729</v>
      </c>
      <c r="C171" s="388" t="s">
        <v>636</v>
      </c>
      <c r="D171" s="558">
        <f>さいたま市屋根遮熱!T34*H166</f>
        <v>0</v>
      </c>
      <c r="E171" s="558">
        <f>熊谷市屋根遮熱!T34*H166</f>
        <v>0</v>
      </c>
      <c r="F171" s="558">
        <f>秩父市屋根遮熱!T34*H166</f>
        <v>0</v>
      </c>
    </row>
    <row r="172" spans="1:11" ht="18" hidden="1" customHeight="1">
      <c r="B172" s="389" t="s">
        <v>730</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thickBot="1">
      <c r="B174" s="388" t="s">
        <v>1346</v>
      </c>
      <c r="C174" s="322" t="s">
        <v>1356</v>
      </c>
    </row>
    <row r="175" spans="1:11" ht="18" hidden="1" customHeight="1" thickBot="1">
      <c r="B175" s="388" t="s">
        <v>718</v>
      </c>
      <c r="C175" s="388" t="s">
        <v>719</v>
      </c>
      <c r="D175" s="388" t="s">
        <v>720</v>
      </c>
      <c r="E175" s="388" t="s">
        <v>721</v>
      </c>
      <c r="F175" s="388" t="s">
        <v>722</v>
      </c>
    </row>
    <row r="176" spans="1:11" ht="18" hidden="1" customHeight="1">
      <c r="B176" s="389" t="s">
        <v>723</v>
      </c>
      <c r="C176" s="388" t="s">
        <v>636</v>
      </c>
      <c r="D176" s="390">
        <f>さいたま市屋根断熱!E34*H176</f>
        <v>0</v>
      </c>
      <c r="E176" s="390">
        <f>熊谷市屋根断熱!E34*H176</f>
        <v>0</v>
      </c>
      <c r="F176" s="390">
        <f>秩父市屋根断熱!E34*H176</f>
        <v>0</v>
      </c>
      <c r="H176" s="888" t="str">
        <f>IF(P42=TRUE,"1","0")</f>
        <v>0</v>
      </c>
    </row>
    <row r="177" spans="2:8" ht="18" hidden="1" customHeight="1">
      <c r="B177" s="389" t="s">
        <v>724</v>
      </c>
      <c r="C177" s="388" t="s">
        <v>725</v>
      </c>
      <c r="D177" s="559">
        <f>さいたま市屋根断熱!E35*H176</f>
        <v>0</v>
      </c>
      <c r="E177" s="559">
        <f>熊谷市屋根断熱!E35*H176</f>
        <v>0</v>
      </c>
      <c r="F177" s="559">
        <f>秩父市屋根断熱!E35*H176</f>
        <v>0</v>
      </c>
    </row>
    <row r="178" spans="2:8" ht="18" hidden="1" customHeight="1">
      <c r="B178" s="389" t="s">
        <v>726</v>
      </c>
      <c r="C178" s="388" t="s">
        <v>246</v>
      </c>
      <c r="D178" s="391" t="e">
        <f>(1-D180/D179)*100*H176</f>
        <v>#DIV/0!</v>
      </c>
      <c r="E178" s="391" t="e">
        <f>(1-E180/E179)*100*H176</f>
        <v>#DIV/0!</v>
      </c>
      <c r="F178" s="391" t="e">
        <f>(1-F180/F179)*100*H176</f>
        <v>#DIV/0!</v>
      </c>
    </row>
    <row r="179" spans="2:8" ht="18" hidden="1" customHeight="1">
      <c r="B179" s="389" t="s">
        <v>727</v>
      </c>
      <c r="C179" s="388" t="s">
        <v>725</v>
      </c>
      <c r="D179" s="391">
        <f>さいたま市屋根断熱!T35*H176</f>
        <v>0</v>
      </c>
      <c r="E179" s="391">
        <f>熊谷市屋根断熱!T35*H176</f>
        <v>0</v>
      </c>
      <c r="F179" s="391">
        <f>秩父市屋根断熱!T35*H176</f>
        <v>0</v>
      </c>
    </row>
    <row r="180" spans="2:8" ht="18" hidden="1" customHeight="1">
      <c r="B180" s="389" t="s">
        <v>728</v>
      </c>
      <c r="C180" s="388" t="s">
        <v>725</v>
      </c>
      <c r="D180" s="391">
        <f>さいたま市屋根断熱!AB35*H176</f>
        <v>0</v>
      </c>
      <c r="E180" s="391">
        <f>熊谷市屋根断熱!AB35*H176</f>
        <v>0</v>
      </c>
      <c r="F180" s="391">
        <f>秩父市屋根断熱!AB35*H176</f>
        <v>0</v>
      </c>
    </row>
    <row r="181" spans="2:8" ht="18" hidden="1" customHeight="1">
      <c r="B181" s="389" t="s">
        <v>729</v>
      </c>
      <c r="C181" s="388" t="s">
        <v>636</v>
      </c>
      <c r="D181" s="893">
        <f>さいたま市屋根断熱!T34*H176</f>
        <v>0</v>
      </c>
      <c r="E181" s="893">
        <f>熊谷市屋根断熱!T34*H176</f>
        <v>0</v>
      </c>
      <c r="F181" s="893">
        <f>秩父市屋根断熱!T34*H176</f>
        <v>0</v>
      </c>
    </row>
    <row r="182" spans="2:8" ht="18" hidden="1" customHeight="1">
      <c r="B182" s="389" t="s">
        <v>730</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thickBot="1">
      <c r="B184" s="388" t="s">
        <v>1347</v>
      </c>
      <c r="C184" s="322" t="s">
        <v>1355</v>
      </c>
    </row>
    <row r="185" spans="2:8" ht="18" hidden="1" customHeight="1" thickBot="1">
      <c r="B185" s="388" t="s">
        <v>718</v>
      </c>
      <c r="C185" s="388" t="s">
        <v>719</v>
      </c>
      <c r="D185" s="388" t="s">
        <v>720</v>
      </c>
      <c r="E185" s="388" t="s">
        <v>721</v>
      </c>
      <c r="F185" s="388" t="s">
        <v>722</v>
      </c>
    </row>
    <row r="186" spans="2:8" ht="18" hidden="1" customHeight="1">
      <c r="B186" s="389" t="s">
        <v>723</v>
      </c>
      <c r="C186" s="388" t="s">
        <v>636</v>
      </c>
      <c r="D186" s="390">
        <f>さいたま市外壁遮熱!E63*H186</f>
        <v>0</v>
      </c>
      <c r="E186" s="390">
        <f>熊谷市外壁遮熱!E63*H186</f>
        <v>0</v>
      </c>
      <c r="F186" s="390">
        <f>秩父市外壁遮熱!E63*H186</f>
        <v>0</v>
      </c>
      <c r="H186" s="888" t="str">
        <f>IF(P44=TRUE,"1","0")</f>
        <v>0</v>
      </c>
    </row>
    <row r="187" spans="2:8" ht="18" hidden="1" customHeight="1">
      <c r="B187" s="389" t="s">
        <v>724</v>
      </c>
      <c r="C187" s="388" t="s">
        <v>725</v>
      </c>
      <c r="D187" s="559">
        <f>さいたま市外壁遮熱!E64*H186</f>
        <v>0</v>
      </c>
      <c r="E187" s="559">
        <f>熊谷市外壁遮熱!E64*H186</f>
        <v>0</v>
      </c>
      <c r="F187" s="559">
        <f>秩父市外壁遮熱!E64*H186</f>
        <v>0</v>
      </c>
    </row>
    <row r="188" spans="2:8" ht="18" hidden="1" customHeight="1">
      <c r="B188" s="389" t="s">
        <v>726</v>
      </c>
      <c r="C188" s="388" t="s">
        <v>246</v>
      </c>
      <c r="D188" s="391" t="e">
        <f>(1-D190/D189)*100*H186</f>
        <v>#DIV/0!</v>
      </c>
      <c r="E188" s="391" t="e">
        <f>(1-E190/E189)*100*H186</f>
        <v>#DIV/0!</v>
      </c>
      <c r="F188" s="391" t="e">
        <f>(1-F190/F189)*100*H186</f>
        <v>#DIV/0!</v>
      </c>
    </row>
    <row r="189" spans="2:8" ht="18" hidden="1" customHeight="1">
      <c r="B189" s="389" t="s">
        <v>727</v>
      </c>
      <c r="C189" s="388" t="s">
        <v>725</v>
      </c>
      <c r="D189" s="391">
        <f>さいたま市外壁遮熱!T64*H186</f>
        <v>0</v>
      </c>
      <c r="E189" s="391">
        <f>熊谷市外壁遮熱!T64*H186</f>
        <v>0</v>
      </c>
      <c r="F189" s="391">
        <f>秩父市外壁遮熱!T64*H186</f>
        <v>0</v>
      </c>
    </row>
    <row r="190" spans="2:8" ht="18" hidden="1" customHeight="1">
      <c r="B190" s="389" t="s">
        <v>728</v>
      </c>
      <c r="C190" s="388" t="s">
        <v>725</v>
      </c>
      <c r="D190" s="391">
        <f>さいたま市外壁遮熱!AB64*H186</f>
        <v>0</v>
      </c>
      <c r="E190" s="391">
        <f>熊谷市外壁遮熱!AB64*H186</f>
        <v>0</v>
      </c>
      <c r="F190" s="391">
        <f>秩父市外壁遮熱!AB64*H186</f>
        <v>0</v>
      </c>
    </row>
    <row r="191" spans="2:8" ht="18" hidden="1" customHeight="1">
      <c r="B191" s="389" t="s">
        <v>729</v>
      </c>
      <c r="C191" s="388" t="s">
        <v>636</v>
      </c>
      <c r="D191" s="893">
        <f>さいたま市外壁遮熱!T63*H186</f>
        <v>0</v>
      </c>
      <c r="E191" s="893">
        <f>熊谷市外壁遮熱!T63*H186</f>
        <v>0</v>
      </c>
      <c r="F191" s="893">
        <f>秩父市外壁遮熱!T63*H186</f>
        <v>0</v>
      </c>
    </row>
    <row r="192" spans="2:8" ht="18" hidden="1" customHeight="1">
      <c r="B192" s="389" t="s">
        <v>730</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thickBot="1">
      <c r="B194" s="388" t="s">
        <v>1348</v>
      </c>
      <c r="C194" s="322" t="s">
        <v>1357</v>
      </c>
    </row>
    <row r="195" spans="2:8" ht="18" hidden="1" customHeight="1" thickBot="1">
      <c r="B195" s="388" t="s">
        <v>718</v>
      </c>
      <c r="C195" s="388" t="s">
        <v>719</v>
      </c>
      <c r="D195" s="388" t="s">
        <v>720</v>
      </c>
      <c r="E195" s="388" t="s">
        <v>721</v>
      </c>
      <c r="F195" s="388" t="s">
        <v>722</v>
      </c>
    </row>
    <row r="196" spans="2:8" ht="18" hidden="1" customHeight="1">
      <c r="B196" s="389" t="s">
        <v>723</v>
      </c>
      <c r="C196" s="388" t="s">
        <v>636</v>
      </c>
      <c r="D196" s="390">
        <f>さいたま市外壁断熱!E63*H196</f>
        <v>0</v>
      </c>
      <c r="E196" s="390">
        <f>熊谷市外壁断熱!E63*H196</f>
        <v>0</v>
      </c>
      <c r="F196" s="390">
        <f>秩父市外壁断熱!E63*H196</f>
        <v>0</v>
      </c>
      <c r="H196" s="888" t="str">
        <f>IF(P43=TRUE,"1","0")</f>
        <v>0</v>
      </c>
    </row>
    <row r="197" spans="2:8" ht="18" hidden="1" customHeight="1">
      <c r="B197" s="389" t="s">
        <v>724</v>
      </c>
      <c r="C197" s="388" t="s">
        <v>725</v>
      </c>
      <c r="D197" s="559">
        <f>さいたま市外壁断熱!E64*H196</f>
        <v>0</v>
      </c>
      <c r="E197" s="559">
        <f>熊谷市外壁断熱!E64*H196</f>
        <v>0</v>
      </c>
      <c r="F197" s="559">
        <f>秩父市外壁断熱!E64*H196</f>
        <v>0</v>
      </c>
    </row>
    <row r="198" spans="2:8" ht="18" hidden="1" customHeight="1">
      <c r="B198" s="389" t="s">
        <v>726</v>
      </c>
      <c r="C198" s="388" t="s">
        <v>246</v>
      </c>
      <c r="D198" s="391" t="e">
        <f>(1-D200/D199)*100*H196</f>
        <v>#DIV/0!</v>
      </c>
      <c r="E198" s="391" t="e">
        <f>(1-E200/E199)*100*H196</f>
        <v>#DIV/0!</v>
      </c>
      <c r="F198" s="391" t="e">
        <f>(1-F200/F199)*100*H196</f>
        <v>#DIV/0!</v>
      </c>
    </row>
    <row r="199" spans="2:8" ht="18" hidden="1" customHeight="1">
      <c r="B199" s="389" t="s">
        <v>727</v>
      </c>
      <c r="C199" s="388" t="s">
        <v>725</v>
      </c>
      <c r="D199" s="391">
        <f>さいたま市外壁断熱!T64*H196</f>
        <v>0</v>
      </c>
      <c r="E199" s="391">
        <f>熊谷市外壁断熱!T64*H196</f>
        <v>0</v>
      </c>
      <c r="F199" s="391">
        <f>秩父市外壁断熱!T64*H196</f>
        <v>0</v>
      </c>
    </row>
    <row r="200" spans="2:8" ht="18" hidden="1" customHeight="1">
      <c r="B200" s="389" t="s">
        <v>728</v>
      </c>
      <c r="C200" s="388" t="s">
        <v>725</v>
      </c>
      <c r="D200" s="391">
        <f>さいたま市外壁断熱!AB64*H196</f>
        <v>0</v>
      </c>
      <c r="E200" s="391">
        <f>熊谷市外壁断熱!AB64*H196</f>
        <v>0</v>
      </c>
      <c r="F200" s="391">
        <f>秩父市外壁断熱!AB64*H196</f>
        <v>0</v>
      </c>
    </row>
    <row r="201" spans="2:8" ht="18" hidden="1" customHeight="1">
      <c r="B201" s="389" t="s">
        <v>729</v>
      </c>
      <c r="C201" s="388" t="s">
        <v>636</v>
      </c>
      <c r="D201" s="893">
        <f>さいたま市外壁断熱!T63*H196</f>
        <v>0</v>
      </c>
      <c r="E201" s="893">
        <f>熊谷市外壁断熱!T63*H196</f>
        <v>0</v>
      </c>
      <c r="F201" s="893">
        <f>秩父市外壁断熱!T63*H196</f>
        <v>0</v>
      </c>
    </row>
    <row r="202" spans="2:8" ht="18" hidden="1" customHeight="1">
      <c r="B202" s="389" t="s">
        <v>730</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thickBot="1">
      <c r="B204" s="388" t="s">
        <v>861</v>
      </c>
      <c r="C204" s="322" t="s">
        <v>1360</v>
      </c>
    </row>
    <row r="205" spans="2:8" ht="18" hidden="1" customHeight="1" thickBot="1">
      <c r="B205" s="388" t="s">
        <v>718</v>
      </c>
      <c r="C205" s="388" t="s">
        <v>719</v>
      </c>
      <c r="D205" s="388" t="s">
        <v>720</v>
      </c>
      <c r="E205" s="388" t="s">
        <v>721</v>
      </c>
      <c r="F205" s="388" t="s">
        <v>722</v>
      </c>
    </row>
    <row r="206" spans="2:8" ht="18" hidden="1" customHeight="1">
      <c r="B206" s="389" t="s">
        <v>723</v>
      </c>
      <c r="C206" s="388" t="s">
        <v>636</v>
      </c>
      <c r="D206" s="390">
        <f>さいたま市窓遮熱!E63*H206</f>
        <v>0</v>
      </c>
      <c r="E206" s="390">
        <f>熊谷市窓遮熱!E63*H206</f>
        <v>0</v>
      </c>
      <c r="F206" s="390">
        <f>秩父市窓遮熱!E63*H206</f>
        <v>0</v>
      </c>
      <c r="H206" s="888" t="str">
        <f>IF(P46=TRUE,"1","0")</f>
        <v>0</v>
      </c>
    </row>
    <row r="207" spans="2:8" ht="18" hidden="1" customHeight="1">
      <c r="B207" s="389" t="s">
        <v>724</v>
      </c>
      <c r="C207" s="388" t="s">
        <v>725</v>
      </c>
      <c r="D207" s="898">
        <f>さいたま市窓遮熱!E64*H206</f>
        <v>0</v>
      </c>
      <c r="E207" s="898">
        <f>熊谷市窓遮熱!E64*H206</f>
        <v>0</v>
      </c>
      <c r="F207" s="898">
        <f>秩父市窓遮熱!E64*H206</f>
        <v>0</v>
      </c>
    </row>
    <row r="208" spans="2:8" ht="18" hidden="1" customHeight="1">
      <c r="B208" s="389" t="s">
        <v>726</v>
      </c>
      <c r="C208" s="388" t="s">
        <v>246</v>
      </c>
      <c r="D208" s="391" t="e">
        <f>(1-D210/D209)*100*H206</f>
        <v>#DIV/0!</v>
      </c>
      <c r="E208" s="391" t="e">
        <f>(1-E210/E209)*100*H206</f>
        <v>#DIV/0!</v>
      </c>
      <c r="F208" s="391" t="e">
        <f>(1-F210/F209)*100*H206</f>
        <v>#DIV/0!</v>
      </c>
    </row>
    <row r="209" spans="2:8" ht="18" hidden="1" customHeight="1">
      <c r="B209" s="389" t="s">
        <v>727</v>
      </c>
      <c r="C209" s="388" t="s">
        <v>725</v>
      </c>
      <c r="D209" s="391">
        <f>さいたま市窓遮熱!T64*H206</f>
        <v>0</v>
      </c>
      <c r="E209" s="391">
        <f>熊谷市窓遮熱!T64*H206</f>
        <v>0</v>
      </c>
      <c r="F209" s="391">
        <f>秩父市窓遮熱!T64*H206</f>
        <v>0</v>
      </c>
    </row>
    <row r="210" spans="2:8" ht="18" hidden="1" customHeight="1">
      <c r="B210" s="389" t="s">
        <v>728</v>
      </c>
      <c r="C210" s="388" t="s">
        <v>725</v>
      </c>
      <c r="D210" s="391">
        <f>さいたま市窓遮熱!AB64*H206</f>
        <v>0</v>
      </c>
      <c r="E210" s="391">
        <f>熊谷市窓遮熱!AB64*H206</f>
        <v>0</v>
      </c>
      <c r="F210" s="391">
        <f>秩父市窓遮熱!AB64*H206</f>
        <v>0</v>
      </c>
    </row>
    <row r="211" spans="2:8" ht="18" hidden="1" customHeight="1">
      <c r="B211" s="389" t="s">
        <v>729</v>
      </c>
      <c r="C211" s="388" t="s">
        <v>636</v>
      </c>
      <c r="D211" s="893">
        <f>さいたま市窓遮熱!T63*H206</f>
        <v>0</v>
      </c>
      <c r="E211" s="893">
        <f>熊谷市窓遮熱!T63*H206</f>
        <v>0</v>
      </c>
      <c r="F211" s="893">
        <f>秩父市窓遮熱!T63*H206</f>
        <v>0</v>
      </c>
    </row>
    <row r="212" spans="2:8" ht="18" hidden="1" customHeight="1">
      <c r="B212" s="389" t="s">
        <v>730</v>
      </c>
      <c r="C212" s="389" t="s">
        <v>636</v>
      </c>
      <c r="D212" s="558">
        <f>さいたま市窓遮熱!AB63*H206</f>
        <v>0</v>
      </c>
      <c r="E212" s="558">
        <f>熊谷市窓遮熱!AB63*H206</f>
        <v>0</v>
      </c>
      <c r="F212" s="558">
        <f>秩父市窓遮熱!AB63*H206</f>
        <v>0</v>
      </c>
    </row>
    <row r="213" spans="2:8" ht="18" hidden="1" customHeight="1"/>
    <row r="214" spans="2:8" hidden="1">
      <c r="B214" s="388" t="s">
        <v>860</v>
      </c>
      <c r="C214" s="322" t="s">
        <v>1359</v>
      </c>
    </row>
    <row r="215" spans="2:8" hidden="1">
      <c r="B215" s="388" t="s">
        <v>718</v>
      </c>
      <c r="C215" s="388" t="s">
        <v>719</v>
      </c>
      <c r="D215" s="388" t="s">
        <v>720</v>
      </c>
      <c r="E215" s="388" t="s">
        <v>721</v>
      </c>
      <c r="F215" s="388" t="s">
        <v>722</v>
      </c>
    </row>
    <row r="216" spans="2:8" ht="14.5" hidden="1" thickBot="1">
      <c r="B216" s="389" t="s">
        <v>723</v>
      </c>
      <c r="C216" s="388" t="s">
        <v>636</v>
      </c>
      <c r="D216" s="390">
        <f>さいたま市窓断熱!E63*H216</f>
        <v>0</v>
      </c>
      <c r="E216" s="390">
        <f>熊谷市窓断熱!E63*H216</f>
        <v>0</v>
      </c>
      <c r="F216" s="390">
        <f>秩父市窓断熱!E63*H216</f>
        <v>0</v>
      </c>
      <c r="H216" s="888" t="str">
        <f>IF(P45=TRUE,"1","0")</f>
        <v>0</v>
      </c>
    </row>
    <row r="217" spans="2:8" hidden="1">
      <c r="B217" s="389" t="s">
        <v>724</v>
      </c>
      <c r="C217" s="388" t="s">
        <v>725</v>
      </c>
      <c r="D217" s="898">
        <f>さいたま市窓断熱!E64*H216</f>
        <v>0</v>
      </c>
      <c r="E217" s="898">
        <f>熊谷市窓断熱!E64*H216</f>
        <v>0</v>
      </c>
      <c r="F217" s="898">
        <f>秩父市窓断熱!E64*H216</f>
        <v>0</v>
      </c>
    </row>
    <row r="218" spans="2:8" hidden="1">
      <c r="B218" s="389" t="s">
        <v>726</v>
      </c>
      <c r="C218" s="388" t="s">
        <v>246</v>
      </c>
      <c r="D218" s="391" t="e">
        <f>(1-D220/D219)*100*H216</f>
        <v>#DIV/0!</v>
      </c>
      <c r="E218" s="391" t="e">
        <f>(1-E220/E219)*100*H216</f>
        <v>#DIV/0!</v>
      </c>
      <c r="F218" s="391" t="e">
        <f>(1-F220/F219)*100*H216</f>
        <v>#DIV/0!</v>
      </c>
    </row>
    <row r="219" spans="2:8" hidden="1">
      <c r="B219" s="389" t="s">
        <v>727</v>
      </c>
      <c r="C219" s="388" t="s">
        <v>725</v>
      </c>
      <c r="D219" s="391">
        <f>さいたま市窓断熱!T64*H216</f>
        <v>0</v>
      </c>
      <c r="E219" s="391">
        <f>熊谷市窓断熱!T64*H216</f>
        <v>0</v>
      </c>
      <c r="F219" s="391">
        <f>秩父市窓断熱!T64*H216</f>
        <v>0</v>
      </c>
    </row>
    <row r="220" spans="2:8" hidden="1">
      <c r="B220" s="389" t="s">
        <v>728</v>
      </c>
      <c r="C220" s="388" t="s">
        <v>725</v>
      </c>
      <c r="D220" s="391">
        <f>さいたま市窓断熱!AB64*H216</f>
        <v>0</v>
      </c>
      <c r="E220" s="391">
        <f>熊谷市窓断熱!AB64*H216</f>
        <v>0</v>
      </c>
      <c r="F220" s="391">
        <f>秩父市窓断熱!AB64*H216</f>
        <v>0</v>
      </c>
    </row>
    <row r="221" spans="2:8" hidden="1">
      <c r="B221" s="389" t="s">
        <v>729</v>
      </c>
      <c r="C221" s="388" t="s">
        <v>636</v>
      </c>
      <c r="D221" s="893">
        <f>さいたま市窓断熱!T63*H216</f>
        <v>0</v>
      </c>
      <c r="E221" s="893">
        <f>熊谷市窓断熱!T63*H216</f>
        <v>0</v>
      </c>
      <c r="F221" s="893">
        <f>秩父市窓断熱!T63*H216</f>
        <v>0</v>
      </c>
    </row>
    <row r="222" spans="2:8" hidden="1">
      <c r="B222" s="389" t="s">
        <v>730</v>
      </c>
      <c r="C222" s="388" t="s">
        <v>636</v>
      </c>
      <c r="D222" s="558">
        <f>さいたま市窓断熱!AB63*H216</f>
        <v>0</v>
      </c>
      <c r="E222" s="558">
        <f>熊谷市窓断熱!AB63*H216</f>
        <v>0</v>
      </c>
      <c r="F222" s="558">
        <f>秩父市窓断熱!AB63*H216</f>
        <v>0</v>
      </c>
    </row>
  </sheetData>
  <sheetProtection password="D73A" sheet="1" objects="1" scenarios="1"/>
  <mergeCells count="5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G93:I93"/>
    <mergeCell ref="G109:H109"/>
    <mergeCell ref="G94:L94"/>
    <mergeCell ref="I138:K138"/>
    <mergeCell ref="I139:J139"/>
    <mergeCell ref="B135:L136"/>
    <mergeCell ref="B130:D130"/>
    <mergeCell ref="B125:D125"/>
    <mergeCell ref="B126:D126"/>
    <mergeCell ref="B127:D127"/>
    <mergeCell ref="B131:L132"/>
  </mergeCells>
  <phoneticPr fontId="2"/>
  <conditionalFormatting sqref="D76">
    <cfRule type="cellIs" dxfId="22" priority="20" operator="equal">
      <formula>3.91</formula>
    </cfRule>
  </conditionalFormatting>
  <conditionalFormatting sqref="H72:H73">
    <cfRule type="expression" dxfId="21" priority="19">
      <formula>$D$76="3.94"</formula>
    </cfRule>
  </conditionalFormatting>
  <conditionalFormatting sqref="D83">
    <cfRule type="cellIs" dxfId="20" priority="16" operator="equal">
      <formula>0.7</formula>
    </cfRule>
  </conditionalFormatting>
  <conditionalFormatting sqref="D93:D100">
    <cfRule type="cellIs" dxfId="19" priority="6" operator="equal">
      <formula>1.18</formula>
    </cfRule>
    <cfRule type="expression" dxfId="18" priority="7">
      <formula>$P$43=TRUE</formula>
    </cfRule>
  </conditionalFormatting>
  <conditionalFormatting sqref="D109:D116">
    <cfRule type="cellIs" dxfId="17" priority="5" operator="equal">
      <formula>0.7</formula>
    </cfRule>
    <cfRule type="expression" dxfId="16" priority="14">
      <formula>$P$44=TRUE</formula>
    </cfRule>
  </conditionalFormatting>
  <conditionalFormatting sqref="D140:F147">
    <cfRule type="cellIs" dxfId="15" priority="13" operator="equal">
      <formula>"デフォルト値"</formula>
    </cfRule>
  </conditionalFormatting>
  <conditionalFormatting sqref="D49:D56">
    <cfRule type="expression" dxfId="14" priority="10">
      <formula>$P$44=TRUE</formula>
    </cfRule>
    <cfRule type="expression" dxfId="13" priority="11">
      <formula>$P$43=TRUE</formula>
    </cfRule>
  </conditionalFormatting>
  <conditionalFormatting sqref="D57:D64">
    <cfRule type="expression" dxfId="12" priority="8">
      <formula>$P$46=TRUE</formula>
    </cfRule>
    <cfRule type="expression" dxfId="11" priority="9">
      <formula>$P$45=TRUE</formula>
    </cfRule>
  </conditionalFormatting>
  <conditionalFormatting sqref="D48">
    <cfRule type="expression" dxfId="10" priority="1">
      <formula>$P$42=TRUE</formula>
    </cfRule>
    <cfRule type="expression" dxfId="9" priority="3">
      <formula>$P$41=TRUE</formula>
    </cfRule>
  </conditionalFormatting>
  <conditionalFormatting sqref="G35">
    <cfRule type="expression" dxfId="8"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D169"/>
  <sheetViews>
    <sheetView showZeros="0" view="pageBreakPreview" zoomScale="85" zoomScaleNormal="100" zoomScaleSheetLayoutView="85" workbookViewId="0">
      <selection activeCell="L10" sqref="L10:Q10"/>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 style="404"/>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30" width="9" style="404" hidden="1" customWidth="1"/>
    <col min="31" max="36" width="9" style="404" customWidth="1"/>
    <col min="37" max="16384" width="9" style="404"/>
  </cols>
  <sheetData>
    <row r="1" spans="2:26" s="548" customFormat="1" ht="3" customHeight="1">
      <c r="M1" s="548" t="s">
        <v>796</v>
      </c>
      <c r="N1" s="548" t="s">
        <v>797</v>
      </c>
    </row>
    <row r="2" spans="2:26" ht="27" customHeight="1" thickBot="1">
      <c r="B2" s="1878" t="s">
        <v>744</v>
      </c>
      <c r="C2" s="1878"/>
      <c r="D2" s="1878"/>
      <c r="E2" s="1878"/>
    </row>
    <row r="3" spans="2:26" ht="6" hidden="1" customHeight="1" thickBot="1">
      <c r="B3" s="405"/>
      <c r="C3" s="405"/>
      <c r="D3" s="405"/>
      <c r="E3" s="406"/>
    </row>
    <row r="4" spans="2:26" ht="15.75" customHeight="1" thickBot="1">
      <c r="B4" s="407"/>
      <c r="C4" s="407"/>
      <c r="D4" s="407"/>
      <c r="E4" s="407"/>
      <c r="F4" s="407"/>
      <c r="G4" s="407"/>
      <c r="H4" s="407"/>
      <c r="I4" s="407"/>
      <c r="J4" s="962" t="s">
        <v>745</v>
      </c>
      <c r="K4" s="1738" t="str">
        <f>入力!I8</f>
        <v>令和５年　　月　　日</v>
      </c>
      <c r="L4" s="1738"/>
      <c r="M4" s="1738"/>
      <c r="N4" s="1738"/>
      <c r="O4" s="1739"/>
      <c r="P4" s="1739"/>
      <c r="Q4" s="1740"/>
    </row>
    <row r="5" spans="2:26" s="408" customFormat="1" ht="16.25" customHeight="1">
      <c r="B5" s="1767" t="s">
        <v>746</v>
      </c>
      <c r="C5" s="1768"/>
      <c r="D5" s="1769"/>
      <c r="E5" s="1808">
        <f>入力!C9</f>
        <v>0</v>
      </c>
      <c r="F5" s="1809"/>
      <c r="G5" s="1809"/>
      <c r="H5" s="1809"/>
      <c r="I5" s="1809"/>
      <c r="J5" s="1804"/>
      <c r="K5" s="1804"/>
      <c r="L5" s="1804"/>
      <c r="M5" s="1804"/>
      <c r="N5" s="1804"/>
      <c r="O5" s="1804"/>
      <c r="P5" s="1804"/>
      <c r="Q5" s="1807"/>
    </row>
    <row r="6" spans="2:26" s="408" customFormat="1" ht="16.25" customHeight="1">
      <c r="B6" s="1764" t="s">
        <v>747</v>
      </c>
      <c r="C6" s="1765"/>
      <c r="D6" s="1766"/>
      <c r="E6" s="1803" t="str">
        <f>"埼玉県"&amp;入力!D10</f>
        <v>埼玉県</v>
      </c>
      <c r="F6" s="1804"/>
      <c r="G6" s="1805"/>
      <c r="H6" s="1732">
        <f>入力!D10</f>
        <v>0</v>
      </c>
      <c r="I6" s="1806"/>
      <c r="J6" s="1803">
        <f>入力!H10</f>
        <v>0</v>
      </c>
      <c r="K6" s="1804"/>
      <c r="L6" s="1804"/>
      <c r="M6" s="1804"/>
      <c r="N6" s="1804"/>
      <c r="O6" s="1804"/>
      <c r="P6" s="1804"/>
      <c r="Q6" s="1807"/>
      <c r="Y6" s="408" t="e">
        <f>VLOOKUP(入力!D10,区域!B2:C65,2,FALSE)</f>
        <v>#N/A</v>
      </c>
    </row>
    <row r="7" spans="2:26" s="408" customFormat="1" ht="16.25" customHeight="1">
      <c r="B7" s="1797"/>
      <c r="C7" s="1798"/>
      <c r="D7" s="1798"/>
      <c r="E7" s="1788">
        <f>入力!C18</f>
        <v>0</v>
      </c>
      <c r="F7" s="1799"/>
      <c r="G7" s="413"/>
      <c r="H7" s="410" t="s">
        <v>748</v>
      </c>
      <c r="I7" s="411" t="e">
        <f>Y6</f>
        <v>#N/A</v>
      </c>
      <c r="J7" s="937" t="s">
        <v>655</v>
      </c>
      <c r="K7" s="1770" t="str">
        <f>入力!$R$46</f>
        <v xml:space="preserve">　　      </v>
      </c>
      <c r="L7" s="1770"/>
      <c r="M7" s="1770"/>
      <c r="N7" s="1770"/>
      <c r="O7" s="1771"/>
      <c r="P7" s="1771"/>
      <c r="Q7" s="1772"/>
      <c r="Y7" s="412" t="e">
        <f>MATCH(Y6,区域!D3:D5,0)</f>
        <v>#N/A</v>
      </c>
      <c r="Z7" s="556"/>
    </row>
    <row r="8" spans="2:26" s="408" customFormat="1" ht="16.25" customHeight="1" thickBot="1">
      <c r="B8" s="1779" t="s">
        <v>749</v>
      </c>
      <c r="C8" s="1780"/>
      <c r="D8" s="1781"/>
      <c r="E8" s="411">
        <f>入力!E28</f>
        <v>0</v>
      </c>
      <c r="F8" s="409" t="s">
        <v>750</v>
      </c>
      <c r="G8" s="413"/>
      <c r="H8" s="414">
        <f>入力!E27</f>
        <v>0</v>
      </c>
      <c r="I8" s="413" t="s">
        <v>751</v>
      </c>
      <c r="J8" s="413"/>
      <c r="K8" s="415">
        <f>入力!E29</f>
        <v>0</v>
      </c>
      <c r="L8" s="413" t="s">
        <v>648</v>
      </c>
      <c r="M8" s="413"/>
      <c r="N8" s="413"/>
      <c r="O8" s="413"/>
      <c r="P8" s="413"/>
      <c r="Q8" s="416"/>
    </row>
    <row r="9" spans="2:26">
      <c r="B9" s="417"/>
      <c r="C9" s="418"/>
      <c r="D9" s="418"/>
      <c r="E9" s="418"/>
      <c r="F9" s="418"/>
      <c r="G9" s="418"/>
      <c r="H9" s="418"/>
      <c r="I9" s="418"/>
      <c r="J9" s="419"/>
      <c r="K9" s="923" t="s">
        <v>1369</v>
      </c>
      <c r="L9" s="1800" t="e">
        <f>HLOOKUP(Y6,入力!D$155:F$160,5,FALSE)</f>
        <v>#N/A</v>
      </c>
      <c r="M9" s="1800"/>
      <c r="N9" s="1800"/>
      <c r="O9" s="1801"/>
      <c r="P9" s="1801"/>
      <c r="Q9" s="1802"/>
    </row>
    <row r="10" spans="2:26">
      <c r="B10" s="420" t="s">
        <v>752</v>
      </c>
      <c r="C10" s="941"/>
      <c r="D10" s="941"/>
      <c r="E10" s="937" t="s">
        <v>640</v>
      </c>
      <c r="F10" s="421">
        <f>入力!C23</f>
        <v>3.55</v>
      </c>
      <c r="G10" s="937" t="s">
        <v>753</v>
      </c>
      <c r="H10" s="422">
        <f>I112</f>
        <v>0</v>
      </c>
      <c r="I10" s="423" t="s">
        <v>12</v>
      </c>
      <c r="J10" s="417"/>
      <c r="K10" s="924" t="s">
        <v>1370</v>
      </c>
      <c r="L10" s="1744" t="e">
        <f>HLOOKUP(Y6,入力!D$155:F$160,6,FALSE)</f>
        <v>#N/A</v>
      </c>
      <c r="M10" s="1744"/>
      <c r="N10" s="1744"/>
      <c r="O10" s="1745"/>
      <c r="P10" s="1745"/>
      <c r="Q10" s="1746"/>
    </row>
    <row r="11" spans="2:26">
      <c r="B11" s="417"/>
      <c r="C11" s="941"/>
      <c r="D11" s="941"/>
      <c r="E11" s="937" t="s">
        <v>641</v>
      </c>
      <c r="F11" s="421">
        <f>入力!C24</f>
        <v>3.95</v>
      </c>
      <c r="G11" s="937" t="s">
        <v>754</v>
      </c>
      <c r="H11" s="422">
        <f>M112</f>
        <v>0</v>
      </c>
      <c r="I11" s="423" t="s">
        <v>12</v>
      </c>
      <c r="J11" s="424"/>
      <c r="K11" s="921" t="s">
        <v>755</v>
      </c>
      <c r="L11" s="1744" t="e">
        <f>HLOOKUP(Y6,入力!D$155:F$158,3,FALSE)</f>
        <v>#N/A</v>
      </c>
      <c r="M11" s="1744"/>
      <c r="N11" s="1744"/>
      <c r="O11" s="1745"/>
      <c r="P11" s="1745"/>
      <c r="Q11" s="1746"/>
    </row>
    <row r="12" spans="2:26" ht="14.5" thickBot="1">
      <c r="B12" s="417"/>
      <c r="C12" s="941"/>
      <c r="D12" s="941"/>
      <c r="E12" s="937"/>
      <c r="F12" s="937"/>
      <c r="G12" s="937"/>
      <c r="H12" s="937"/>
      <c r="I12" s="423"/>
      <c r="J12" s="424"/>
      <c r="K12" s="425" t="s">
        <v>756</v>
      </c>
      <c r="L12" s="1741" t="e">
        <f>HLOOKUP(Y6,入力!D155:F158,2,FALSE)</f>
        <v>#N/A</v>
      </c>
      <c r="M12" s="1741"/>
      <c r="N12" s="1741"/>
      <c r="O12" s="1742"/>
      <c r="P12" s="1742"/>
      <c r="Q12" s="1743"/>
    </row>
    <row r="13" spans="2:26" ht="16.5" thickBot="1">
      <c r="B13" s="426" t="s">
        <v>757</v>
      </c>
      <c r="C13" s="963"/>
      <c r="D13" s="963"/>
      <c r="E13" s="959">
        <f>入力!D76</f>
        <v>3.91</v>
      </c>
      <c r="F13" s="427" t="s">
        <v>1125</v>
      </c>
      <c r="G13" s="707" t="s">
        <v>1052</v>
      </c>
      <c r="H13" s="963"/>
      <c r="I13" s="960">
        <f>入力!$D$83</f>
        <v>0.7</v>
      </c>
      <c r="J13" s="428"/>
      <c r="K13" s="429" t="s">
        <v>758</v>
      </c>
      <c r="L13" s="1735" t="str">
        <f>IFERROR(HLOOKUP(Y6,入力!D155:F158,4,FALSE),"")</f>
        <v/>
      </c>
      <c r="M13" s="1735"/>
      <c r="N13" s="1735"/>
      <c r="O13" s="1736"/>
      <c r="P13" s="1736"/>
      <c r="Q13" s="1737"/>
    </row>
    <row r="14" spans="2:26">
      <c r="B14" s="1782" t="s">
        <v>759</v>
      </c>
      <c r="C14" s="1783"/>
      <c r="D14" s="1783"/>
      <c r="E14" s="1783"/>
      <c r="F14" s="1783"/>
      <c r="G14" s="1784"/>
      <c r="H14" s="1785" t="s">
        <v>760</v>
      </c>
      <c r="I14" s="1786"/>
      <c r="J14" s="1787"/>
      <c r="K14" s="1787"/>
      <c r="L14" s="1787"/>
      <c r="M14" s="1787"/>
      <c r="N14" s="1787"/>
      <c r="O14" s="1788"/>
      <c r="P14" s="1788"/>
      <c r="Q14" s="1789"/>
    </row>
    <row r="15" spans="2:26">
      <c r="B15" s="1795" t="s">
        <v>798</v>
      </c>
      <c r="C15" s="1796"/>
      <c r="D15" s="1755" t="s">
        <v>799</v>
      </c>
      <c r="E15" s="1756"/>
      <c r="F15" s="1757"/>
      <c r="G15" s="549" t="s">
        <v>800</v>
      </c>
      <c r="H15" s="1755" t="str">
        <f>入力!D139</f>
        <v>窓対策の内容</v>
      </c>
      <c r="I15" s="1756"/>
      <c r="J15" s="1756"/>
      <c r="K15" s="1757"/>
      <c r="L15" s="940" t="s">
        <v>801</v>
      </c>
      <c r="M15" s="940" t="s">
        <v>802</v>
      </c>
      <c r="N15" s="934" t="str">
        <f>入力!G139</f>
        <v>熱貫流率</v>
      </c>
      <c r="O15" s="550"/>
      <c r="P15" s="551"/>
      <c r="Q15" s="552" t="str">
        <f>入力!H139</f>
        <v>日射熱
吸収率</v>
      </c>
    </row>
    <row r="16" spans="2:26" ht="16">
      <c r="B16" s="1753" t="s">
        <v>660</v>
      </c>
      <c r="C16" s="1754"/>
      <c r="D16" s="1760">
        <f>入力!D93</f>
        <v>1.18</v>
      </c>
      <c r="E16" s="1761"/>
      <c r="F16" s="431" t="s">
        <v>1125</v>
      </c>
      <c r="G16" s="414">
        <f>入力!D109</f>
        <v>0.7</v>
      </c>
      <c r="H16" s="1747" t="str">
        <f>入力!D140</f>
        <v>デフォルト値</v>
      </c>
      <c r="I16" s="1748"/>
      <c r="J16" s="1748"/>
      <c r="K16" s="1749"/>
      <c r="L16" s="414">
        <f>入力!G140</f>
        <v>5.95</v>
      </c>
      <c r="M16" s="414">
        <f>入力!H140</f>
        <v>0.876</v>
      </c>
      <c r="N16" s="432">
        <f>入力!G140</f>
        <v>5.95</v>
      </c>
      <c r="O16" s="432"/>
      <c r="P16" s="433"/>
      <c r="Q16" s="434">
        <f>入力!H140</f>
        <v>0.876</v>
      </c>
    </row>
    <row r="17" spans="2:17" ht="16">
      <c r="B17" s="1753" t="s">
        <v>661</v>
      </c>
      <c r="C17" s="1754"/>
      <c r="D17" s="1760">
        <f>入力!D94</f>
        <v>1.18</v>
      </c>
      <c r="E17" s="1761"/>
      <c r="F17" s="431" t="s">
        <v>1125</v>
      </c>
      <c r="G17" s="414">
        <f>入力!D110</f>
        <v>0.7</v>
      </c>
      <c r="H17" s="1747" t="str">
        <f>入力!D141</f>
        <v>デフォルト値</v>
      </c>
      <c r="I17" s="1748"/>
      <c r="J17" s="1748"/>
      <c r="K17" s="1749"/>
      <c r="L17" s="414">
        <f>入力!G141</f>
        <v>5.95</v>
      </c>
      <c r="M17" s="414">
        <f>入力!H141</f>
        <v>0.876</v>
      </c>
      <c r="N17" s="432">
        <f>入力!G141</f>
        <v>5.95</v>
      </c>
      <c r="O17" s="432"/>
      <c r="P17" s="433"/>
      <c r="Q17" s="434">
        <f>入力!H141</f>
        <v>0.876</v>
      </c>
    </row>
    <row r="18" spans="2:17" ht="16">
      <c r="B18" s="1753" t="s">
        <v>662</v>
      </c>
      <c r="C18" s="1754"/>
      <c r="D18" s="1760">
        <f>入力!D95</f>
        <v>1.18</v>
      </c>
      <c r="E18" s="1761"/>
      <c r="F18" s="431" t="s">
        <v>1125</v>
      </c>
      <c r="G18" s="414">
        <f>入力!D111</f>
        <v>0.7</v>
      </c>
      <c r="H18" s="1747" t="str">
        <f>入力!D142</f>
        <v>デフォルト値</v>
      </c>
      <c r="I18" s="1748"/>
      <c r="J18" s="1748"/>
      <c r="K18" s="1749"/>
      <c r="L18" s="414">
        <f>入力!G142</f>
        <v>5.95</v>
      </c>
      <c r="M18" s="414">
        <f>入力!H142</f>
        <v>0.876</v>
      </c>
      <c r="N18" s="432">
        <f>入力!G142</f>
        <v>5.95</v>
      </c>
      <c r="O18" s="432"/>
      <c r="P18" s="433"/>
      <c r="Q18" s="434">
        <f>入力!H142</f>
        <v>0.876</v>
      </c>
    </row>
    <row r="19" spans="2:17" ht="16">
      <c r="B19" s="1753" t="s">
        <v>663</v>
      </c>
      <c r="C19" s="1754"/>
      <c r="D19" s="1760">
        <f>入力!D96</f>
        <v>1.18</v>
      </c>
      <c r="E19" s="1761"/>
      <c r="F19" s="431" t="s">
        <v>1125</v>
      </c>
      <c r="G19" s="414">
        <f>入力!D112</f>
        <v>0.7</v>
      </c>
      <c r="H19" s="1747" t="str">
        <f>入力!D143</f>
        <v>デフォルト値</v>
      </c>
      <c r="I19" s="1748"/>
      <c r="J19" s="1748"/>
      <c r="K19" s="1749"/>
      <c r="L19" s="414">
        <f>入力!G143</f>
        <v>5.95</v>
      </c>
      <c r="M19" s="414">
        <f>入力!H143</f>
        <v>0.876</v>
      </c>
      <c r="N19" s="432">
        <f>入力!G143</f>
        <v>5.95</v>
      </c>
      <c r="O19" s="432"/>
      <c r="P19" s="433"/>
      <c r="Q19" s="434">
        <f>入力!H143</f>
        <v>0.876</v>
      </c>
    </row>
    <row r="20" spans="2:17" ht="16">
      <c r="B20" s="1753" t="s">
        <v>664</v>
      </c>
      <c r="C20" s="1754"/>
      <c r="D20" s="1760">
        <f>入力!D97</f>
        <v>1.18</v>
      </c>
      <c r="E20" s="1761"/>
      <c r="F20" s="431" t="s">
        <v>1125</v>
      </c>
      <c r="G20" s="414">
        <f>入力!D113</f>
        <v>0.7</v>
      </c>
      <c r="H20" s="1747" t="str">
        <f>入力!D144</f>
        <v>デフォルト値</v>
      </c>
      <c r="I20" s="1748"/>
      <c r="J20" s="1748"/>
      <c r="K20" s="1749"/>
      <c r="L20" s="414">
        <f>入力!G144</f>
        <v>5.95</v>
      </c>
      <c r="M20" s="414">
        <f>入力!H144</f>
        <v>0.876</v>
      </c>
      <c r="N20" s="432">
        <f>入力!G144</f>
        <v>5.95</v>
      </c>
      <c r="O20" s="432"/>
      <c r="P20" s="433"/>
      <c r="Q20" s="434">
        <f>入力!H144</f>
        <v>0.876</v>
      </c>
    </row>
    <row r="21" spans="2:17" ht="16">
      <c r="B21" s="1753" t="s">
        <v>665</v>
      </c>
      <c r="C21" s="1754"/>
      <c r="D21" s="1760">
        <f>入力!D98</f>
        <v>1.18</v>
      </c>
      <c r="E21" s="1761"/>
      <c r="F21" s="431" t="s">
        <v>1125</v>
      </c>
      <c r="G21" s="414">
        <f>入力!D114</f>
        <v>0.7</v>
      </c>
      <c r="H21" s="1747" t="str">
        <f>入力!D145</f>
        <v>デフォルト値</v>
      </c>
      <c r="I21" s="1748"/>
      <c r="J21" s="1748"/>
      <c r="K21" s="1749"/>
      <c r="L21" s="414">
        <f>入力!G145</f>
        <v>5.95</v>
      </c>
      <c r="M21" s="414">
        <f>入力!H145</f>
        <v>0.876</v>
      </c>
      <c r="N21" s="432">
        <f>入力!G145</f>
        <v>5.95</v>
      </c>
      <c r="O21" s="432"/>
      <c r="P21" s="433"/>
      <c r="Q21" s="434">
        <f>入力!H145</f>
        <v>0.876</v>
      </c>
    </row>
    <row r="22" spans="2:17" ht="16">
      <c r="B22" s="1753" t="s">
        <v>666</v>
      </c>
      <c r="C22" s="1754"/>
      <c r="D22" s="1760">
        <f>入力!D99</f>
        <v>1.18</v>
      </c>
      <c r="E22" s="1761"/>
      <c r="F22" s="431" t="s">
        <v>1125</v>
      </c>
      <c r="G22" s="414">
        <f>入力!D115</f>
        <v>0.7</v>
      </c>
      <c r="H22" s="1747" t="str">
        <f>入力!D146</f>
        <v>デフォルト値</v>
      </c>
      <c r="I22" s="1748"/>
      <c r="J22" s="1748"/>
      <c r="K22" s="1749"/>
      <c r="L22" s="414">
        <f>入力!G146</f>
        <v>5.95</v>
      </c>
      <c r="M22" s="414">
        <f>入力!H146</f>
        <v>0.876</v>
      </c>
      <c r="N22" s="432">
        <f>入力!G146</f>
        <v>5.95</v>
      </c>
      <c r="O22" s="432"/>
      <c r="P22" s="433"/>
      <c r="Q22" s="434">
        <f>入力!H146</f>
        <v>0.876</v>
      </c>
    </row>
    <row r="23" spans="2:17" ht="16.5" thickBot="1">
      <c r="B23" s="1758" t="s">
        <v>667</v>
      </c>
      <c r="C23" s="1759"/>
      <c r="D23" s="1762">
        <f>入力!D100</f>
        <v>1.18</v>
      </c>
      <c r="E23" s="1763"/>
      <c r="F23" s="435" t="s">
        <v>1125</v>
      </c>
      <c r="G23" s="961">
        <f>入力!D116</f>
        <v>0.7</v>
      </c>
      <c r="H23" s="1776" t="str">
        <f>入力!D147</f>
        <v>デフォルト値</v>
      </c>
      <c r="I23" s="1777"/>
      <c r="J23" s="1777"/>
      <c r="K23" s="1778"/>
      <c r="L23" s="961">
        <f>入力!G147</f>
        <v>5.95</v>
      </c>
      <c r="M23" s="961">
        <f>入力!H147</f>
        <v>0.876</v>
      </c>
      <c r="N23" s="951">
        <f>入力!G147</f>
        <v>5.95</v>
      </c>
      <c r="O23" s="951"/>
      <c r="P23" s="957"/>
      <c r="Q23" s="952">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792" t="s">
        <v>762</v>
      </c>
      <c r="C25" s="1792"/>
      <c r="D25" s="1792"/>
      <c r="E25" s="1792"/>
      <c r="F25" s="1792"/>
      <c r="G25" s="1792"/>
      <c r="H25" s="1792"/>
      <c r="I25" s="1792"/>
      <c r="J25" s="1792"/>
      <c r="K25" s="1792"/>
      <c r="L25" s="1792"/>
      <c r="M25" s="1792"/>
      <c r="N25" s="1792"/>
      <c r="O25" s="1792"/>
      <c r="P25" s="1792"/>
      <c r="Q25" s="1792"/>
    </row>
    <row r="26" spans="2:17">
      <c r="B26" s="1861" t="s">
        <v>763</v>
      </c>
      <c r="C26" s="1862"/>
      <c r="D26" s="1862" t="s">
        <v>764</v>
      </c>
      <c r="E26" s="1862"/>
      <c r="F26" s="1864"/>
      <c r="G26" s="1865" t="s">
        <v>765</v>
      </c>
      <c r="H26" s="1866"/>
      <c r="I26" s="1866"/>
      <c r="J26" s="1866"/>
      <c r="K26" s="1866"/>
      <c r="L26" s="1867"/>
      <c r="M26" s="1861" t="s">
        <v>766</v>
      </c>
      <c r="N26" s="1868"/>
      <c r="O26" s="1868"/>
      <c r="P26" s="1868"/>
      <c r="Q26" s="1863"/>
    </row>
    <row r="27" spans="2:17">
      <c r="B27" s="1753"/>
      <c r="C27" s="1754"/>
      <c r="D27" s="1754" t="s">
        <v>656</v>
      </c>
      <c r="E27" s="1882"/>
      <c r="F27" s="1732" t="s">
        <v>761</v>
      </c>
      <c r="G27" s="1791" t="s">
        <v>767</v>
      </c>
      <c r="H27" s="1733"/>
      <c r="I27" s="1732" t="s">
        <v>768</v>
      </c>
      <c r="J27" s="1733"/>
      <c r="K27" s="1732" t="s">
        <v>769</v>
      </c>
      <c r="L27" s="1734"/>
      <c r="M27" s="1753" t="s">
        <v>770</v>
      </c>
      <c r="N27" s="1793" t="s">
        <v>771</v>
      </c>
      <c r="O27" s="1876" t="s">
        <v>772</v>
      </c>
      <c r="P27" s="1879" t="s">
        <v>773</v>
      </c>
      <c r="Q27" s="1871" t="s">
        <v>766</v>
      </c>
    </row>
    <row r="28" spans="2:17">
      <c r="B28" s="1753"/>
      <c r="C28" s="1754"/>
      <c r="D28" s="1754"/>
      <c r="E28" s="1883"/>
      <c r="F28" s="1732"/>
      <c r="G28" s="439" t="s">
        <v>774</v>
      </c>
      <c r="H28" s="440" t="s">
        <v>765</v>
      </c>
      <c r="I28" s="440" t="s">
        <v>774</v>
      </c>
      <c r="J28" s="440" t="s">
        <v>765</v>
      </c>
      <c r="K28" s="440" t="s">
        <v>774</v>
      </c>
      <c r="L28" s="441" t="s">
        <v>765</v>
      </c>
      <c r="M28" s="1753"/>
      <c r="N28" s="1794"/>
      <c r="O28" s="1877"/>
      <c r="P28" s="1879"/>
      <c r="Q28" s="1871"/>
    </row>
    <row r="29" spans="2:17" ht="17" thickBot="1">
      <c r="B29" s="1758"/>
      <c r="C29" s="1759"/>
      <c r="D29" s="1759"/>
      <c r="E29" s="813" t="s">
        <v>1126</v>
      </c>
      <c r="F29" s="442" t="s">
        <v>1121</v>
      </c>
      <c r="G29" s="935" t="s">
        <v>738</v>
      </c>
      <c r="H29" s="936" t="s">
        <v>58</v>
      </c>
      <c r="I29" s="936" t="s">
        <v>738</v>
      </c>
      <c r="J29" s="936" t="s">
        <v>58</v>
      </c>
      <c r="K29" s="936" t="s">
        <v>738</v>
      </c>
      <c r="L29" s="443" t="s">
        <v>59</v>
      </c>
      <c r="M29" s="935" t="s">
        <v>775</v>
      </c>
      <c r="N29" s="444" t="s">
        <v>776</v>
      </c>
      <c r="O29" s="444" t="s">
        <v>776</v>
      </c>
      <c r="P29" s="936" t="s">
        <v>740</v>
      </c>
      <c r="Q29" s="443" t="s">
        <v>59</v>
      </c>
    </row>
    <row r="30" spans="2:17" ht="15" customHeight="1" thickBot="1">
      <c r="B30" s="1986" t="s">
        <v>777</v>
      </c>
      <c r="C30" s="445" t="s">
        <v>657</v>
      </c>
      <c r="D30" s="446" t="s">
        <v>778</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1987"/>
      <c r="C31" s="1861" t="s">
        <v>659</v>
      </c>
      <c r="D31" s="963" t="s">
        <v>660</v>
      </c>
      <c r="E31" s="959">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953">
        <f t="shared" ref="M31:M47" si="2">20--1.5</f>
        <v>21.5</v>
      </c>
      <c r="N31" s="954">
        <v>1.1000000000000001</v>
      </c>
      <c r="O31" s="465">
        <f>'熱負荷計算シート (2)'!N8</f>
        <v>1.1000000000000001</v>
      </c>
      <c r="P31" s="466">
        <f>'熱負荷計算シート (2)'!M8</f>
        <v>21.5</v>
      </c>
      <c r="Q31" s="464">
        <f t="shared" ref="Q31:Q47" si="3">M31*F31*E31*N31</f>
        <v>0</v>
      </c>
    </row>
    <row r="32" spans="2:17">
      <c r="B32" s="1987"/>
      <c r="C32" s="1753"/>
      <c r="D32" s="933"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1987"/>
      <c r="C33" s="1753"/>
      <c r="D33" s="933"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1987"/>
      <c r="C34" s="1753"/>
      <c r="D34" s="933"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1987"/>
      <c r="C35" s="1753"/>
      <c r="D35" s="933"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1987"/>
      <c r="C36" s="1753"/>
      <c r="D36" s="933"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1987"/>
      <c r="C37" s="1753"/>
      <c r="D37" s="933"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1987"/>
      <c r="C38" s="1758"/>
      <c r="D38" s="936" t="s">
        <v>667</v>
      </c>
      <c r="E38" s="961">
        <f>入力!N56</f>
        <v>0</v>
      </c>
      <c r="F38" s="477">
        <f>温度条件他根拠!$D$71</f>
        <v>1.18</v>
      </c>
      <c r="G38" s="478">
        <f>'外壁実効温度差（ETD)一覧表'!L29</f>
        <v>2.1</v>
      </c>
      <c r="H38" s="479">
        <f t="shared" si="0"/>
        <v>0</v>
      </c>
      <c r="I38" s="947">
        <f>'外壁実効温度差（ETD)一覧表'!O29</f>
        <v>4.0999999999999996</v>
      </c>
      <c r="J38" s="479">
        <f t="shared" si="4"/>
        <v>0</v>
      </c>
      <c r="K38" s="480">
        <f>'外壁実効温度差（ETD)一覧表'!R29</f>
        <v>6.1</v>
      </c>
      <c r="L38" s="481">
        <f t="shared" si="1"/>
        <v>0</v>
      </c>
      <c r="M38" s="956">
        <f t="shared" si="2"/>
        <v>21.5</v>
      </c>
      <c r="N38" s="957">
        <v>1.1000000000000001</v>
      </c>
      <c r="O38" s="482">
        <f>'熱負荷計算シート (2)'!N15</f>
        <v>1.1000000000000001</v>
      </c>
      <c r="P38" s="483">
        <f>'熱負荷計算シート (2)'!M15</f>
        <v>21.5</v>
      </c>
      <c r="Q38" s="484">
        <f t="shared" si="3"/>
        <v>0</v>
      </c>
    </row>
    <row r="39" spans="2:17" ht="14.5" thickBot="1">
      <c r="B39" s="1987"/>
      <c r="C39" s="1983" t="s">
        <v>854</v>
      </c>
      <c r="D39" s="1984"/>
      <c r="E39" s="1984"/>
      <c r="F39" s="1985"/>
      <c r="G39" s="613"/>
      <c r="H39" s="518">
        <f>SUBTOTAL(9,H31:H38)</f>
        <v>0</v>
      </c>
      <c r="I39" s="614"/>
      <c r="J39" s="518">
        <f>SUBTOTAL(9,J31:J38)</f>
        <v>0</v>
      </c>
      <c r="K39" s="615"/>
      <c r="L39" s="616">
        <f>SUBTOTAL(9,L31:L38)</f>
        <v>0</v>
      </c>
      <c r="M39" s="610"/>
      <c r="N39" s="541"/>
      <c r="O39" s="611"/>
      <c r="P39" s="612"/>
      <c r="Q39" s="453">
        <f>SUBTOTAL(9,Q31:Q38)</f>
        <v>0</v>
      </c>
    </row>
    <row r="40" spans="2:17">
      <c r="B40" s="1987"/>
      <c r="C40" s="1790" t="s">
        <v>668</v>
      </c>
      <c r="D40" s="963" t="s">
        <v>660</v>
      </c>
      <c r="E40" s="959">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953">
        <f t="shared" si="2"/>
        <v>21.5</v>
      </c>
      <c r="N40" s="954">
        <v>1.1000000000000001</v>
      </c>
      <c r="O40" s="465">
        <f>'熱負荷計算シート (2)'!N16</f>
        <v>1.1000000000000001</v>
      </c>
      <c r="P40" s="466">
        <f>'熱負荷計算シート (2)'!M16</f>
        <v>21.5</v>
      </c>
      <c r="Q40" s="464">
        <f t="shared" si="3"/>
        <v>0</v>
      </c>
    </row>
    <row r="41" spans="2:17">
      <c r="B41" s="1987"/>
      <c r="C41" s="1753"/>
      <c r="D41" s="933"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1987"/>
      <c r="C42" s="1753"/>
      <c r="D42" s="933"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1987"/>
      <c r="C43" s="1753"/>
      <c r="D43" s="933"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1987"/>
      <c r="C44" s="1753"/>
      <c r="D44" s="933"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1987"/>
      <c r="C45" s="1753"/>
      <c r="D45" s="933"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1987"/>
      <c r="C46" s="1753"/>
      <c r="D46" s="933"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1987"/>
      <c r="C47" s="1881"/>
      <c r="D47" s="938" t="s">
        <v>667</v>
      </c>
      <c r="E47" s="961">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956">
        <f t="shared" si="2"/>
        <v>21.5</v>
      </c>
      <c r="N47" s="957">
        <v>1.1000000000000001</v>
      </c>
      <c r="O47" s="482">
        <f>'熱負荷計算シート (2)'!N23</f>
        <v>1.1000000000000001</v>
      </c>
      <c r="P47" s="483">
        <f>'熱負荷計算シート (2)'!M23</f>
        <v>21.5</v>
      </c>
      <c r="Q47" s="484">
        <f t="shared" si="3"/>
        <v>0</v>
      </c>
    </row>
    <row r="48" spans="2:17" ht="14.5" thickBot="1">
      <c r="B48" s="1987"/>
      <c r="C48" s="1983" t="s">
        <v>854</v>
      </c>
      <c r="D48" s="1984"/>
      <c r="E48" s="1984"/>
      <c r="F48" s="1985"/>
      <c r="G48" s="613"/>
      <c r="H48" s="518">
        <f>SUBTOTAL(9,H40:H47)</f>
        <v>0</v>
      </c>
      <c r="I48" s="614"/>
      <c r="J48" s="518">
        <f>SUBTOTAL(9,J40:J47)</f>
        <v>0</v>
      </c>
      <c r="K48" s="615"/>
      <c r="L48" s="616">
        <f>SUBTOTAL(9,L40:L47)</f>
        <v>0</v>
      </c>
      <c r="M48" s="610"/>
      <c r="N48" s="541"/>
      <c r="O48" s="611"/>
      <c r="P48" s="612"/>
      <c r="Q48" s="453">
        <f>SUBTOTAL(9,Q40:Q47)</f>
        <v>0</v>
      </c>
    </row>
    <row r="49" spans="1:19" ht="18" customHeight="1" thickBot="1">
      <c r="B49" s="1988"/>
      <c r="C49" s="1989" t="s">
        <v>855</v>
      </c>
      <c r="D49" s="1990"/>
      <c r="E49" s="1990"/>
      <c r="F49" s="1991"/>
      <c r="G49" s="491"/>
      <c r="H49" s="492">
        <f>H30+H39+H48</f>
        <v>0</v>
      </c>
      <c r="I49" s="493"/>
      <c r="J49" s="492">
        <f>J30+J39+J48</f>
        <v>0</v>
      </c>
      <c r="K49" s="494"/>
      <c r="L49" s="495">
        <f>L30+L39+L48</f>
        <v>0</v>
      </c>
      <c r="M49" s="496"/>
      <c r="N49" s="497"/>
      <c r="O49" s="497"/>
      <c r="P49" s="497"/>
      <c r="Q49" s="458">
        <f>Q30+Q39+Q48</f>
        <v>0</v>
      </c>
    </row>
    <row r="50" spans="1:19">
      <c r="B50" s="1861" t="s">
        <v>763</v>
      </c>
      <c r="C50" s="1862"/>
      <c r="D50" s="1862" t="s">
        <v>764</v>
      </c>
      <c r="E50" s="1862"/>
      <c r="F50" s="1863"/>
      <c r="G50" s="1872" t="s">
        <v>765</v>
      </c>
      <c r="H50" s="1862"/>
      <c r="I50" s="1862"/>
      <c r="J50" s="1862"/>
      <c r="K50" s="1862"/>
      <c r="L50" s="1863"/>
      <c r="M50" s="499"/>
      <c r="N50" s="500"/>
      <c r="O50" s="500"/>
      <c r="P50" s="500"/>
      <c r="Q50" s="501"/>
    </row>
    <row r="51" spans="1:19">
      <c r="B51" s="1753"/>
      <c r="C51" s="1754"/>
      <c r="D51" s="1754" t="s">
        <v>656</v>
      </c>
      <c r="E51" s="1869" t="s">
        <v>1053</v>
      </c>
      <c r="F51" s="1873" t="s">
        <v>1054</v>
      </c>
      <c r="G51" s="1791" t="s">
        <v>767</v>
      </c>
      <c r="H51" s="1733"/>
      <c r="I51" s="1732" t="s">
        <v>768</v>
      </c>
      <c r="J51" s="1733"/>
      <c r="K51" s="1732" t="s">
        <v>769</v>
      </c>
      <c r="L51" s="1734"/>
      <c r="M51" s="502"/>
      <c r="N51" s="503"/>
      <c r="O51" s="503"/>
      <c r="P51" s="503"/>
      <c r="Q51" s="504"/>
    </row>
    <row r="52" spans="1:19">
      <c r="B52" s="1753"/>
      <c r="C52" s="1754"/>
      <c r="D52" s="1754"/>
      <c r="E52" s="1870"/>
      <c r="F52" s="1874"/>
      <c r="G52" s="505" t="s">
        <v>779</v>
      </c>
      <c r="H52" s="506" t="s">
        <v>765</v>
      </c>
      <c r="I52" s="506" t="s">
        <v>779</v>
      </c>
      <c r="J52" s="506" t="s">
        <v>765</v>
      </c>
      <c r="K52" s="506" t="s">
        <v>779</v>
      </c>
      <c r="L52" s="507" t="s">
        <v>765</v>
      </c>
      <c r="M52" s="502"/>
      <c r="N52" s="503"/>
      <c r="O52" s="503"/>
      <c r="P52" s="503"/>
      <c r="Q52" s="504"/>
    </row>
    <row r="53" spans="1:19" ht="17" thickBot="1">
      <c r="B53" s="1758"/>
      <c r="C53" s="1759"/>
      <c r="D53" s="1759"/>
      <c r="E53" s="813" t="s">
        <v>1126</v>
      </c>
      <c r="F53" s="443" t="s">
        <v>780</v>
      </c>
      <c r="G53" s="950" t="s">
        <v>1127</v>
      </c>
      <c r="H53" s="936" t="s">
        <v>58</v>
      </c>
      <c r="I53" s="936" t="s">
        <v>1127</v>
      </c>
      <c r="J53" s="936" t="s">
        <v>58</v>
      </c>
      <c r="K53" s="936" t="s">
        <v>1127</v>
      </c>
      <c r="L53" s="443" t="s">
        <v>58</v>
      </c>
      <c r="M53" s="502"/>
      <c r="N53" s="503"/>
      <c r="O53" s="503"/>
      <c r="P53" s="503"/>
      <c r="Q53" s="504"/>
    </row>
    <row r="54" spans="1:19" ht="14.25" customHeight="1">
      <c r="B54" s="2019" t="s">
        <v>781</v>
      </c>
      <c r="C54" s="1842" t="s">
        <v>668</v>
      </c>
      <c r="D54" s="939"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2020"/>
      <c r="C55" s="1733"/>
      <c r="D55" s="933"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2020"/>
      <c r="C56" s="1733"/>
      <c r="D56" s="933"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2020"/>
      <c r="C57" s="1733"/>
      <c r="D57" s="933"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2020"/>
      <c r="C58" s="1733"/>
      <c r="D58" s="933"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2020"/>
      <c r="C59" s="1733"/>
      <c r="D59" s="933"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2020"/>
      <c r="C60" s="1733"/>
      <c r="D60" s="933"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2020"/>
      <c r="C61" s="1843"/>
      <c r="D61" s="936" t="s">
        <v>667</v>
      </c>
      <c r="E61" s="961">
        <f>入力!O64+入力!N64</f>
        <v>0</v>
      </c>
      <c r="F61" s="958">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2021"/>
      <c r="C62" s="2022" t="s">
        <v>853</v>
      </c>
      <c r="D62" s="2022"/>
      <c r="E62" s="2022"/>
      <c r="F62" s="2023"/>
      <c r="G62" s="627"/>
      <c r="H62" s="515">
        <f>SUM(H54:H61)</f>
        <v>0</v>
      </c>
      <c r="I62" s="964"/>
      <c r="J62" s="515">
        <f>SUM(J54:J61)</f>
        <v>0</v>
      </c>
      <c r="K62" s="964"/>
      <c r="L62" s="515">
        <f>SUM(L54:L61)</f>
        <v>0</v>
      </c>
      <c r="M62" s="516"/>
      <c r="N62" s="498"/>
      <c r="O62" s="498"/>
      <c r="P62" s="498"/>
      <c r="Q62" s="517"/>
    </row>
    <row r="63" spans="1:19" ht="18" customHeight="1" thickBot="1">
      <c r="B63" s="1844" t="s">
        <v>782</v>
      </c>
      <c r="C63" s="1845"/>
      <c r="D63" s="1845"/>
      <c r="E63" s="1846"/>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880" t="s">
        <v>783</v>
      </c>
      <c r="C65" s="1880"/>
      <c r="D65" s="1880"/>
      <c r="E65" s="1880"/>
      <c r="F65" s="1880"/>
      <c r="G65" s="1880"/>
      <c r="H65" s="1880"/>
      <c r="I65" s="1880"/>
      <c r="J65" s="1880"/>
      <c r="K65" s="1880"/>
      <c r="L65" s="1880"/>
      <c r="M65" s="1880"/>
      <c r="N65" s="1880"/>
      <c r="O65" s="1880"/>
      <c r="P65" s="1880"/>
      <c r="Q65" s="1880"/>
    </row>
    <row r="66" spans="2:17">
      <c r="B66" s="1861" t="s">
        <v>763</v>
      </c>
      <c r="C66" s="1862"/>
      <c r="D66" s="1862" t="s">
        <v>764</v>
      </c>
      <c r="E66" s="1862"/>
      <c r="F66" s="1864"/>
      <c r="G66" s="1865" t="s">
        <v>765</v>
      </c>
      <c r="H66" s="1866"/>
      <c r="I66" s="1866"/>
      <c r="J66" s="1866"/>
      <c r="K66" s="1866"/>
      <c r="L66" s="1867"/>
      <c r="M66" s="1861" t="s">
        <v>766</v>
      </c>
      <c r="N66" s="1868"/>
      <c r="O66" s="1868"/>
      <c r="P66" s="1868"/>
      <c r="Q66" s="1863"/>
    </row>
    <row r="67" spans="2:17">
      <c r="B67" s="1753"/>
      <c r="C67" s="1754"/>
      <c r="D67" s="1754" t="s">
        <v>656</v>
      </c>
      <c r="E67" s="1869" t="s">
        <v>1053</v>
      </c>
      <c r="F67" s="1732" t="s">
        <v>761</v>
      </c>
      <c r="G67" s="1791" t="s">
        <v>767</v>
      </c>
      <c r="H67" s="1733"/>
      <c r="I67" s="1732" t="s">
        <v>768</v>
      </c>
      <c r="J67" s="1733"/>
      <c r="K67" s="1732" t="s">
        <v>769</v>
      </c>
      <c r="L67" s="1734"/>
      <c r="M67" s="1753" t="s">
        <v>770</v>
      </c>
      <c r="N67" s="1793" t="s">
        <v>771</v>
      </c>
      <c r="O67" s="1875" t="s">
        <v>772</v>
      </c>
      <c r="P67" s="1879" t="s">
        <v>773</v>
      </c>
      <c r="Q67" s="1871" t="s">
        <v>766</v>
      </c>
    </row>
    <row r="68" spans="2:17">
      <c r="B68" s="1753"/>
      <c r="C68" s="1754"/>
      <c r="D68" s="1754"/>
      <c r="E68" s="1870"/>
      <c r="F68" s="1732"/>
      <c r="G68" s="439" t="s">
        <v>774</v>
      </c>
      <c r="H68" s="440" t="s">
        <v>765</v>
      </c>
      <c r="I68" s="440" t="s">
        <v>774</v>
      </c>
      <c r="J68" s="440" t="s">
        <v>765</v>
      </c>
      <c r="K68" s="440" t="s">
        <v>774</v>
      </c>
      <c r="L68" s="441" t="s">
        <v>765</v>
      </c>
      <c r="M68" s="1753"/>
      <c r="N68" s="1794"/>
      <c r="O68" s="1794"/>
      <c r="P68" s="1879"/>
      <c r="Q68" s="1871"/>
    </row>
    <row r="69" spans="2:17" ht="17" thickBot="1">
      <c r="B69" s="1758"/>
      <c r="C69" s="1759"/>
      <c r="D69" s="1759"/>
      <c r="E69" s="812" t="s">
        <v>1126</v>
      </c>
      <c r="F69" s="442" t="s">
        <v>1121</v>
      </c>
      <c r="G69" s="935" t="s">
        <v>739</v>
      </c>
      <c r="H69" s="936" t="s">
        <v>77</v>
      </c>
      <c r="I69" s="936" t="s">
        <v>739</v>
      </c>
      <c r="J69" s="936" t="s">
        <v>77</v>
      </c>
      <c r="K69" s="936" t="s">
        <v>738</v>
      </c>
      <c r="L69" s="443" t="s">
        <v>77</v>
      </c>
      <c r="M69" s="965" t="s">
        <v>775</v>
      </c>
      <c r="N69" s="430" t="s">
        <v>776</v>
      </c>
      <c r="O69" s="430" t="s">
        <v>776</v>
      </c>
      <c r="P69" s="936" t="s">
        <v>740</v>
      </c>
      <c r="Q69" s="520" t="s">
        <v>12</v>
      </c>
    </row>
    <row r="70" spans="2:17" ht="15" customHeight="1" thickBot="1">
      <c r="B70" s="1986" t="s">
        <v>777</v>
      </c>
      <c r="C70" s="445" t="s">
        <v>657</v>
      </c>
      <c r="D70" s="446" t="s">
        <v>778</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1987"/>
      <c r="C71" s="1861" t="s">
        <v>659</v>
      </c>
      <c r="D71" s="963" t="s">
        <v>660</v>
      </c>
      <c r="E71" s="959">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953">
        <f t="shared" ref="M71:M87" si="13">20--1.5</f>
        <v>21.5</v>
      </c>
      <c r="N71" s="954">
        <v>1.1000000000000001</v>
      </c>
      <c r="O71" s="527">
        <f>'熱負荷計算シート (2)'!N45</f>
        <v>1.1000000000000001</v>
      </c>
      <c r="P71" s="466">
        <f>'熱負荷計算シート (2)'!M45</f>
        <v>21.5</v>
      </c>
      <c r="Q71" s="464">
        <f>M71*F71*E71*N71</f>
        <v>0</v>
      </c>
    </row>
    <row r="72" spans="2:17">
      <c r="B72" s="1987"/>
      <c r="C72" s="1753"/>
      <c r="D72" s="933"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1987"/>
      <c r="C73" s="1753"/>
      <c r="D73" s="933"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1987"/>
      <c r="C74" s="1753"/>
      <c r="D74" s="933"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1987"/>
      <c r="C75" s="1753"/>
      <c r="D75" s="933"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1987"/>
      <c r="C76" s="1753"/>
      <c r="D76" s="933"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1987"/>
      <c r="C77" s="1753"/>
      <c r="D77" s="933"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1987"/>
      <c r="C78" s="1758"/>
      <c r="D78" s="936" t="s">
        <v>667</v>
      </c>
      <c r="E78" s="961">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956">
        <f t="shared" si="13"/>
        <v>21.5</v>
      </c>
      <c r="N78" s="957">
        <v>1.1000000000000001</v>
      </c>
      <c r="O78" s="532">
        <f>'熱負荷計算シート (2)'!N52</f>
        <v>1.1000000000000001</v>
      </c>
      <c r="P78" s="483">
        <f>'熱負荷計算シート (2)'!M52</f>
        <v>21.5</v>
      </c>
      <c r="Q78" s="484">
        <f>M78*F78*E78*N78</f>
        <v>0</v>
      </c>
    </row>
    <row r="79" spans="2:17" ht="14.5" thickBot="1">
      <c r="B79" s="1987"/>
      <c r="C79" s="1983" t="s">
        <v>854</v>
      </c>
      <c r="D79" s="1984"/>
      <c r="E79" s="1984"/>
      <c r="F79" s="1985"/>
      <c r="G79" s="613"/>
      <c r="H79" s="518">
        <f>SUBTOTAL(9,H71:H78)</f>
        <v>0</v>
      </c>
      <c r="I79" s="614"/>
      <c r="J79" s="518">
        <f>SUBTOTAL(9,J71:J78)</f>
        <v>0</v>
      </c>
      <c r="K79" s="615"/>
      <c r="L79" s="616">
        <f>SUBTOTAL(9,L71:L78)</f>
        <v>0</v>
      </c>
      <c r="M79" s="603"/>
      <c r="N79" s="944"/>
      <c r="O79" s="619"/>
      <c r="P79" s="942"/>
      <c r="Q79" s="458">
        <f>SUBTOTAL(9,Q71:Q78)</f>
        <v>0</v>
      </c>
    </row>
    <row r="80" spans="2:17">
      <c r="B80" s="1987"/>
      <c r="C80" s="1790" t="s">
        <v>668</v>
      </c>
      <c r="D80" s="963" t="s">
        <v>660</v>
      </c>
      <c r="E80" s="959">
        <f t="shared" ref="E80:E87" si="16">E40</f>
        <v>0</v>
      </c>
      <c r="F80" s="955">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620">
        <v>1.1000000000000001</v>
      </c>
      <c r="O80" s="621">
        <f>'熱負荷計算シート (2)'!N53</f>
        <v>1.1000000000000001</v>
      </c>
      <c r="P80" s="948">
        <f>'熱負荷計算シート (2)'!M53</f>
        <v>21.5</v>
      </c>
      <c r="Q80" s="513">
        <f>M80*F80*E80*N80</f>
        <v>0</v>
      </c>
    </row>
    <row r="81" spans="2:17">
      <c r="B81" s="1987"/>
      <c r="C81" s="1753"/>
      <c r="D81" s="933"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1987"/>
      <c r="C82" s="1753"/>
      <c r="D82" s="933"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1987"/>
      <c r="C83" s="1753"/>
      <c r="D83" s="933"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1987"/>
      <c r="C84" s="1753"/>
      <c r="D84" s="933"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1987"/>
      <c r="C85" s="1753"/>
      <c r="D85" s="933"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1987"/>
      <c r="C86" s="1753"/>
      <c r="D86" s="933"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1987"/>
      <c r="C87" s="1758"/>
      <c r="D87" s="936" t="s">
        <v>667</v>
      </c>
      <c r="E87" s="961">
        <f t="shared" si="16"/>
        <v>0</v>
      </c>
      <c r="F87" s="958">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17">
        <v>1.1000000000000001</v>
      </c>
      <c r="O87" s="618">
        <f>'熱負荷計算シート (2)'!N60</f>
        <v>1.1000000000000001</v>
      </c>
      <c r="P87" s="945">
        <f>'熱負荷計算シート (2)'!M60</f>
        <v>21.5</v>
      </c>
      <c r="Q87" s="481">
        <f>M87*F87*E87*N87</f>
        <v>0</v>
      </c>
    </row>
    <row r="88" spans="2:17" ht="14.5" thickBot="1">
      <c r="B88" s="1987"/>
      <c r="C88" s="1983" t="s">
        <v>854</v>
      </c>
      <c r="D88" s="1984"/>
      <c r="E88" s="1984"/>
      <c r="F88" s="1985"/>
      <c r="G88" s="613"/>
      <c r="H88" s="518">
        <f>SUBTOTAL(9,H80:H87)</f>
        <v>0</v>
      </c>
      <c r="I88" s="614"/>
      <c r="J88" s="518">
        <f>SUBTOTAL(9,J80:J87)</f>
        <v>0</v>
      </c>
      <c r="K88" s="615"/>
      <c r="L88" s="616">
        <f>SUBTOTAL(9,L80:L87)</f>
        <v>0</v>
      </c>
      <c r="M88" s="603"/>
      <c r="N88" s="944"/>
      <c r="O88" s="619"/>
      <c r="P88" s="942"/>
      <c r="Q88" s="458">
        <f>SUBTOTAL(9,Q80:Q87)</f>
        <v>0</v>
      </c>
    </row>
    <row r="89" spans="2:17" ht="14.5" thickBot="1">
      <c r="B89" s="1988"/>
      <c r="C89" s="1989" t="s">
        <v>855</v>
      </c>
      <c r="D89" s="1990"/>
      <c r="E89" s="1990"/>
      <c r="F89" s="1991"/>
      <c r="G89" s="491"/>
      <c r="H89" s="492">
        <f>H70+H79+H88</f>
        <v>0</v>
      </c>
      <c r="I89" s="493"/>
      <c r="J89" s="492">
        <f>J70+J79+J88</f>
        <v>0</v>
      </c>
      <c r="K89" s="494"/>
      <c r="L89" s="495">
        <f>L70+L79+L88</f>
        <v>0</v>
      </c>
      <c r="M89" s="496"/>
      <c r="N89" s="497"/>
      <c r="O89" s="497"/>
      <c r="P89" s="497"/>
      <c r="Q89" s="458">
        <f>Q70+Q79+Q88</f>
        <v>0</v>
      </c>
    </row>
    <row r="90" spans="2:17">
      <c r="B90" s="1861" t="s">
        <v>763</v>
      </c>
      <c r="C90" s="1862"/>
      <c r="D90" s="1862" t="s">
        <v>764</v>
      </c>
      <c r="E90" s="1862"/>
      <c r="F90" s="1863"/>
      <c r="G90" s="1872" t="s">
        <v>765</v>
      </c>
      <c r="H90" s="1862"/>
      <c r="I90" s="1862"/>
      <c r="J90" s="1862"/>
      <c r="K90" s="1862"/>
      <c r="L90" s="1863"/>
      <c r="M90" s="499"/>
      <c r="N90" s="500"/>
      <c r="O90" s="500"/>
      <c r="P90" s="500"/>
      <c r="Q90" s="501"/>
    </row>
    <row r="91" spans="2:17">
      <c r="B91" s="1753"/>
      <c r="C91" s="1754"/>
      <c r="D91" s="1754" t="s">
        <v>656</v>
      </c>
      <c r="E91" s="1869" t="s">
        <v>1053</v>
      </c>
      <c r="F91" s="1873" t="s">
        <v>1054</v>
      </c>
      <c r="G91" s="1791" t="s">
        <v>767</v>
      </c>
      <c r="H91" s="1733"/>
      <c r="I91" s="1732" t="s">
        <v>768</v>
      </c>
      <c r="J91" s="1733"/>
      <c r="K91" s="1732" t="s">
        <v>769</v>
      </c>
      <c r="L91" s="1734"/>
      <c r="M91" s="502"/>
      <c r="N91" s="503"/>
      <c r="O91" s="503"/>
      <c r="P91" s="503"/>
      <c r="Q91" s="504"/>
    </row>
    <row r="92" spans="2:17">
      <c r="B92" s="1753"/>
      <c r="C92" s="1754"/>
      <c r="D92" s="1754"/>
      <c r="E92" s="1870"/>
      <c r="F92" s="1874"/>
      <c r="G92" s="505" t="s">
        <v>779</v>
      </c>
      <c r="H92" s="506" t="s">
        <v>765</v>
      </c>
      <c r="I92" s="506" t="s">
        <v>779</v>
      </c>
      <c r="J92" s="506" t="s">
        <v>765</v>
      </c>
      <c r="K92" s="506" t="s">
        <v>779</v>
      </c>
      <c r="L92" s="507" t="s">
        <v>765</v>
      </c>
      <c r="M92" s="502"/>
      <c r="N92" s="503"/>
      <c r="O92" s="503"/>
      <c r="P92" s="503"/>
      <c r="Q92" s="504"/>
    </row>
    <row r="93" spans="2:17" ht="17" thickBot="1">
      <c r="B93" s="1758"/>
      <c r="C93" s="1759"/>
      <c r="D93" s="1759"/>
      <c r="E93" s="813" t="s">
        <v>1126</v>
      </c>
      <c r="F93" s="443" t="s">
        <v>780</v>
      </c>
      <c r="G93" s="950" t="s">
        <v>1127</v>
      </c>
      <c r="H93" s="936" t="s">
        <v>77</v>
      </c>
      <c r="I93" s="936" t="s">
        <v>1127</v>
      </c>
      <c r="J93" s="936" t="s">
        <v>77</v>
      </c>
      <c r="K93" s="936" t="s">
        <v>1127</v>
      </c>
      <c r="L93" s="443" t="s">
        <v>77</v>
      </c>
      <c r="M93" s="502"/>
      <c r="N93" s="503"/>
      <c r="O93" s="503"/>
      <c r="P93" s="503"/>
      <c r="Q93" s="504"/>
    </row>
    <row r="94" spans="2:17" ht="14.25" customHeight="1">
      <c r="B94" s="2019" t="s">
        <v>781</v>
      </c>
      <c r="C94" s="1842" t="s">
        <v>668</v>
      </c>
      <c r="D94" s="939"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2020"/>
      <c r="C95" s="1733"/>
      <c r="D95" s="933"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2020"/>
      <c r="C96" s="1733"/>
      <c r="D96" s="933"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2020"/>
      <c r="C97" s="1733"/>
      <c r="D97" s="933"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2020"/>
      <c r="C98" s="1733"/>
      <c r="D98" s="933"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2020"/>
      <c r="C99" s="1733"/>
      <c r="D99" s="933"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2020"/>
      <c r="C100" s="1733"/>
      <c r="D100" s="933"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2020"/>
      <c r="C101" s="1843"/>
      <c r="D101" s="936" t="s">
        <v>667</v>
      </c>
      <c r="E101" s="961">
        <f t="shared" si="31"/>
        <v>0</v>
      </c>
      <c r="F101" s="958">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2021"/>
      <c r="C102" s="1984" t="s">
        <v>854</v>
      </c>
      <c r="D102" s="1984"/>
      <c r="E102" s="1984"/>
      <c r="F102" s="1985"/>
      <c r="G102" s="627"/>
      <c r="H102" s="515">
        <f>SUM(H94:H101)</f>
        <v>0</v>
      </c>
      <c r="I102" s="964"/>
      <c r="J102" s="515">
        <f>SUM(J94:J101)</f>
        <v>0</v>
      </c>
      <c r="K102" s="964"/>
      <c r="L102" s="515">
        <f>SUM(L94:L101)</f>
        <v>0</v>
      </c>
      <c r="M102" s="516"/>
      <c r="N102" s="498"/>
      <c r="O102" s="498"/>
      <c r="P102" s="498"/>
      <c r="Q102" s="517"/>
    </row>
    <row r="103" spans="2:18" ht="14.5" thickBot="1">
      <c r="B103" s="1844" t="s">
        <v>782</v>
      </c>
      <c r="C103" s="1845"/>
      <c r="D103" s="1845"/>
      <c r="E103" s="1846"/>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847" t="s">
        <v>784</v>
      </c>
      <c r="C106" s="1847"/>
      <c r="D106" s="1847"/>
      <c r="E106" s="1847"/>
      <c r="F106" s="1847"/>
      <c r="G106" s="1847"/>
      <c r="H106" s="1847"/>
      <c r="I106" s="1847"/>
      <c r="J106" s="1847"/>
      <c r="K106" s="1847"/>
      <c r="L106" s="1847"/>
      <c r="M106" s="1847"/>
      <c r="N106" s="1847"/>
      <c r="O106" s="1847"/>
      <c r="P106" s="1847"/>
      <c r="Q106" s="1847"/>
    </row>
    <row r="107" spans="2:18" ht="13.5" customHeight="1">
      <c r="B107" s="1852" t="s">
        <v>718</v>
      </c>
      <c r="C107" s="1858"/>
      <c r="D107" s="1858"/>
      <c r="E107" s="1858"/>
      <c r="F107" s="1859"/>
      <c r="G107" s="1836" t="s">
        <v>785</v>
      </c>
      <c r="H107" s="1822"/>
      <c r="I107" s="1822"/>
      <c r="J107" s="1822"/>
      <c r="K107" s="1822"/>
      <c r="L107" s="1824"/>
      <c r="M107" s="1852" t="s">
        <v>786</v>
      </c>
      <c r="N107" s="1853"/>
      <c r="O107" s="1853"/>
      <c r="P107" s="1853"/>
      <c r="Q107" s="1854"/>
    </row>
    <row r="108" spans="2:18" ht="13.5" customHeight="1" thickBot="1">
      <c r="B108" s="1855"/>
      <c r="C108" s="1860"/>
      <c r="D108" s="1860"/>
      <c r="E108" s="1860"/>
      <c r="F108" s="1850"/>
      <c r="G108" s="1848" t="s">
        <v>787</v>
      </c>
      <c r="H108" s="1849"/>
      <c r="I108" s="1850" t="s">
        <v>788</v>
      </c>
      <c r="J108" s="1849"/>
      <c r="K108" s="1850" t="s">
        <v>789</v>
      </c>
      <c r="L108" s="1851"/>
      <c r="M108" s="1855"/>
      <c r="N108" s="1856"/>
      <c r="O108" s="1856"/>
      <c r="P108" s="1856"/>
      <c r="Q108" s="1857"/>
    </row>
    <row r="109" spans="2:18" ht="13.5" customHeight="1">
      <c r="B109" s="1833" t="s">
        <v>790</v>
      </c>
      <c r="C109" s="1834"/>
      <c r="D109" s="1834"/>
      <c r="E109" s="1834"/>
      <c r="F109" s="1835"/>
      <c r="G109" s="1837">
        <f>H63</f>
        <v>0</v>
      </c>
      <c r="H109" s="1838"/>
      <c r="I109" s="1839">
        <f>J63</f>
        <v>0</v>
      </c>
      <c r="J109" s="1838"/>
      <c r="K109" s="1839">
        <f>L63</f>
        <v>0</v>
      </c>
      <c r="L109" s="1840"/>
      <c r="M109" s="1837">
        <f>Q63</f>
        <v>0</v>
      </c>
      <c r="N109" s="1841"/>
      <c r="O109" s="1841"/>
      <c r="P109" s="1841"/>
      <c r="Q109" s="1840"/>
      <c r="R109" s="539"/>
    </row>
    <row r="110" spans="2:18" ht="13.5" customHeight="1" thickBot="1">
      <c r="B110" s="1829" t="s">
        <v>791</v>
      </c>
      <c r="C110" s="1830"/>
      <c r="D110" s="1830"/>
      <c r="E110" s="1830"/>
      <c r="F110" s="1831"/>
      <c r="G110" s="1819">
        <f>H103</f>
        <v>0</v>
      </c>
      <c r="H110" s="1832"/>
      <c r="I110" s="1817">
        <f>J103</f>
        <v>0</v>
      </c>
      <c r="J110" s="1832"/>
      <c r="K110" s="1817">
        <f>L103</f>
        <v>0</v>
      </c>
      <c r="L110" s="1818"/>
      <c r="M110" s="1819">
        <f>Q103</f>
        <v>0</v>
      </c>
      <c r="N110" s="1820"/>
      <c r="O110" s="1820"/>
      <c r="P110" s="1820"/>
      <c r="Q110" s="1818"/>
    </row>
    <row r="111" spans="2:18" ht="13.5" customHeight="1" thickBot="1">
      <c r="B111" s="1826" t="s">
        <v>792</v>
      </c>
      <c r="C111" s="1827"/>
      <c r="D111" s="1827"/>
      <c r="E111" s="1827"/>
      <c r="F111" s="1828"/>
      <c r="G111" s="1821">
        <f>G109-G110</f>
        <v>0</v>
      </c>
      <c r="H111" s="1822"/>
      <c r="I111" s="1823">
        <f>I109-I110</f>
        <v>0</v>
      </c>
      <c r="J111" s="1822"/>
      <c r="K111" s="1823">
        <f>K109-K110</f>
        <v>0</v>
      </c>
      <c r="L111" s="1824"/>
      <c r="M111" s="1821">
        <f>M109-M110</f>
        <v>0</v>
      </c>
      <c r="N111" s="1825"/>
      <c r="O111" s="1825"/>
      <c r="P111" s="1825"/>
      <c r="Q111" s="1824"/>
    </row>
    <row r="112" spans="2:18" ht="13.5" customHeight="1" thickBot="1">
      <c r="B112" s="1810" t="s">
        <v>793</v>
      </c>
      <c r="C112" s="1811"/>
      <c r="D112" s="1811"/>
      <c r="E112" s="1811"/>
      <c r="F112" s="1812"/>
      <c r="G112" s="540"/>
      <c r="H112" s="944"/>
      <c r="I112" s="1814">
        <f>I125+I146+I156+I166</f>
        <v>0</v>
      </c>
      <c r="J112" s="1816"/>
      <c r="K112" s="944"/>
      <c r="L112" s="943"/>
      <c r="M112" s="1813">
        <f>M111</f>
        <v>0</v>
      </c>
      <c r="N112" s="1814"/>
      <c r="O112" s="1814"/>
      <c r="P112" s="1814"/>
      <c r="Q112" s="1815"/>
    </row>
    <row r="113" spans="2:29" ht="17.25" customHeight="1">
      <c r="I113" s="949">
        <f>I126+I147+I157+I167</f>
        <v>0</v>
      </c>
      <c r="J113" s="541"/>
      <c r="K113" s="541"/>
      <c r="L113" s="541"/>
      <c r="M113" s="541"/>
      <c r="N113" s="541"/>
      <c r="O113" s="541"/>
      <c r="P113" s="541"/>
      <c r="Q113" s="949">
        <f>M109</f>
        <v>0</v>
      </c>
    </row>
    <row r="114" spans="2:29" s="542" customFormat="1" ht="17.25" customHeight="1">
      <c r="I114" s="422">
        <f>I127+I148+I158+I168</f>
        <v>0</v>
      </c>
      <c r="J114" s="543"/>
      <c r="K114" s="543"/>
      <c r="L114" s="543"/>
      <c r="M114" s="543"/>
      <c r="N114" s="543"/>
      <c r="O114" s="543"/>
      <c r="P114" s="543"/>
      <c r="Q114" s="422">
        <f>M110</f>
        <v>0</v>
      </c>
    </row>
    <row r="115" spans="2:29" s="542" customFormat="1" ht="17.25" customHeight="1" thickBot="1">
      <c r="I115" s="544"/>
      <c r="J115" s="543"/>
      <c r="K115" s="543"/>
      <c r="L115" s="543"/>
      <c r="M115" s="543"/>
      <c r="N115" s="543"/>
      <c r="O115" s="543"/>
      <c r="P115" s="543"/>
      <c r="Q115" s="544"/>
      <c r="S115" s="1935" t="s">
        <v>824</v>
      </c>
      <c r="T115" s="1936"/>
      <c r="U115" s="1936"/>
      <c r="V115" s="1937"/>
      <c r="W115" s="582" t="s">
        <v>1425</v>
      </c>
      <c r="X115" s="1024" t="s">
        <v>1426</v>
      </c>
      <c r="Y115" s="582" t="s">
        <v>1427</v>
      </c>
      <c r="Z115" s="1024" t="s">
        <v>1428</v>
      </c>
      <c r="AA115" s="582" t="s">
        <v>856</v>
      </c>
      <c r="AB115" s="624" t="s">
        <v>857</v>
      </c>
      <c r="AC115" s="625" t="s">
        <v>862</v>
      </c>
    </row>
    <row r="116" spans="2:29" s="542" customFormat="1" ht="20.25" customHeight="1">
      <c r="B116" s="1750" t="s">
        <v>794</v>
      </c>
      <c r="C116" s="1751"/>
      <c r="D116" s="1751"/>
      <c r="E116" s="1752"/>
      <c r="F116" s="1019" t="e">
        <f>IF(入力!D155=Y6,入力!D161,IF(入力!E155=Y6,入力!E161,入力!F161))</f>
        <v>#N/A</v>
      </c>
      <c r="G116" s="545" t="s">
        <v>636</v>
      </c>
      <c r="H116" s="546"/>
      <c r="I116" s="543"/>
      <c r="S116" s="579" t="s">
        <v>794</v>
      </c>
      <c r="T116" s="562"/>
      <c r="U116" s="562"/>
      <c r="V116" s="564" t="s">
        <v>636</v>
      </c>
      <c r="W116" s="563" t="e">
        <f>INT(INDEX(入力!$D$171:$F$172,1,$Y$7))</f>
        <v>#N/A</v>
      </c>
      <c r="X116" s="1025" t="e">
        <f>INT(INDEX(入力!$D$181:$F$182,1,$Y$7))</f>
        <v>#N/A</v>
      </c>
      <c r="Y116" s="563" t="e">
        <f>INT(INDEX(入力!$D$191:$F$192,1,$Y$7))</f>
        <v>#N/A</v>
      </c>
      <c r="Z116" s="1025" t="e">
        <f>INT(INDEX(入力!$D$201:$F$202,1,$Y$7))</f>
        <v>#N/A</v>
      </c>
      <c r="AA116" s="563" t="e">
        <f>INT(INDEX(入力!$D$221:$F$222,1,$Y$7))</f>
        <v>#N/A</v>
      </c>
      <c r="AB116" s="563" t="e">
        <f>INT(INDEX(入力!$D$211:$F$212,1,$Y$7))</f>
        <v>#N/A</v>
      </c>
      <c r="AC116" s="626" t="e">
        <f>SUBTOTAL(9,W116:AB116)</f>
        <v>#N/A</v>
      </c>
    </row>
    <row r="117" spans="2:29" s="542" customFormat="1" ht="20.25" customHeight="1" thickBot="1">
      <c r="B117" s="1773" t="s">
        <v>795</v>
      </c>
      <c r="C117" s="1774"/>
      <c r="D117" s="1774"/>
      <c r="E117" s="1775"/>
      <c r="F117" s="1020" t="e">
        <f>IF(入力!D155=Y6,入力!D162,IF(入力!E155=Y6,入力!E162,入力!F162))</f>
        <v>#N/A</v>
      </c>
      <c r="G117" s="547" t="s">
        <v>636</v>
      </c>
      <c r="H117" s="546"/>
      <c r="I117" s="543"/>
      <c r="S117" s="579" t="s">
        <v>795</v>
      </c>
      <c r="T117" s="577"/>
      <c r="U117" s="577"/>
      <c r="V117" s="946" t="s">
        <v>636</v>
      </c>
      <c r="W117" s="578" t="e">
        <f>INT(INDEX(入力!$D$171:$F$172,2,$Y$7))</f>
        <v>#N/A</v>
      </c>
      <c r="X117" s="1025" t="e">
        <f>INT(INDEX(入力!$D$181:$F$182,2,$Y$7))</f>
        <v>#N/A</v>
      </c>
      <c r="Y117" s="578" t="e">
        <f>INT(INDEX(入力!$D$191:$F$192,2,$Y$7))</f>
        <v>#N/A</v>
      </c>
      <c r="Z117" s="1025" t="e">
        <f>INT(INDEX(入力!$D$201:$F$202,2,$Y$7))</f>
        <v>#N/A</v>
      </c>
      <c r="AA117" s="578" t="e">
        <f>INT(INDEX(入力!$D$221:$F$222,2,$Y$7))</f>
        <v>#N/A</v>
      </c>
      <c r="AB117" s="578" t="e">
        <f>INT(INDEX(入力!$D$211:$F$212,2,$Y$7))</f>
        <v>#N/A</v>
      </c>
      <c r="AC117" s="626" t="e">
        <f t="shared" ref="AC117:AC119" si="36">SUBTOTAL(9,W117:AB117)</f>
        <v>#N/A</v>
      </c>
    </row>
    <row r="118" spans="2:29" s="542" customFormat="1" ht="20.25" hidden="1" customHeight="1">
      <c r="B118" s="556"/>
      <c r="C118" s="556"/>
      <c r="D118" s="556"/>
      <c r="E118" s="556"/>
      <c r="F118" s="557"/>
      <c r="G118" s="543"/>
      <c r="H118" s="546"/>
      <c r="I118" s="543"/>
      <c r="S118" s="579" t="s">
        <v>827</v>
      </c>
      <c r="T118" s="580"/>
      <c r="U118" s="580"/>
      <c r="V118" s="564" t="s">
        <v>828</v>
      </c>
      <c r="W118" s="581" t="e">
        <f>ROUND(INDEX(入力!$D$169:$F$170,1,$Y$7),1)</f>
        <v>#N/A</v>
      </c>
      <c r="X118" s="1026" t="e">
        <f>ROUND(INDEX(入力!$D$179:$F$180,1,$Y$7),1)</f>
        <v>#N/A</v>
      </c>
      <c r="Y118" s="581" t="e">
        <f>ROUND(INDEX(入力!$D$189:$F$190,1,$Y$7),1)</f>
        <v>#N/A</v>
      </c>
      <c r="Z118" s="1026" t="e">
        <f>ROUND(INDEX(入力!$D$199:$F$200,1,$Y$7),1)</f>
        <v>#N/A</v>
      </c>
      <c r="AA118" s="471" t="e">
        <f>ROUND(INDEX(入力!$D$219:$F$220,1,$Y$7),1)</f>
        <v>#N/A</v>
      </c>
      <c r="AB118" s="581" t="e">
        <f>ROUND(INDEX(入力!$D$209:$F$210,1,$Y$7),1)</f>
        <v>#N/A</v>
      </c>
      <c r="AC118" s="626" t="e">
        <f t="shared" si="36"/>
        <v>#N/A</v>
      </c>
    </row>
    <row r="119" spans="2:29" s="542" customFormat="1" ht="25.5" hidden="1" thickBot="1">
      <c r="H119" s="566" t="s">
        <v>1343</v>
      </c>
      <c r="S119" s="579" t="s">
        <v>826</v>
      </c>
      <c r="T119" s="580"/>
      <c r="U119" s="580"/>
      <c r="V119" s="564" t="s">
        <v>828</v>
      </c>
      <c r="W119" s="581" t="e">
        <f>ROUND(INDEX(入力!$D$169:$F$170,2,$Y$7),1)</f>
        <v>#N/A</v>
      </c>
      <c r="X119" s="1026" t="e">
        <f>ROUND(INDEX(入力!$D$179:$F$180,2,$Y$7),1)</f>
        <v>#N/A</v>
      </c>
      <c r="Y119" s="581" t="e">
        <f>ROUND(INDEX(入力!$D$189:$F$190,2,$Y$7),1)</f>
        <v>#N/A</v>
      </c>
      <c r="Z119" s="1026" t="e">
        <f>ROUND(INDEX(入力!$D$199:$F$200,2,$Y$7),1)</f>
        <v>#N/A</v>
      </c>
      <c r="AA119" s="471" t="e">
        <f>ROUND(INDEX(入力!$D$219:$F$220,2,$Y$7),1)</f>
        <v>#N/A</v>
      </c>
      <c r="AB119" s="581" t="e">
        <f>ROUND(INDEX(入力!$D$209:$F$210,2,$Y$7),1)</f>
        <v>#N/A</v>
      </c>
      <c r="AC119" s="626" t="e">
        <f t="shared" si="36"/>
        <v>#N/A</v>
      </c>
    </row>
    <row r="120" spans="2:29" s="542" customFormat="1" hidden="1">
      <c r="B120" s="1884" t="s">
        <v>718</v>
      </c>
      <c r="C120" s="1885"/>
      <c r="D120" s="1885"/>
      <c r="E120" s="1885"/>
      <c r="F120" s="1886"/>
      <c r="G120" s="1890" t="s">
        <v>785</v>
      </c>
      <c r="H120" s="1728"/>
      <c r="I120" s="1728"/>
      <c r="J120" s="1728"/>
      <c r="K120" s="1728"/>
      <c r="L120" s="1730"/>
      <c r="M120" s="1884" t="s">
        <v>786</v>
      </c>
      <c r="N120" s="1891"/>
      <c r="O120" s="1891"/>
      <c r="P120" s="1891"/>
      <c r="Q120" s="1892"/>
    </row>
    <row r="121" spans="2:29" s="542" customFormat="1" ht="14.5" hidden="1" thickBot="1">
      <c r="B121" s="1887"/>
      <c r="C121" s="1888"/>
      <c r="D121" s="1888"/>
      <c r="E121" s="1888"/>
      <c r="F121" s="1889"/>
      <c r="G121" s="1895" t="s">
        <v>787</v>
      </c>
      <c r="H121" s="1896"/>
      <c r="I121" s="1889" t="s">
        <v>788</v>
      </c>
      <c r="J121" s="1896"/>
      <c r="K121" s="1889" t="s">
        <v>789</v>
      </c>
      <c r="L121" s="1897"/>
      <c r="M121" s="1887"/>
      <c r="N121" s="1893"/>
      <c r="O121" s="1893"/>
      <c r="P121" s="1893"/>
      <c r="Q121" s="1894"/>
    </row>
    <row r="122" spans="2:29" s="542" customFormat="1" hidden="1">
      <c r="B122" s="1898" t="s">
        <v>816</v>
      </c>
      <c r="C122" s="1899"/>
      <c r="D122" s="1899"/>
      <c r="E122" s="1899"/>
      <c r="F122" s="1900"/>
      <c r="G122" s="1901">
        <f>H30</f>
        <v>0</v>
      </c>
      <c r="H122" s="1902"/>
      <c r="I122" s="1705">
        <f>J30</f>
        <v>0</v>
      </c>
      <c r="J122" s="1706"/>
      <c r="K122" s="1707">
        <f>L30</f>
        <v>0</v>
      </c>
      <c r="L122" s="1708"/>
      <c r="M122" s="1709">
        <f>Q30</f>
        <v>0</v>
      </c>
      <c r="N122" s="1710"/>
      <c r="O122" s="1710"/>
      <c r="P122" s="1710"/>
      <c r="Q122" s="1711"/>
    </row>
    <row r="123" spans="2:29" s="542" customFormat="1" ht="14.5" hidden="1" thickBot="1">
      <c r="B123" s="1712" t="s">
        <v>817</v>
      </c>
      <c r="C123" s="1713"/>
      <c r="D123" s="1713"/>
      <c r="E123" s="1713"/>
      <c r="F123" s="1714"/>
      <c r="G123" s="1715">
        <f>H70</f>
        <v>0</v>
      </c>
      <c r="H123" s="1716"/>
      <c r="I123" s="1717">
        <f>J70</f>
        <v>0</v>
      </c>
      <c r="J123" s="1718"/>
      <c r="K123" s="1719">
        <f>L70</f>
        <v>0</v>
      </c>
      <c r="L123" s="1720"/>
      <c r="M123" s="1721">
        <f>Q70</f>
        <v>0</v>
      </c>
      <c r="N123" s="1722"/>
      <c r="O123" s="1722"/>
      <c r="P123" s="1722"/>
      <c r="Q123" s="1723"/>
    </row>
    <row r="124" spans="2:29" ht="14.5" hidden="1" thickBot="1">
      <c r="B124" s="1724" t="s">
        <v>792</v>
      </c>
      <c r="C124" s="1725"/>
      <c r="D124" s="1725"/>
      <c r="E124" s="1725"/>
      <c r="F124" s="1726"/>
      <c r="G124" s="1727">
        <f>G122-G123</f>
        <v>0</v>
      </c>
      <c r="H124" s="1728"/>
      <c r="I124" s="1729">
        <f>I122-I123</f>
        <v>0</v>
      </c>
      <c r="J124" s="1728"/>
      <c r="K124" s="1729">
        <f>K122-K123</f>
        <v>0</v>
      </c>
      <c r="L124" s="1730"/>
      <c r="M124" s="1727">
        <f>M122-M123</f>
        <v>0</v>
      </c>
      <c r="N124" s="1731"/>
      <c r="O124" s="1731"/>
      <c r="P124" s="1731"/>
      <c r="Q124" s="1730"/>
    </row>
    <row r="125" spans="2:29" ht="14.5" hidden="1" thickBot="1">
      <c r="B125" s="1698" t="s">
        <v>793</v>
      </c>
      <c r="C125" s="1699"/>
      <c r="D125" s="1699"/>
      <c r="E125" s="1699"/>
      <c r="F125" s="1700"/>
      <c r="G125" s="565"/>
      <c r="H125" s="931"/>
      <c r="I125" s="1701">
        <f>MAX(G124:L124)</f>
        <v>0</v>
      </c>
      <c r="J125" s="1702"/>
      <c r="K125" s="931"/>
      <c r="L125" s="932"/>
      <c r="M125" s="1703">
        <f>M124</f>
        <v>0</v>
      </c>
      <c r="N125" s="1701"/>
      <c r="O125" s="1701"/>
      <c r="P125" s="1701"/>
      <c r="Q125" s="1704"/>
    </row>
    <row r="126" spans="2:29" hidden="1">
      <c r="B126" s="543"/>
      <c r="C126" s="543"/>
      <c r="D126" s="543"/>
      <c r="E126" s="543"/>
      <c r="F126" s="543"/>
      <c r="G126" s="541"/>
      <c r="H126" s="541"/>
      <c r="I126" s="949">
        <f>MAX(G122:L122)</f>
        <v>0</v>
      </c>
      <c r="J126" s="541"/>
      <c r="K126" s="541"/>
      <c r="L126" s="541"/>
      <c r="M126" s="541"/>
      <c r="N126" s="541"/>
      <c r="O126" s="541"/>
      <c r="P126" s="541"/>
      <c r="Q126" s="949">
        <f>M122</f>
        <v>0</v>
      </c>
    </row>
    <row r="127" spans="2:29" hidden="1">
      <c r="B127" s="543"/>
      <c r="C127" s="543"/>
      <c r="D127" s="543"/>
      <c r="E127" s="543"/>
      <c r="F127" s="543"/>
      <c r="G127" s="541"/>
      <c r="H127" s="541"/>
      <c r="I127" s="422">
        <f>MAX(G123:L123)</f>
        <v>0</v>
      </c>
      <c r="J127" s="543"/>
      <c r="K127" s="543"/>
      <c r="L127" s="543"/>
      <c r="M127" s="543"/>
      <c r="N127" s="543"/>
      <c r="O127" s="543"/>
      <c r="P127" s="543"/>
      <c r="Q127" s="422">
        <f>M123</f>
        <v>0</v>
      </c>
    </row>
    <row r="128" spans="2:29" hidden="1"/>
    <row r="129" spans="2:17" ht="25.5" hidden="1" thickBot="1">
      <c r="B129" s="542"/>
      <c r="C129" s="542"/>
      <c r="D129" s="542"/>
      <c r="E129" s="542"/>
      <c r="F129" s="542"/>
      <c r="G129" s="542"/>
      <c r="H129" s="566" t="s">
        <v>1344</v>
      </c>
      <c r="I129" s="542"/>
      <c r="J129" s="542"/>
      <c r="K129" s="542"/>
      <c r="L129" s="542"/>
      <c r="M129" s="542"/>
      <c r="N129" s="542"/>
      <c r="O129" s="542"/>
      <c r="P129" s="542"/>
      <c r="Q129" s="542"/>
    </row>
    <row r="130" spans="2:17" hidden="1">
      <c r="B130" s="1884" t="s">
        <v>718</v>
      </c>
      <c r="C130" s="1885"/>
      <c r="D130" s="1885"/>
      <c r="E130" s="1885"/>
      <c r="F130" s="1886"/>
      <c r="G130" s="1890" t="s">
        <v>785</v>
      </c>
      <c r="H130" s="1728"/>
      <c r="I130" s="1728"/>
      <c r="J130" s="1728"/>
      <c r="K130" s="1728"/>
      <c r="L130" s="1730"/>
      <c r="M130" s="1884" t="s">
        <v>786</v>
      </c>
      <c r="N130" s="1891"/>
      <c r="O130" s="1891"/>
      <c r="P130" s="1891"/>
      <c r="Q130" s="1892"/>
    </row>
    <row r="131" spans="2:17" ht="14.5" hidden="1" thickBot="1">
      <c r="B131" s="1887"/>
      <c r="C131" s="1888"/>
      <c r="D131" s="1888"/>
      <c r="E131" s="1888"/>
      <c r="F131" s="1889"/>
      <c r="G131" s="1895" t="s">
        <v>787</v>
      </c>
      <c r="H131" s="1896"/>
      <c r="I131" s="1889" t="s">
        <v>788</v>
      </c>
      <c r="J131" s="1896"/>
      <c r="K131" s="1889" t="s">
        <v>789</v>
      </c>
      <c r="L131" s="1897"/>
      <c r="M131" s="1887"/>
      <c r="N131" s="1893"/>
      <c r="O131" s="1893"/>
      <c r="P131" s="1893"/>
      <c r="Q131" s="1894"/>
    </row>
    <row r="132" spans="2:17" hidden="1">
      <c r="B132" s="1898" t="s">
        <v>816</v>
      </c>
      <c r="C132" s="1899"/>
      <c r="D132" s="1899"/>
      <c r="E132" s="1899"/>
      <c r="F132" s="1900"/>
      <c r="G132" s="1901">
        <f>H30</f>
        <v>0</v>
      </c>
      <c r="H132" s="1902"/>
      <c r="I132" s="1705">
        <f>J30</f>
        <v>0</v>
      </c>
      <c r="J132" s="1706"/>
      <c r="K132" s="1707">
        <f>L30</f>
        <v>0</v>
      </c>
      <c r="L132" s="1708"/>
      <c r="M132" s="1709">
        <f>Q30</f>
        <v>0</v>
      </c>
      <c r="N132" s="1710"/>
      <c r="O132" s="1710"/>
      <c r="P132" s="1710"/>
      <c r="Q132" s="1711"/>
    </row>
    <row r="133" spans="2:17" ht="14.5" hidden="1" thickBot="1">
      <c r="B133" s="1712" t="s">
        <v>817</v>
      </c>
      <c r="C133" s="1713"/>
      <c r="D133" s="1713"/>
      <c r="E133" s="1713"/>
      <c r="F133" s="1714"/>
      <c r="G133" s="1715">
        <f>H70</f>
        <v>0</v>
      </c>
      <c r="H133" s="1716"/>
      <c r="I133" s="1717">
        <f>J70</f>
        <v>0</v>
      </c>
      <c r="J133" s="1718"/>
      <c r="K133" s="1719">
        <f>L70</f>
        <v>0</v>
      </c>
      <c r="L133" s="1720"/>
      <c r="M133" s="1721">
        <f>Q70</f>
        <v>0</v>
      </c>
      <c r="N133" s="1722"/>
      <c r="O133" s="1722"/>
      <c r="P133" s="1722"/>
      <c r="Q133" s="1723"/>
    </row>
    <row r="134" spans="2:17" ht="14.5" hidden="1" thickBot="1">
      <c r="B134" s="1724" t="s">
        <v>792</v>
      </c>
      <c r="C134" s="1725"/>
      <c r="D134" s="1725"/>
      <c r="E134" s="1725"/>
      <c r="F134" s="1726"/>
      <c r="G134" s="1727">
        <f>G132-G133</f>
        <v>0</v>
      </c>
      <c r="H134" s="1728"/>
      <c r="I134" s="1729">
        <f>I132-I133</f>
        <v>0</v>
      </c>
      <c r="J134" s="1728"/>
      <c r="K134" s="1729">
        <f>K132-K133</f>
        <v>0</v>
      </c>
      <c r="L134" s="1730"/>
      <c r="M134" s="1727">
        <f>M132-M133</f>
        <v>0</v>
      </c>
      <c r="N134" s="1731"/>
      <c r="O134" s="1731"/>
      <c r="P134" s="1731"/>
      <c r="Q134" s="1730"/>
    </row>
    <row r="135" spans="2:17" ht="14.5" hidden="1" thickBot="1">
      <c r="B135" s="1698" t="s">
        <v>793</v>
      </c>
      <c r="C135" s="1699"/>
      <c r="D135" s="1699"/>
      <c r="E135" s="1699"/>
      <c r="F135" s="1700"/>
      <c r="G135" s="565"/>
      <c r="H135" s="931"/>
      <c r="I135" s="1701">
        <f>MAX(G134:L134)</f>
        <v>0</v>
      </c>
      <c r="J135" s="1702"/>
      <c r="K135" s="931"/>
      <c r="L135" s="932"/>
      <c r="M135" s="1703">
        <f>M134</f>
        <v>0</v>
      </c>
      <c r="N135" s="1701"/>
      <c r="O135" s="1701"/>
      <c r="P135" s="1701"/>
      <c r="Q135" s="1704"/>
    </row>
    <row r="136" spans="2:17" hidden="1">
      <c r="B136" s="543"/>
      <c r="C136" s="543"/>
      <c r="D136" s="543"/>
      <c r="E136" s="543"/>
      <c r="F136" s="543"/>
      <c r="G136" s="541"/>
      <c r="H136" s="541"/>
      <c r="I136" s="949">
        <f>MAX(G132:L132)</f>
        <v>0</v>
      </c>
      <c r="J136" s="541"/>
      <c r="K136" s="541"/>
      <c r="L136" s="541"/>
      <c r="M136" s="541"/>
      <c r="N136" s="541"/>
      <c r="O136" s="541"/>
      <c r="P136" s="541"/>
      <c r="Q136" s="949">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8" t="s">
        <v>822</v>
      </c>
      <c r="I140" s="542"/>
      <c r="J140" s="542"/>
      <c r="K140" s="542"/>
      <c r="L140" s="542"/>
      <c r="M140" s="542"/>
      <c r="N140" s="542"/>
      <c r="O140" s="542"/>
      <c r="P140" s="542"/>
      <c r="Q140" s="542"/>
    </row>
    <row r="141" spans="2:17" hidden="1">
      <c r="B141" s="1919" t="s">
        <v>718</v>
      </c>
      <c r="C141" s="1920"/>
      <c r="D141" s="1920"/>
      <c r="E141" s="1920"/>
      <c r="F141" s="1921"/>
      <c r="G141" s="1925" t="s">
        <v>785</v>
      </c>
      <c r="H141" s="1926"/>
      <c r="I141" s="1926"/>
      <c r="J141" s="1926"/>
      <c r="K141" s="1926"/>
      <c r="L141" s="1927"/>
      <c r="M141" s="1919" t="s">
        <v>786</v>
      </c>
      <c r="N141" s="1928"/>
      <c r="O141" s="1928"/>
      <c r="P141" s="1928"/>
      <c r="Q141" s="1929"/>
    </row>
    <row r="142" spans="2:17" ht="14.5" hidden="1" thickBot="1">
      <c r="B142" s="1922"/>
      <c r="C142" s="1923"/>
      <c r="D142" s="1923"/>
      <c r="E142" s="1923"/>
      <c r="F142" s="1924"/>
      <c r="G142" s="1932" t="s">
        <v>787</v>
      </c>
      <c r="H142" s="1933"/>
      <c r="I142" s="1924" t="s">
        <v>788</v>
      </c>
      <c r="J142" s="1933"/>
      <c r="K142" s="1924" t="s">
        <v>789</v>
      </c>
      <c r="L142" s="1934"/>
      <c r="M142" s="1922"/>
      <c r="N142" s="1930"/>
      <c r="O142" s="1930"/>
      <c r="P142" s="1930"/>
      <c r="Q142" s="1931"/>
    </row>
    <row r="143" spans="2:17" hidden="1">
      <c r="B143" s="2013" t="s">
        <v>818</v>
      </c>
      <c r="C143" s="2014"/>
      <c r="D143" s="2014"/>
      <c r="E143" s="2014"/>
      <c r="F143" s="2015"/>
      <c r="G143" s="1905">
        <f>H39</f>
        <v>0</v>
      </c>
      <c r="H143" s="2016"/>
      <c r="I143" s="2017">
        <f>J39</f>
        <v>0</v>
      </c>
      <c r="J143" s="2018"/>
      <c r="K143" s="1903">
        <f>L39</f>
        <v>0</v>
      </c>
      <c r="L143" s="1904"/>
      <c r="M143" s="1905">
        <f>Q39</f>
        <v>0</v>
      </c>
      <c r="N143" s="1906"/>
      <c r="O143" s="1906"/>
      <c r="P143" s="1906"/>
      <c r="Q143" s="1907"/>
    </row>
    <row r="144" spans="2:17" ht="14.5" hidden="1" thickBot="1">
      <c r="B144" s="1908" t="s">
        <v>819</v>
      </c>
      <c r="C144" s="1909"/>
      <c r="D144" s="1909"/>
      <c r="E144" s="1909"/>
      <c r="F144" s="1910"/>
      <c r="G144" s="1911">
        <f>H79</f>
        <v>0</v>
      </c>
      <c r="H144" s="1912"/>
      <c r="I144" s="1913">
        <f>J79</f>
        <v>0</v>
      </c>
      <c r="J144" s="1914"/>
      <c r="K144" s="1915">
        <f>L79</f>
        <v>0</v>
      </c>
      <c r="L144" s="1916"/>
      <c r="M144" s="1911">
        <f>Q79</f>
        <v>0</v>
      </c>
      <c r="N144" s="1917"/>
      <c r="O144" s="1917"/>
      <c r="P144" s="1917"/>
      <c r="Q144" s="1918"/>
    </row>
    <row r="145" spans="2:17" ht="14.5" hidden="1" thickBot="1">
      <c r="B145" s="1975" t="s">
        <v>792</v>
      </c>
      <c r="C145" s="1976"/>
      <c r="D145" s="1976"/>
      <c r="E145" s="1976"/>
      <c r="F145" s="1977"/>
      <c r="G145" s="1978">
        <f>G143-G144</f>
        <v>0</v>
      </c>
      <c r="H145" s="1926"/>
      <c r="I145" s="1979">
        <f>I143-I144</f>
        <v>0</v>
      </c>
      <c r="J145" s="1926"/>
      <c r="K145" s="1979">
        <f>K143-K144</f>
        <v>0</v>
      </c>
      <c r="L145" s="1927"/>
      <c r="M145" s="1978">
        <f>M143-M144</f>
        <v>0</v>
      </c>
      <c r="N145" s="1980"/>
      <c r="O145" s="1980"/>
      <c r="P145" s="1980"/>
      <c r="Q145" s="1927"/>
    </row>
    <row r="146" spans="2:17" ht="14.5" hidden="1" thickBot="1">
      <c r="B146" s="1992" t="s">
        <v>793</v>
      </c>
      <c r="C146" s="1993"/>
      <c r="D146" s="1993"/>
      <c r="E146" s="1993"/>
      <c r="F146" s="1994"/>
      <c r="G146" s="567"/>
      <c r="H146" s="968"/>
      <c r="I146" s="1995">
        <f>MAX(G145:L145)</f>
        <v>0</v>
      </c>
      <c r="J146" s="1996"/>
      <c r="K146" s="968"/>
      <c r="L146" s="969"/>
      <c r="M146" s="1997">
        <f>M145</f>
        <v>0</v>
      </c>
      <c r="N146" s="1995"/>
      <c r="O146" s="1995"/>
      <c r="P146" s="1995"/>
      <c r="Q146" s="1998"/>
    </row>
    <row r="147" spans="2:17" hidden="1">
      <c r="B147" s="543"/>
      <c r="C147" s="543"/>
      <c r="D147" s="543"/>
      <c r="E147" s="543"/>
      <c r="F147" s="543"/>
      <c r="G147" s="541"/>
      <c r="H147" s="541"/>
      <c r="I147" s="949">
        <f>MAX(G143:L143)</f>
        <v>0</v>
      </c>
      <c r="J147" s="541"/>
      <c r="K147" s="541"/>
      <c r="L147" s="541"/>
      <c r="M147" s="541"/>
      <c r="N147" s="541"/>
      <c r="O147" s="541"/>
      <c r="P147" s="541"/>
      <c r="Q147" s="949">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9" t="s">
        <v>859</v>
      </c>
      <c r="I150" s="542"/>
      <c r="J150" s="542"/>
      <c r="K150" s="542"/>
      <c r="L150" s="542"/>
      <c r="M150" s="542"/>
      <c r="N150" s="542"/>
      <c r="O150" s="542"/>
      <c r="P150" s="542"/>
      <c r="Q150" s="542"/>
    </row>
    <row r="151" spans="2:17" hidden="1">
      <c r="B151" s="1999" t="s">
        <v>718</v>
      </c>
      <c r="C151" s="2000"/>
      <c r="D151" s="2000"/>
      <c r="E151" s="2000"/>
      <c r="F151" s="2001"/>
      <c r="G151" s="2005" t="s">
        <v>785</v>
      </c>
      <c r="H151" s="1942"/>
      <c r="I151" s="1942"/>
      <c r="J151" s="1942"/>
      <c r="K151" s="1942"/>
      <c r="L151" s="1944"/>
      <c r="M151" s="1999" t="s">
        <v>786</v>
      </c>
      <c r="N151" s="2006"/>
      <c r="O151" s="2006"/>
      <c r="P151" s="2006"/>
      <c r="Q151" s="2007"/>
    </row>
    <row r="152" spans="2:17" ht="14.5" hidden="1" thickBot="1">
      <c r="B152" s="2002"/>
      <c r="C152" s="2003"/>
      <c r="D152" s="2003"/>
      <c r="E152" s="2003"/>
      <c r="F152" s="2004"/>
      <c r="G152" s="2010" t="s">
        <v>787</v>
      </c>
      <c r="H152" s="2011"/>
      <c r="I152" s="2004" t="s">
        <v>788</v>
      </c>
      <c r="J152" s="2011"/>
      <c r="K152" s="2004" t="s">
        <v>789</v>
      </c>
      <c r="L152" s="2012"/>
      <c r="M152" s="2002"/>
      <c r="N152" s="2008"/>
      <c r="O152" s="2008"/>
      <c r="P152" s="2008"/>
      <c r="Q152" s="2009"/>
    </row>
    <row r="153" spans="2:17" hidden="1">
      <c r="B153" s="1953" t="s">
        <v>820</v>
      </c>
      <c r="C153" s="1954"/>
      <c r="D153" s="1954"/>
      <c r="E153" s="1954"/>
      <c r="F153" s="1955"/>
      <c r="G153" s="1956">
        <f>H48</f>
        <v>0</v>
      </c>
      <c r="H153" s="1957"/>
      <c r="I153" s="1958">
        <f>J48</f>
        <v>0</v>
      </c>
      <c r="J153" s="1959"/>
      <c r="K153" s="1960">
        <f>L48</f>
        <v>0</v>
      </c>
      <c r="L153" s="1961"/>
      <c r="M153" s="1956">
        <f>Q48</f>
        <v>0</v>
      </c>
      <c r="N153" s="1962"/>
      <c r="O153" s="1962"/>
      <c r="P153" s="1962"/>
      <c r="Q153" s="1963"/>
    </row>
    <row r="154" spans="2:17" ht="14.5" hidden="1" thickBot="1">
      <c r="B154" s="1964" t="s">
        <v>821</v>
      </c>
      <c r="C154" s="1965"/>
      <c r="D154" s="1965"/>
      <c r="E154" s="1965"/>
      <c r="F154" s="1966"/>
      <c r="G154" s="1967">
        <f>H88</f>
        <v>0</v>
      </c>
      <c r="H154" s="1968"/>
      <c r="I154" s="1969">
        <f>J88</f>
        <v>0</v>
      </c>
      <c r="J154" s="1970"/>
      <c r="K154" s="1971">
        <f>L88</f>
        <v>0</v>
      </c>
      <c r="L154" s="1972"/>
      <c r="M154" s="1967">
        <f>Q88</f>
        <v>0</v>
      </c>
      <c r="N154" s="1973"/>
      <c r="O154" s="1973"/>
      <c r="P154" s="1973"/>
      <c r="Q154" s="1974"/>
    </row>
    <row r="155" spans="2:17" ht="14.5" hidden="1" thickBot="1">
      <c r="B155" s="1938" t="s">
        <v>792</v>
      </c>
      <c r="C155" s="1939"/>
      <c r="D155" s="1939"/>
      <c r="E155" s="1939"/>
      <c r="F155" s="1940"/>
      <c r="G155" s="1941">
        <f>G153-G154</f>
        <v>0</v>
      </c>
      <c r="H155" s="1942"/>
      <c r="I155" s="1943">
        <f>I153-I154</f>
        <v>0</v>
      </c>
      <c r="J155" s="1942"/>
      <c r="K155" s="1943">
        <f>K153-K154</f>
        <v>0</v>
      </c>
      <c r="L155" s="1944"/>
      <c r="M155" s="1941">
        <f>M153-M154</f>
        <v>0</v>
      </c>
      <c r="N155" s="1945"/>
      <c r="O155" s="1945"/>
      <c r="P155" s="1945"/>
      <c r="Q155" s="1944"/>
    </row>
    <row r="156" spans="2:17" ht="14.5" hidden="1" thickBot="1">
      <c r="B156" s="1946" t="s">
        <v>793</v>
      </c>
      <c r="C156" s="1947"/>
      <c r="D156" s="1947"/>
      <c r="E156" s="1947"/>
      <c r="F156" s="1948"/>
      <c r="G156" s="570"/>
      <c r="H156" s="966"/>
      <c r="I156" s="1949">
        <f>MAX(G155:L155)</f>
        <v>0</v>
      </c>
      <c r="J156" s="1950"/>
      <c r="K156" s="966"/>
      <c r="L156" s="967"/>
      <c r="M156" s="1951">
        <f>M155</f>
        <v>0</v>
      </c>
      <c r="N156" s="1949"/>
      <c r="O156" s="1949"/>
      <c r="P156" s="1949"/>
      <c r="Q156" s="1952"/>
    </row>
    <row r="157" spans="2:17" hidden="1">
      <c r="I157" s="949">
        <f>MAX(G153:L153)</f>
        <v>0</v>
      </c>
      <c r="J157" s="541"/>
      <c r="K157" s="541"/>
      <c r="L157" s="541"/>
      <c r="M157" s="541"/>
      <c r="N157" s="541"/>
      <c r="O157" s="541"/>
      <c r="P157" s="541"/>
      <c r="Q157" s="949">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6" t="s">
        <v>858</v>
      </c>
      <c r="I160" s="542"/>
      <c r="J160" s="542"/>
      <c r="K160" s="542"/>
      <c r="L160" s="542"/>
      <c r="M160" s="542"/>
      <c r="N160" s="542"/>
      <c r="O160" s="542"/>
      <c r="P160" s="542"/>
      <c r="Q160" s="542"/>
    </row>
    <row r="161" spans="2:17" hidden="1">
      <c r="B161" s="1884" t="s">
        <v>718</v>
      </c>
      <c r="C161" s="1885"/>
      <c r="D161" s="1885"/>
      <c r="E161" s="1885"/>
      <c r="F161" s="1886"/>
      <c r="G161" s="1890" t="s">
        <v>785</v>
      </c>
      <c r="H161" s="1728"/>
      <c r="I161" s="1728"/>
      <c r="J161" s="1728"/>
      <c r="K161" s="1728"/>
      <c r="L161" s="1730"/>
      <c r="M161" s="1884" t="s">
        <v>786</v>
      </c>
      <c r="N161" s="1891"/>
      <c r="O161" s="1891"/>
      <c r="P161" s="1891"/>
      <c r="Q161" s="1892"/>
    </row>
    <row r="162" spans="2:17" ht="14.5" hidden="1" thickBot="1">
      <c r="B162" s="1887"/>
      <c r="C162" s="1888"/>
      <c r="D162" s="1888"/>
      <c r="E162" s="1888"/>
      <c r="F162" s="1889"/>
      <c r="G162" s="1895" t="s">
        <v>787</v>
      </c>
      <c r="H162" s="1896"/>
      <c r="I162" s="1889" t="s">
        <v>788</v>
      </c>
      <c r="J162" s="1896"/>
      <c r="K162" s="1889" t="s">
        <v>789</v>
      </c>
      <c r="L162" s="1897"/>
      <c r="M162" s="1887"/>
      <c r="N162" s="1893"/>
      <c r="O162" s="1893"/>
      <c r="P162" s="1893"/>
      <c r="Q162" s="1894"/>
    </row>
    <row r="163" spans="2:17" hidden="1">
      <c r="B163" s="1898" t="s">
        <v>820</v>
      </c>
      <c r="C163" s="1899"/>
      <c r="D163" s="1899"/>
      <c r="E163" s="1899"/>
      <c r="F163" s="1900"/>
      <c r="G163" s="1709">
        <f>H62</f>
        <v>0</v>
      </c>
      <c r="H163" s="1981"/>
      <c r="I163" s="1982">
        <f>J62</f>
        <v>0</v>
      </c>
      <c r="J163" s="1902"/>
      <c r="K163" s="1707">
        <f>L62</f>
        <v>0</v>
      </c>
      <c r="L163" s="1708"/>
      <c r="M163" s="1709">
        <f>Q72</f>
        <v>0</v>
      </c>
      <c r="N163" s="1710"/>
      <c r="O163" s="1710"/>
      <c r="P163" s="1710"/>
      <c r="Q163" s="1711"/>
    </row>
    <row r="164" spans="2:17" ht="14.5" hidden="1" thickBot="1">
      <c r="B164" s="1712" t="s">
        <v>821</v>
      </c>
      <c r="C164" s="1713"/>
      <c r="D164" s="1713"/>
      <c r="E164" s="1713"/>
      <c r="F164" s="1714"/>
      <c r="G164" s="1721">
        <f>H102</f>
        <v>0</v>
      </c>
      <c r="H164" s="2024"/>
      <c r="I164" s="2025">
        <f>J102</f>
        <v>0</v>
      </c>
      <c r="J164" s="1716"/>
      <c r="K164" s="1719">
        <f>L102</f>
        <v>0</v>
      </c>
      <c r="L164" s="1720"/>
      <c r="M164" s="1721">
        <f>Q112</f>
        <v>0</v>
      </c>
      <c r="N164" s="1722"/>
      <c r="O164" s="1722"/>
      <c r="P164" s="1722"/>
      <c r="Q164" s="1723"/>
    </row>
    <row r="165" spans="2:17" ht="14.5" hidden="1" thickBot="1">
      <c r="B165" s="1724" t="s">
        <v>792</v>
      </c>
      <c r="C165" s="1725"/>
      <c r="D165" s="1725"/>
      <c r="E165" s="1725"/>
      <c r="F165" s="1726"/>
      <c r="G165" s="1727">
        <f>G163-G164</f>
        <v>0</v>
      </c>
      <c r="H165" s="1728"/>
      <c r="I165" s="1729">
        <f>I163-I164</f>
        <v>0</v>
      </c>
      <c r="J165" s="1728"/>
      <c r="K165" s="1729">
        <f>K163-K164</f>
        <v>0</v>
      </c>
      <c r="L165" s="1730"/>
      <c r="M165" s="1727">
        <f>M163-M164</f>
        <v>0</v>
      </c>
      <c r="N165" s="1731"/>
      <c r="O165" s="1731"/>
      <c r="P165" s="1731"/>
      <c r="Q165" s="1730"/>
    </row>
    <row r="166" spans="2:17" ht="14.5" hidden="1" thickBot="1">
      <c r="B166" s="1698" t="s">
        <v>793</v>
      </c>
      <c r="C166" s="1699"/>
      <c r="D166" s="1699"/>
      <c r="E166" s="1699"/>
      <c r="F166" s="1700"/>
      <c r="G166" s="565"/>
      <c r="H166" s="931"/>
      <c r="I166" s="1701">
        <f>MAX(G165:L165)</f>
        <v>0</v>
      </c>
      <c r="J166" s="1702"/>
      <c r="K166" s="931"/>
      <c r="L166" s="932"/>
      <c r="M166" s="1703">
        <f>M165</f>
        <v>0</v>
      </c>
      <c r="N166" s="1701"/>
      <c r="O166" s="1701"/>
      <c r="P166" s="1701"/>
      <c r="Q166" s="1704"/>
    </row>
    <row r="167" spans="2:17" hidden="1">
      <c r="I167" s="949">
        <f>MAX(G163:L163)</f>
        <v>0</v>
      </c>
      <c r="J167" s="541"/>
      <c r="K167" s="541"/>
      <c r="L167" s="541"/>
      <c r="M167" s="541"/>
      <c r="N167" s="541"/>
      <c r="O167" s="541"/>
      <c r="P167" s="541"/>
      <c r="Q167" s="949">
        <f>M163</f>
        <v>0</v>
      </c>
    </row>
    <row r="168" spans="2:17" hidden="1">
      <c r="I168" s="422">
        <f>MAX(G164:L164)</f>
        <v>0</v>
      </c>
      <c r="J168" s="543"/>
      <c r="K168" s="543"/>
      <c r="L168" s="543"/>
      <c r="M168" s="543"/>
      <c r="N168" s="543"/>
      <c r="O168" s="543"/>
      <c r="P168" s="543"/>
      <c r="Q168" s="422">
        <f>M164</f>
        <v>0</v>
      </c>
    </row>
    <row r="169" spans="2:17" hidden="1"/>
  </sheetData>
  <sheetProtection password="D73A" sheet="1" objects="1" scenarios="1"/>
  <mergeCells count="264">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B123:F123"/>
    <mergeCell ref="G123:H123"/>
    <mergeCell ref="I123:J123"/>
    <mergeCell ref="K123:L123"/>
    <mergeCell ref="M123:Q123"/>
    <mergeCell ref="B124:F124"/>
    <mergeCell ref="G124:H124"/>
    <mergeCell ref="I124:J124"/>
    <mergeCell ref="K124:L124"/>
    <mergeCell ref="M124:Q124"/>
    <mergeCell ref="B120:F121"/>
    <mergeCell ref="G120:L120"/>
    <mergeCell ref="M120:Q121"/>
    <mergeCell ref="G121:H121"/>
    <mergeCell ref="I121:J121"/>
    <mergeCell ref="K121:L121"/>
    <mergeCell ref="B122:F122"/>
    <mergeCell ref="G122:H122"/>
    <mergeCell ref="I122:J122"/>
    <mergeCell ref="K122:L122"/>
    <mergeCell ref="M122:Q122"/>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I109:J109"/>
    <mergeCell ref="K109:L109"/>
    <mergeCell ref="M109:Q109"/>
    <mergeCell ref="C94:C101"/>
    <mergeCell ref="B103:E103"/>
    <mergeCell ref="B106:Q106"/>
    <mergeCell ref="G108:H108"/>
    <mergeCell ref="I108:J108"/>
    <mergeCell ref="K108:L108"/>
    <mergeCell ref="M107:Q108"/>
    <mergeCell ref="B107:F108"/>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s>
  <phoneticPr fontId="2"/>
  <conditionalFormatting sqref="K4">
    <cfRule type="containsBlanks" dxfId="7"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4AA1-0222-4AB8-AB69-B514616CB5D6}">
  <sheetPr>
    <tabColor rgb="FFFFC000"/>
  </sheetPr>
  <dimension ref="A1:AF79"/>
  <sheetViews>
    <sheetView view="pageBreakPreview" zoomScaleNormal="100" zoomScaleSheetLayoutView="100" workbookViewId="0">
      <selection activeCell="U35" sqref="U35"/>
    </sheetView>
  </sheetViews>
  <sheetFormatPr defaultColWidth="9" defaultRowHeight="12"/>
  <cols>
    <col min="1" max="1" width="1.08984375" style="1029" customWidth="1"/>
    <col min="2" max="2" width="3.7265625" style="1029" customWidth="1"/>
    <col min="3" max="3" width="7.453125" style="1029" customWidth="1"/>
    <col min="4" max="4" width="1.08984375" style="1029" customWidth="1"/>
    <col min="5" max="5" width="9.7265625" style="1029" customWidth="1"/>
    <col min="6" max="6" width="9.36328125" style="1029" customWidth="1"/>
    <col min="7" max="7" width="6.7265625" style="1029" customWidth="1"/>
    <col min="8" max="8" width="5.7265625" style="1029" customWidth="1"/>
    <col min="9" max="9" width="7.453125" style="1029" customWidth="1"/>
    <col min="10" max="10" width="6.90625" style="1029" customWidth="1"/>
    <col min="11" max="11" width="5" style="1029" customWidth="1"/>
    <col min="12" max="12" width="8.36328125" style="1029" customWidth="1"/>
    <col min="13" max="13" width="13.6328125" style="1029" customWidth="1"/>
    <col min="14" max="14" width="7.36328125" style="1029" customWidth="1"/>
    <col min="15" max="15" width="13.6328125" style="1029" customWidth="1"/>
    <col min="16" max="23" width="9" style="1029"/>
    <col min="24" max="29" width="9" style="1029" hidden="1" customWidth="1"/>
    <col min="30" max="16384" width="9" style="1029"/>
  </cols>
  <sheetData>
    <row r="1" spans="1:15" ht="30" customHeight="1">
      <c r="A1" s="2096" t="s">
        <v>1431</v>
      </c>
      <c r="B1" s="2096"/>
      <c r="C1" s="2096"/>
      <c r="D1" s="2096"/>
      <c r="E1" s="2096"/>
      <c r="F1" s="2096"/>
      <c r="G1" s="2096"/>
      <c r="H1" s="2096"/>
      <c r="I1" s="2096"/>
      <c r="J1" s="2096"/>
      <c r="K1" s="2096"/>
      <c r="L1" s="2096"/>
      <c r="M1" s="2096"/>
      <c r="N1" s="2096"/>
      <c r="O1" s="2096"/>
    </row>
    <row r="2" spans="1:15" ht="30" hidden="1" customHeight="1">
      <c r="A2" s="1030"/>
      <c r="B2" s="1031" t="s">
        <v>1432</v>
      </c>
      <c r="C2" s="1032"/>
      <c r="D2" s="1032"/>
      <c r="E2" s="1032"/>
      <c r="F2" s="1032"/>
      <c r="G2" s="1032"/>
      <c r="H2" s="1032"/>
      <c r="I2" s="1032"/>
      <c r="J2" s="1032"/>
      <c r="K2" s="1032"/>
      <c r="L2" s="1032"/>
      <c r="M2" s="1032"/>
    </row>
    <row r="3" spans="1:15" ht="24" hidden="1" customHeight="1">
      <c r="A3" s="1030"/>
      <c r="B3" s="1033"/>
      <c r="C3" s="1034" t="s">
        <v>1433</v>
      </c>
      <c r="D3" s="1035"/>
      <c r="E3" s="2097" t="s">
        <v>1434</v>
      </c>
      <c r="F3" s="2097"/>
      <c r="G3" s="2097"/>
      <c r="H3" s="2097"/>
      <c r="I3" s="2097"/>
      <c r="J3" s="2097"/>
      <c r="K3" s="2097"/>
      <c r="L3" s="1036" t="s">
        <v>1435</v>
      </c>
      <c r="M3" s="2097" t="s">
        <v>1436</v>
      </c>
      <c r="N3" s="2097"/>
      <c r="O3" s="2097"/>
    </row>
    <row r="4" spans="1:15" ht="20.25" hidden="1" customHeight="1">
      <c r="A4" s="1030"/>
      <c r="C4" s="1037" t="s">
        <v>1437</v>
      </c>
      <c r="D4" s="1037"/>
      <c r="E4" s="2097" t="s">
        <v>1438</v>
      </c>
      <c r="F4" s="2097"/>
      <c r="G4" s="2097"/>
      <c r="H4" s="2097"/>
      <c r="I4" s="2097"/>
      <c r="J4" s="1035"/>
      <c r="K4" s="1035"/>
      <c r="L4" s="1035"/>
      <c r="M4" s="1035"/>
      <c r="N4" s="1035"/>
      <c r="O4" s="1035"/>
    </row>
    <row r="5" spans="1:15" ht="20.25" customHeight="1" thickBot="1">
      <c r="A5" s="1030"/>
      <c r="B5" s="2098" t="s">
        <v>1439</v>
      </c>
      <c r="C5" s="2098"/>
      <c r="D5" s="2098"/>
      <c r="E5" s="2098"/>
      <c r="F5" s="2098"/>
      <c r="G5" s="2098"/>
      <c r="H5" s="2098"/>
      <c r="I5" s="2098"/>
      <c r="J5" s="2098"/>
      <c r="K5" s="2098"/>
      <c r="L5" s="2098"/>
      <c r="M5" s="2098"/>
      <c r="N5" s="2098"/>
      <c r="O5" s="2098"/>
    </row>
    <row r="6" spans="1:15" ht="41.25" customHeight="1">
      <c r="A6" s="1030"/>
      <c r="B6" s="2099" t="s">
        <v>1440</v>
      </c>
      <c r="C6" s="2100"/>
      <c r="D6" s="2100"/>
      <c r="E6" s="2101"/>
      <c r="F6" s="2108" t="s">
        <v>1441</v>
      </c>
      <c r="G6" s="2109"/>
      <c r="H6" s="2110" t="s">
        <v>832</v>
      </c>
      <c r="I6" s="2111"/>
      <c r="J6" s="1038" t="s">
        <v>833</v>
      </c>
      <c r="K6" s="1039" t="s">
        <v>834</v>
      </c>
      <c r="L6" s="1040" t="s">
        <v>835</v>
      </c>
      <c r="M6" s="1041" t="s">
        <v>836</v>
      </c>
      <c r="N6" s="1042" t="s">
        <v>1442</v>
      </c>
      <c r="O6" s="1043" t="s">
        <v>1443</v>
      </c>
    </row>
    <row r="7" spans="1:15" ht="24" customHeight="1">
      <c r="A7" s="1030"/>
      <c r="B7" s="2102"/>
      <c r="C7" s="2103"/>
      <c r="D7" s="2103"/>
      <c r="E7" s="2104"/>
      <c r="F7" s="2112" t="s">
        <v>837</v>
      </c>
      <c r="G7" s="2113"/>
      <c r="H7" s="2114" t="s">
        <v>838</v>
      </c>
      <c r="I7" s="2113"/>
      <c r="J7" s="1044" t="s">
        <v>1444</v>
      </c>
      <c r="K7" s="1045" t="s">
        <v>1445</v>
      </c>
      <c r="L7" s="1044" t="s">
        <v>1446</v>
      </c>
      <c r="M7" s="1046" t="s">
        <v>1447</v>
      </c>
      <c r="N7" s="1047" t="s">
        <v>840</v>
      </c>
      <c r="O7" s="1048" t="s">
        <v>1448</v>
      </c>
    </row>
    <row r="8" spans="1:15" ht="26.25" customHeight="1" thickBot="1">
      <c r="A8" s="1030"/>
      <c r="B8" s="2105"/>
      <c r="C8" s="2106"/>
      <c r="D8" s="2106"/>
      <c r="E8" s="2107"/>
      <c r="F8" s="1049" t="s">
        <v>1449</v>
      </c>
      <c r="G8" s="1050" t="s">
        <v>831</v>
      </c>
      <c r="H8" s="1051"/>
      <c r="I8" s="1052" t="s">
        <v>842</v>
      </c>
      <c r="J8" s="1053" t="s">
        <v>609</v>
      </c>
      <c r="K8" s="1054" t="s">
        <v>610</v>
      </c>
      <c r="L8" s="1055"/>
      <c r="M8" s="1056" t="s">
        <v>611</v>
      </c>
      <c r="N8" s="1055"/>
      <c r="O8" s="1057" t="s">
        <v>1450</v>
      </c>
    </row>
    <row r="9" spans="1:15" ht="28.5" hidden="1" customHeight="1">
      <c r="A9" s="1030"/>
      <c r="B9" s="2067" t="s">
        <v>1451</v>
      </c>
      <c r="C9" s="2069" t="s">
        <v>1452</v>
      </c>
      <c r="D9" s="2070"/>
      <c r="E9" s="2071"/>
      <c r="F9" s="1058"/>
      <c r="G9" s="1059" t="s">
        <v>611</v>
      </c>
      <c r="H9" s="1060">
        <v>38.200000000000003</v>
      </c>
      <c r="I9" s="1061" t="s">
        <v>612</v>
      </c>
      <c r="J9" s="1062">
        <f t="shared" ref="J9:J27" si="0">F9*H9</f>
        <v>0</v>
      </c>
      <c r="K9" s="2084">
        <v>2.58E-2</v>
      </c>
      <c r="L9" s="1063">
        <f>ROUNDDOWN(H9*K$9,5-INT(LOG(ABS(H9*K$9))))</f>
        <v>0.98555999999999999</v>
      </c>
      <c r="M9" s="1064">
        <f>F9*H9*K$9+ROUNDDOWN(0,1)</f>
        <v>0</v>
      </c>
      <c r="N9" s="1065">
        <v>2.6192000000000002</v>
      </c>
      <c r="O9" s="1066">
        <f t="shared" ref="O9:O29" si="1">F9*N9</f>
        <v>0</v>
      </c>
    </row>
    <row r="10" spans="1:15" ht="29.25" customHeight="1">
      <c r="A10" s="1030"/>
      <c r="B10" s="2068"/>
      <c r="C10" s="2087" t="s">
        <v>1453</v>
      </c>
      <c r="D10" s="2074"/>
      <c r="E10" s="2073"/>
      <c r="F10" s="1067"/>
      <c r="G10" s="1068" t="s">
        <v>611</v>
      </c>
      <c r="H10" s="1069">
        <v>34.6</v>
      </c>
      <c r="I10" s="1070" t="s">
        <v>612</v>
      </c>
      <c r="J10" s="1071">
        <f t="shared" si="0"/>
        <v>0</v>
      </c>
      <c r="K10" s="2085"/>
      <c r="L10" s="1069">
        <f t="shared" ref="L10:L30" si="2">ROUNDDOWN(H10*K$9,5-INT(LOG(ABS(H10*K$9))))</f>
        <v>0.89268000000000003</v>
      </c>
      <c r="M10" s="1072">
        <f t="shared" ref="M10:M30" si="3">F10*H10*K$9+ROUNDDOWN(0,1)</f>
        <v>0</v>
      </c>
      <c r="N10" s="1073">
        <v>2.3216999999999999</v>
      </c>
      <c r="O10" s="1074">
        <f t="shared" si="1"/>
        <v>0</v>
      </c>
    </row>
    <row r="11" spans="1:15" ht="29.25" hidden="1" customHeight="1">
      <c r="A11" s="1030"/>
      <c r="B11" s="2068"/>
      <c r="C11" s="2072" t="s">
        <v>1454</v>
      </c>
      <c r="D11" s="2074"/>
      <c r="E11" s="2073"/>
      <c r="F11" s="1067"/>
      <c r="G11" s="1068" t="s">
        <v>611</v>
      </c>
      <c r="H11" s="1069">
        <v>33.6</v>
      </c>
      <c r="I11" s="1070" t="s">
        <v>612</v>
      </c>
      <c r="J11" s="1071">
        <f t="shared" si="0"/>
        <v>0</v>
      </c>
      <c r="K11" s="2085"/>
      <c r="L11" s="1069">
        <f t="shared" si="2"/>
        <v>0.86687999999999998</v>
      </c>
      <c r="M11" s="1072">
        <f t="shared" si="3"/>
        <v>0</v>
      </c>
      <c r="N11" s="1073">
        <v>2.2422</v>
      </c>
      <c r="O11" s="1074">
        <f t="shared" si="1"/>
        <v>0</v>
      </c>
    </row>
    <row r="12" spans="1:15" ht="29.25" customHeight="1">
      <c r="A12" s="1030"/>
      <c r="B12" s="2068"/>
      <c r="C12" s="2072" t="s">
        <v>843</v>
      </c>
      <c r="D12" s="2074"/>
      <c r="E12" s="2073"/>
      <c r="F12" s="1067"/>
      <c r="G12" s="1068" t="s">
        <v>611</v>
      </c>
      <c r="H12" s="1069">
        <v>36.700000000000003</v>
      </c>
      <c r="I12" s="1070" t="s">
        <v>612</v>
      </c>
      <c r="J12" s="1071">
        <f>F12*H12</f>
        <v>0</v>
      </c>
      <c r="K12" s="2085"/>
      <c r="L12" s="1069">
        <f t="shared" si="2"/>
        <v>0.94686000000000003</v>
      </c>
      <c r="M12" s="1072">
        <f t="shared" si="3"/>
        <v>0</v>
      </c>
      <c r="N12" s="1073">
        <v>2.4895</v>
      </c>
      <c r="O12" s="1074">
        <f t="shared" si="1"/>
        <v>0</v>
      </c>
    </row>
    <row r="13" spans="1:15" ht="29.25" customHeight="1">
      <c r="A13" s="1030"/>
      <c r="B13" s="2068"/>
      <c r="C13" s="2072" t="s">
        <v>844</v>
      </c>
      <c r="D13" s="2074"/>
      <c r="E13" s="2073"/>
      <c r="F13" s="1067"/>
      <c r="G13" s="1068" t="s">
        <v>611</v>
      </c>
      <c r="H13" s="1069">
        <v>37.700000000000003</v>
      </c>
      <c r="I13" s="1070" t="s">
        <v>612</v>
      </c>
      <c r="J13" s="1071">
        <f t="shared" si="0"/>
        <v>0</v>
      </c>
      <c r="K13" s="2085"/>
      <c r="L13" s="1069">
        <f t="shared" si="2"/>
        <v>0.97265999999999997</v>
      </c>
      <c r="M13" s="1072">
        <f t="shared" si="3"/>
        <v>0</v>
      </c>
      <c r="N13" s="1073">
        <v>2.585</v>
      </c>
      <c r="O13" s="1074">
        <f t="shared" si="1"/>
        <v>0</v>
      </c>
    </row>
    <row r="14" spans="1:15" ht="29.25" customHeight="1">
      <c r="A14" s="1030"/>
      <c r="B14" s="2068"/>
      <c r="C14" s="2072" t="s">
        <v>845</v>
      </c>
      <c r="D14" s="2074"/>
      <c r="E14" s="2073"/>
      <c r="F14" s="1067"/>
      <c r="G14" s="1068" t="s">
        <v>611</v>
      </c>
      <c r="H14" s="1069">
        <v>39.1</v>
      </c>
      <c r="I14" s="1070" t="s">
        <v>612</v>
      </c>
      <c r="J14" s="1071">
        <f t="shared" si="0"/>
        <v>0</v>
      </c>
      <c r="K14" s="2085"/>
      <c r="L14" s="1069">
        <f t="shared" si="2"/>
        <v>1.00878</v>
      </c>
      <c r="M14" s="1072">
        <f t="shared" si="3"/>
        <v>0</v>
      </c>
      <c r="N14" s="1073">
        <v>2.7096</v>
      </c>
      <c r="O14" s="1074">
        <f t="shared" si="1"/>
        <v>0</v>
      </c>
    </row>
    <row r="15" spans="1:15" ht="29.25" hidden="1" customHeight="1">
      <c r="A15" s="1030"/>
      <c r="B15" s="2068"/>
      <c r="C15" s="2072" t="s">
        <v>1455</v>
      </c>
      <c r="D15" s="2074"/>
      <c r="E15" s="2073"/>
      <c r="F15" s="1067"/>
      <c r="G15" s="1068" t="s">
        <v>611</v>
      </c>
      <c r="H15" s="1069">
        <v>41.9</v>
      </c>
      <c r="I15" s="1070" t="s">
        <v>612</v>
      </c>
      <c r="J15" s="1071">
        <f t="shared" si="0"/>
        <v>0</v>
      </c>
      <c r="K15" s="2085"/>
      <c r="L15" s="1069">
        <f t="shared" si="2"/>
        <v>1.0810200000000001</v>
      </c>
      <c r="M15" s="1072">
        <f t="shared" si="3"/>
        <v>0</v>
      </c>
      <c r="N15" s="1073">
        <v>2.9958999999999998</v>
      </c>
      <c r="O15" s="1074">
        <f t="shared" si="1"/>
        <v>0</v>
      </c>
    </row>
    <row r="16" spans="1:15" ht="29.25" hidden="1" customHeight="1">
      <c r="A16" s="1030"/>
      <c r="B16" s="2068"/>
      <c r="C16" s="2072" t="s">
        <v>1456</v>
      </c>
      <c r="D16" s="2074"/>
      <c r="E16" s="2073"/>
      <c r="F16" s="1067"/>
      <c r="G16" s="1068" t="s">
        <v>613</v>
      </c>
      <c r="H16" s="1069">
        <v>40.9</v>
      </c>
      <c r="I16" s="1070" t="s">
        <v>614</v>
      </c>
      <c r="J16" s="1071">
        <f t="shared" si="0"/>
        <v>0</v>
      </c>
      <c r="K16" s="2085"/>
      <c r="L16" s="1069">
        <f t="shared" si="2"/>
        <v>1.05522</v>
      </c>
      <c r="M16" s="1072">
        <f t="shared" si="3"/>
        <v>0</v>
      </c>
      <c r="N16" s="1073">
        <v>3.1193</v>
      </c>
      <c r="O16" s="1074">
        <f t="shared" si="1"/>
        <v>0</v>
      </c>
    </row>
    <row r="17" spans="1:15" ht="30" customHeight="1">
      <c r="A17" s="1030"/>
      <c r="B17" s="2068"/>
      <c r="C17" s="2088" t="s">
        <v>1457</v>
      </c>
      <c r="D17" s="2091" t="s">
        <v>1458</v>
      </c>
      <c r="E17" s="2092"/>
      <c r="F17" s="1067"/>
      <c r="G17" s="1068" t="s">
        <v>613</v>
      </c>
      <c r="H17" s="1069">
        <v>50.8</v>
      </c>
      <c r="I17" s="1070" t="s">
        <v>614</v>
      </c>
      <c r="J17" s="1071">
        <f t="shared" si="0"/>
        <v>0</v>
      </c>
      <c r="K17" s="2085"/>
      <c r="L17" s="1069">
        <f t="shared" si="2"/>
        <v>1.31064</v>
      </c>
      <c r="M17" s="1072">
        <f t="shared" si="3"/>
        <v>0</v>
      </c>
      <c r="N17" s="1073">
        <v>2.9988999999999999</v>
      </c>
      <c r="O17" s="1074">
        <f t="shared" si="1"/>
        <v>0</v>
      </c>
    </row>
    <row r="18" spans="1:15" ht="30" customHeight="1">
      <c r="A18" s="1030"/>
      <c r="B18" s="2068"/>
      <c r="C18" s="2089"/>
      <c r="D18" s="2091" t="s">
        <v>1459</v>
      </c>
      <c r="E18" s="2092"/>
      <c r="F18" s="1067"/>
      <c r="G18" s="1068" t="s">
        <v>1460</v>
      </c>
      <c r="H18" s="1069">
        <v>0.10539999999999999</v>
      </c>
      <c r="I18" s="1070" t="s">
        <v>1461</v>
      </c>
      <c r="J18" s="1071">
        <f t="shared" si="0"/>
        <v>0</v>
      </c>
      <c r="K18" s="2085"/>
      <c r="L18" s="1075">
        <f t="shared" si="2"/>
        <v>2.7193199999999999E-3</v>
      </c>
      <c r="M18" s="1072">
        <f>F18*H18*K$9+ROUNDDOWN(0,1)</f>
        <v>0</v>
      </c>
      <c r="N18" s="1076">
        <v>6.2199999999999998E-3</v>
      </c>
      <c r="O18" s="1074">
        <f t="shared" si="1"/>
        <v>0</v>
      </c>
    </row>
    <row r="19" spans="1:15" ht="29.25" hidden="1" customHeight="1">
      <c r="A19" s="1030"/>
      <c r="B19" s="2068"/>
      <c r="C19" s="2090"/>
      <c r="D19" s="2072" t="s">
        <v>1462</v>
      </c>
      <c r="E19" s="2073"/>
      <c r="F19" s="1067"/>
      <c r="G19" s="1068" t="s">
        <v>1463</v>
      </c>
      <c r="H19" s="1069">
        <v>44.9</v>
      </c>
      <c r="I19" s="1070" t="s">
        <v>1464</v>
      </c>
      <c r="J19" s="1071">
        <f t="shared" si="0"/>
        <v>0</v>
      </c>
      <c r="K19" s="2085"/>
      <c r="L19" s="1069">
        <f t="shared" si="2"/>
        <v>1.15842</v>
      </c>
      <c r="M19" s="1072">
        <f t="shared" si="3"/>
        <v>0</v>
      </c>
      <c r="N19" s="1073">
        <v>2.3378000000000001</v>
      </c>
      <c r="O19" s="1074">
        <f t="shared" si="1"/>
        <v>0</v>
      </c>
    </row>
    <row r="20" spans="1:15" ht="29.25" hidden="1" customHeight="1">
      <c r="A20" s="1030"/>
      <c r="B20" s="2068"/>
      <c r="C20" s="2075" t="s">
        <v>1465</v>
      </c>
      <c r="D20" s="2076"/>
      <c r="E20" s="2077"/>
      <c r="F20" s="1067"/>
      <c r="G20" s="1068" t="s">
        <v>613</v>
      </c>
      <c r="H20" s="1069">
        <v>54.6</v>
      </c>
      <c r="I20" s="1070" t="s">
        <v>614</v>
      </c>
      <c r="J20" s="1071">
        <f t="shared" si="0"/>
        <v>0</v>
      </c>
      <c r="K20" s="2085"/>
      <c r="L20" s="1069">
        <f t="shared" si="2"/>
        <v>1.4086799999999999</v>
      </c>
      <c r="M20" s="1072">
        <f t="shared" si="3"/>
        <v>0</v>
      </c>
      <c r="N20" s="1073">
        <v>2.7027000000000001</v>
      </c>
      <c r="O20" s="1074">
        <f t="shared" si="1"/>
        <v>0</v>
      </c>
    </row>
    <row r="21" spans="1:15" ht="29.25" hidden="1" customHeight="1">
      <c r="A21" s="1030"/>
      <c r="B21" s="2068"/>
      <c r="C21" s="2081"/>
      <c r="D21" s="2082"/>
      <c r="E21" s="2083"/>
      <c r="F21" s="1067"/>
      <c r="G21" s="1068" t="s">
        <v>1463</v>
      </c>
      <c r="H21" s="1069">
        <v>43.5</v>
      </c>
      <c r="I21" s="1070" t="s">
        <v>1464</v>
      </c>
      <c r="J21" s="1071">
        <f t="shared" si="0"/>
        <v>0</v>
      </c>
      <c r="K21" s="2085"/>
      <c r="L21" s="1069">
        <f t="shared" si="2"/>
        <v>1.1223000000000001</v>
      </c>
      <c r="M21" s="1072">
        <f t="shared" si="3"/>
        <v>0</v>
      </c>
      <c r="N21" s="1073">
        <v>2.2170999999999998</v>
      </c>
      <c r="O21" s="1074">
        <f t="shared" si="1"/>
        <v>0</v>
      </c>
    </row>
    <row r="22" spans="1:15" ht="29.25" hidden="1" customHeight="1">
      <c r="A22" s="1030"/>
      <c r="B22" s="2068"/>
      <c r="C22" s="2093" t="s">
        <v>1466</v>
      </c>
      <c r="D22" s="2072" t="s">
        <v>1467</v>
      </c>
      <c r="E22" s="2073"/>
      <c r="F22" s="1067"/>
      <c r="G22" s="1068" t="s">
        <v>613</v>
      </c>
      <c r="H22" s="1069">
        <v>29</v>
      </c>
      <c r="I22" s="1070" t="s">
        <v>614</v>
      </c>
      <c r="J22" s="1071">
        <f t="shared" si="0"/>
        <v>0</v>
      </c>
      <c r="K22" s="2085"/>
      <c r="L22" s="1069">
        <f t="shared" si="2"/>
        <v>0.74819999999999998</v>
      </c>
      <c r="M22" s="1072">
        <f t="shared" si="3"/>
        <v>0</v>
      </c>
      <c r="N22" s="1073">
        <v>2.6052</v>
      </c>
      <c r="O22" s="1074">
        <f t="shared" si="1"/>
        <v>0</v>
      </c>
    </row>
    <row r="23" spans="1:15" ht="29.25" hidden="1" customHeight="1">
      <c r="A23" s="1030"/>
      <c r="B23" s="2068"/>
      <c r="C23" s="2094"/>
      <c r="D23" s="2072" t="s">
        <v>1468</v>
      </c>
      <c r="E23" s="2073"/>
      <c r="F23" s="1067"/>
      <c r="G23" s="1068" t="s">
        <v>613</v>
      </c>
      <c r="H23" s="1069">
        <v>25.7</v>
      </c>
      <c r="I23" s="1070" t="s">
        <v>614</v>
      </c>
      <c r="J23" s="1071">
        <f t="shared" si="0"/>
        <v>0</v>
      </c>
      <c r="K23" s="2085"/>
      <c r="L23" s="1069">
        <f t="shared" si="2"/>
        <v>0.66305999999999998</v>
      </c>
      <c r="M23" s="1072">
        <f t="shared" si="3"/>
        <v>0</v>
      </c>
      <c r="N23" s="1073">
        <v>2.3275600000000001</v>
      </c>
      <c r="O23" s="1074">
        <f t="shared" si="1"/>
        <v>0</v>
      </c>
    </row>
    <row r="24" spans="1:15" ht="29.25" hidden="1" customHeight="1">
      <c r="A24" s="1030"/>
      <c r="B24" s="2068"/>
      <c r="C24" s="2095"/>
      <c r="D24" s="2072" t="s">
        <v>1469</v>
      </c>
      <c r="E24" s="2073"/>
      <c r="F24" s="1067"/>
      <c r="G24" s="1068" t="s">
        <v>613</v>
      </c>
      <c r="H24" s="1069">
        <v>26.9</v>
      </c>
      <c r="I24" s="1070" t="s">
        <v>614</v>
      </c>
      <c r="J24" s="1071">
        <f t="shared" si="0"/>
        <v>0</v>
      </c>
      <c r="K24" s="2085"/>
      <c r="L24" s="1069">
        <f t="shared" si="2"/>
        <v>0.69401999999999997</v>
      </c>
      <c r="M24" s="1072">
        <f t="shared" si="3"/>
        <v>0</v>
      </c>
      <c r="N24" s="1073">
        <v>2.5152000000000001</v>
      </c>
      <c r="O24" s="1074">
        <f t="shared" si="1"/>
        <v>0</v>
      </c>
    </row>
    <row r="25" spans="1:15" ht="29.25" hidden="1" customHeight="1">
      <c r="A25" s="1030"/>
      <c r="B25" s="2068"/>
      <c r="C25" s="2072" t="s">
        <v>1470</v>
      </c>
      <c r="D25" s="2074"/>
      <c r="E25" s="2073"/>
      <c r="F25" s="1067"/>
      <c r="G25" s="1077" t="s">
        <v>613</v>
      </c>
      <c r="H25" s="1069">
        <v>29.4</v>
      </c>
      <c r="I25" s="1070" t="s">
        <v>614</v>
      </c>
      <c r="J25" s="1071">
        <f t="shared" si="0"/>
        <v>0</v>
      </c>
      <c r="K25" s="2085"/>
      <c r="L25" s="1069">
        <f t="shared" si="2"/>
        <v>0.75851999999999997</v>
      </c>
      <c r="M25" s="1072">
        <f t="shared" si="3"/>
        <v>0</v>
      </c>
      <c r="N25" s="1073">
        <v>3.1692999999999998</v>
      </c>
      <c r="O25" s="1074">
        <f t="shared" si="1"/>
        <v>0</v>
      </c>
    </row>
    <row r="26" spans="1:15" ht="29.25" customHeight="1">
      <c r="A26" s="1030"/>
      <c r="B26" s="2068"/>
      <c r="C26" s="2075" t="s">
        <v>846</v>
      </c>
      <c r="D26" s="2076"/>
      <c r="E26" s="2077"/>
      <c r="F26" s="1067"/>
      <c r="G26" s="1077" t="s">
        <v>1471</v>
      </c>
      <c r="H26" s="1069">
        <v>43.5</v>
      </c>
      <c r="I26" s="1070" t="s">
        <v>1472</v>
      </c>
      <c r="J26" s="1071">
        <f t="shared" si="0"/>
        <v>0</v>
      </c>
      <c r="K26" s="2085"/>
      <c r="L26" s="1069">
        <f t="shared" si="2"/>
        <v>1.1223000000000001</v>
      </c>
      <c r="M26" s="1072">
        <f t="shared" si="3"/>
        <v>0</v>
      </c>
      <c r="N26" s="1073">
        <v>2.1692999999999998</v>
      </c>
      <c r="O26" s="1074">
        <f t="shared" si="1"/>
        <v>0</v>
      </c>
    </row>
    <row r="27" spans="1:15" ht="29.25" hidden="1" customHeight="1">
      <c r="A27" s="1030"/>
      <c r="B27" s="2068"/>
      <c r="C27" s="2078"/>
      <c r="D27" s="2079"/>
      <c r="E27" s="2080"/>
      <c r="F27" s="1058"/>
      <c r="G27" s="1078" t="s">
        <v>1473</v>
      </c>
      <c r="H27" s="1069">
        <v>41.68</v>
      </c>
      <c r="I27" s="1070" t="s">
        <v>1464</v>
      </c>
      <c r="J27" s="1071">
        <f t="shared" si="0"/>
        <v>0</v>
      </c>
      <c r="K27" s="2085"/>
      <c r="L27" s="1069">
        <f t="shared" si="2"/>
        <v>1.07534</v>
      </c>
      <c r="M27" s="1072">
        <f t="shared" si="3"/>
        <v>0</v>
      </c>
      <c r="N27" s="1073">
        <v>2.0785999999999998</v>
      </c>
      <c r="O27" s="1074">
        <f t="shared" si="1"/>
        <v>0</v>
      </c>
    </row>
    <row r="28" spans="1:15" ht="29.25" hidden="1" customHeight="1">
      <c r="A28" s="1030"/>
      <c r="B28" s="2068"/>
      <c r="C28" s="2078"/>
      <c r="D28" s="2079"/>
      <c r="E28" s="2080"/>
      <c r="F28" s="1058"/>
      <c r="G28" s="1078" t="s">
        <v>1473</v>
      </c>
      <c r="H28" s="1069">
        <v>44.5</v>
      </c>
      <c r="I28" s="1070" t="s">
        <v>1464</v>
      </c>
      <c r="J28" s="1071">
        <f>F28*H28</f>
        <v>0</v>
      </c>
      <c r="K28" s="2085"/>
      <c r="L28" s="1069">
        <f t="shared" si="2"/>
        <v>1.1480999999999999</v>
      </c>
      <c r="M28" s="1072">
        <f t="shared" si="3"/>
        <v>0</v>
      </c>
      <c r="N28" s="1073">
        <v>2.2193999999999998</v>
      </c>
      <c r="O28" s="1074">
        <f t="shared" si="1"/>
        <v>0</v>
      </c>
    </row>
    <row r="29" spans="1:15" ht="29.25" hidden="1" customHeight="1">
      <c r="A29" s="1030"/>
      <c r="B29" s="2068"/>
      <c r="C29" s="2081"/>
      <c r="D29" s="2082"/>
      <c r="E29" s="2083"/>
      <c r="F29" s="1058"/>
      <c r="G29" s="1078" t="s">
        <v>1473</v>
      </c>
      <c r="H29" s="1069">
        <v>40.46</v>
      </c>
      <c r="I29" s="1070" t="s">
        <v>1464</v>
      </c>
      <c r="J29" s="1071">
        <f>F29*H29</f>
        <v>0</v>
      </c>
      <c r="K29" s="2085"/>
      <c r="L29" s="1069">
        <f t="shared" si="2"/>
        <v>1.04386</v>
      </c>
      <c r="M29" s="1072">
        <f t="shared" si="3"/>
        <v>0</v>
      </c>
      <c r="N29" s="1073">
        <v>2.0179</v>
      </c>
      <c r="O29" s="1074">
        <f t="shared" si="1"/>
        <v>0</v>
      </c>
    </row>
    <row r="30" spans="1:15" ht="29.25" hidden="1" customHeight="1">
      <c r="A30" s="1030"/>
      <c r="B30" s="2068"/>
      <c r="C30" s="2072" t="s">
        <v>1474</v>
      </c>
      <c r="D30" s="2074"/>
      <c r="E30" s="2073"/>
      <c r="F30" s="1058"/>
      <c r="G30" s="1079" t="s">
        <v>609</v>
      </c>
      <c r="H30" s="1080">
        <v>1.02</v>
      </c>
      <c r="I30" s="1081" t="s">
        <v>1475</v>
      </c>
      <c r="J30" s="1071">
        <f>F30*H30</f>
        <v>0</v>
      </c>
      <c r="K30" s="2085"/>
      <c r="L30" s="1069">
        <f t="shared" si="2"/>
        <v>2.6315999999999999E-2</v>
      </c>
      <c r="M30" s="1072">
        <f t="shared" si="3"/>
        <v>0</v>
      </c>
      <c r="N30" s="1073"/>
      <c r="O30" s="1074"/>
    </row>
    <row r="31" spans="1:15" ht="29.25" customHeight="1" thickBot="1">
      <c r="A31" s="1030"/>
      <c r="B31" s="1082"/>
      <c r="C31" s="2053" t="s">
        <v>847</v>
      </c>
      <c r="D31" s="2054"/>
      <c r="E31" s="2055"/>
      <c r="F31" s="2056"/>
      <c r="G31" s="2057"/>
      <c r="H31" s="2026"/>
      <c r="I31" s="2027"/>
      <c r="J31" s="1083">
        <f>SUM(J9:J30)</f>
        <v>0</v>
      </c>
      <c r="K31" s="2085"/>
      <c r="L31" s="1084"/>
      <c r="M31" s="1085">
        <f>J31*K9</f>
        <v>0</v>
      </c>
      <c r="N31" s="1086"/>
      <c r="O31" s="1074">
        <f>SUM(O9:O30)</f>
        <v>0</v>
      </c>
    </row>
    <row r="32" spans="1:15" ht="29.25" hidden="1" customHeight="1" thickTop="1" thickBot="1">
      <c r="A32" s="1030"/>
      <c r="B32" s="2058" t="s">
        <v>1476</v>
      </c>
      <c r="C32" s="2059"/>
      <c r="D32" s="2059"/>
      <c r="E32" s="2060"/>
      <c r="F32" s="1087" t="s">
        <v>848</v>
      </c>
      <c r="G32" s="1088"/>
      <c r="H32" s="1089" t="s">
        <v>838</v>
      </c>
      <c r="I32" s="1090"/>
      <c r="J32" s="1091" t="s">
        <v>839</v>
      </c>
      <c r="K32" s="2085"/>
      <c r="L32" s="1092"/>
      <c r="M32" s="1093" t="s">
        <v>841</v>
      </c>
      <c r="N32" s="1094"/>
      <c r="O32" s="1095"/>
    </row>
    <row r="33" spans="1:15" ht="29.25" hidden="1" customHeight="1" thickTop="1">
      <c r="A33" s="1030"/>
      <c r="B33" s="2061"/>
      <c r="C33" s="2062"/>
      <c r="D33" s="2062"/>
      <c r="E33" s="2063"/>
      <c r="F33" s="1058"/>
      <c r="G33" s="1096" t="s">
        <v>849</v>
      </c>
      <c r="H33" s="1097">
        <v>9.9700000000000006</v>
      </c>
      <c r="I33" s="1098" t="s">
        <v>850</v>
      </c>
      <c r="J33" s="1099">
        <f>F33*H33</f>
        <v>0</v>
      </c>
      <c r="K33" s="2085"/>
      <c r="L33" s="1100" t="e">
        <f>ROUNDDOWN(H33*K$33,5-INT(LOG(ABS(H33*K$33))))</f>
        <v>#NUM!</v>
      </c>
      <c r="M33" s="1072">
        <f>F33*H33*K$33+ROUNDDOWN(0,1)</f>
        <v>0</v>
      </c>
      <c r="N33" s="1101">
        <v>0.38600000000000001</v>
      </c>
      <c r="O33" s="1102">
        <f>F33*N33</f>
        <v>0</v>
      </c>
    </row>
    <row r="34" spans="1:15" ht="29.25" hidden="1" customHeight="1" thickBot="1">
      <c r="A34" s="1030"/>
      <c r="B34" s="2061"/>
      <c r="C34" s="2062"/>
      <c r="D34" s="2062"/>
      <c r="E34" s="2063"/>
      <c r="F34" s="1103"/>
      <c r="G34" s="1078" t="s">
        <v>849</v>
      </c>
      <c r="H34" s="1097">
        <v>9.2799999999999994</v>
      </c>
      <c r="I34" s="1081" t="s">
        <v>850</v>
      </c>
      <c r="J34" s="1099">
        <f>F34*H34</f>
        <v>0</v>
      </c>
      <c r="K34" s="2085"/>
      <c r="L34" s="1104" t="e">
        <f>ROUNDDOWN(H34*K$33,5-INT(LOG(ABS(H34*K$33))))</f>
        <v>#NUM!</v>
      </c>
      <c r="M34" s="1105">
        <f>F34*H34*K$33</f>
        <v>0</v>
      </c>
      <c r="N34" s="1094">
        <v>0.38600000000000001</v>
      </c>
      <c r="O34" s="1095">
        <f>F34*N34</f>
        <v>0</v>
      </c>
    </row>
    <row r="35" spans="1:15" ht="29.25" customHeight="1" thickTop="1" thickBot="1">
      <c r="A35" s="1030"/>
      <c r="B35" s="2061"/>
      <c r="C35" s="2062"/>
      <c r="D35" s="2062"/>
      <c r="E35" s="2063"/>
      <c r="F35" s="1106"/>
      <c r="G35" s="1107" t="s">
        <v>849</v>
      </c>
      <c r="H35" s="1097">
        <v>9.76</v>
      </c>
      <c r="I35" s="1081" t="s">
        <v>850</v>
      </c>
      <c r="J35" s="1099">
        <f>F35*H35</f>
        <v>0</v>
      </c>
      <c r="K35" s="2086"/>
      <c r="L35" s="1108">
        <f>ROUNDDOWN(H35*K$9,5-INT(LOG(ABS(H35*K$9))))</f>
        <v>0.25180799999999998</v>
      </c>
      <c r="M35" s="1109">
        <f>F35*H35*K$9</f>
        <v>0</v>
      </c>
      <c r="N35" s="1110">
        <v>0.495</v>
      </c>
      <c r="O35" s="1111">
        <f>F35*N35</f>
        <v>0</v>
      </c>
    </row>
    <row r="36" spans="1:15" ht="29.25" hidden="1" customHeight="1" thickTop="1" thickBot="1">
      <c r="A36" s="1030"/>
      <c r="B36" s="2064"/>
      <c r="C36" s="2065"/>
      <c r="D36" s="2065"/>
      <c r="E36" s="2066"/>
      <c r="F36" s="2056"/>
      <c r="G36" s="2057"/>
      <c r="H36" s="2026"/>
      <c r="I36" s="2027"/>
      <c r="J36" s="1083">
        <f>SUM(J33:J35)</f>
        <v>0</v>
      </c>
      <c r="K36" s="1112"/>
      <c r="L36" s="1113"/>
      <c r="M36" s="1085">
        <f>J36*K33</f>
        <v>0</v>
      </c>
      <c r="N36" s="1114"/>
      <c r="O36" s="1115">
        <f>SUM(O33:O35)</f>
        <v>0</v>
      </c>
    </row>
    <row r="37" spans="1:15" ht="29.25" customHeight="1" thickTop="1" thickBot="1">
      <c r="A37" s="1030"/>
      <c r="B37" s="2028" t="s">
        <v>578</v>
      </c>
      <c r="C37" s="2029"/>
      <c r="D37" s="2029"/>
      <c r="E37" s="2030"/>
      <c r="F37" s="2031"/>
      <c r="G37" s="2032"/>
      <c r="H37" s="2033"/>
      <c r="I37" s="2034"/>
      <c r="J37" s="1116">
        <f>J31+J36</f>
        <v>0</v>
      </c>
      <c r="K37" s="1117"/>
      <c r="L37" s="1118"/>
      <c r="M37" s="1119">
        <f>+M31+M35</f>
        <v>0</v>
      </c>
      <c r="N37" s="1120"/>
      <c r="O37" s="1121">
        <f>O31+O36</f>
        <v>0</v>
      </c>
    </row>
    <row r="38" spans="1:15" ht="8.25" customHeight="1">
      <c r="A38" s="1030"/>
      <c r="B38" s="1122"/>
      <c r="C38" s="1122"/>
      <c r="D38" s="1122"/>
      <c r="E38" s="1122"/>
      <c r="F38" s="1123"/>
      <c r="G38" s="1124"/>
      <c r="H38" s="1125"/>
      <c r="I38" s="1125"/>
      <c r="J38" s="1126"/>
      <c r="K38" s="1124"/>
      <c r="L38" s="1124"/>
      <c r="M38" s="1127"/>
      <c r="N38" s="1128"/>
      <c r="O38" s="1129"/>
    </row>
    <row r="39" spans="1:15" ht="18" customHeight="1">
      <c r="A39" s="1030"/>
      <c r="B39" s="1130"/>
      <c r="C39" s="1130"/>
      <c r="D39" s="1130"/>
      <c r="E39" s="1130"/>
      <c r="F39" s="1131"/>
      <c r="G39" s="1132"/>
      <c r="H39" s="1133"/>
      <c r="I39" s="1133"/>
      <c r="J39" s="1134"/>
      <c r="K39" s="1132"/>
      <c r="L39" s="1132"/>
      <c r="M39" s="1135"/>
      <c r="N39" s="1136"/>
      <c r="O39" s="1137"/>
    </row>
    <row r="40" spans="1:15" ht="18" customHeight="1">
      <c r="A40" s="1030"/>
      <c r="B40" s="1130"/>
      <c r="C40" s="1130"/>
      <c r="D40" s="1130"/>
      <c r="E40" s="1130"/>
      <c r="F40" s="1131"/>
      <c r="G40" s="1132"/>
      <c r="H40" s="1133"/>
      <c r="I40" s="1133"/>
      <c r="J40" s="1134"/>
      <c r="K40" s="1132"/>
      <c r="L40" s="1132"/>
      <c r="M40" s="1135"/>
      <c r="N40" s="1136"/>
      <c r="O40" s="1137"/>
    </row>
    <row r="41" spans="1:15" ht="18" customHeight="1">
      <c r="A41" s="1030"/>
      <c r="B41" s="1130"/>
      <c r="C41" s="1130"/>
      <c r="D41" s="1130"/>
      <c r="E41" s="1130"/>
      <c r="F41" s="1131"/>
      <c r="G41" s="1132"/>
      <c r="H41" s="1133"/>
      <c r="I41" s="1133"/>
      <c r="J41" s="1134"/>
      <c r="K41" s="1132"/>
      <c r="L41" s="1132"/>
      <c r="M41" s="1135"/>
      <c r="N41" s="1136"/>
      <c r="O41" s="1137"/>
    </row>
    <row r="42" spans="1:15" ht="18" customHeight="1">
      <c r="A42" s="1030"/>
      <c r="B42" s="1130"/>
      <c r="C42" s="1130"/>
      <c r="D42" s="1130"/>
      <c r="E42" s="1130"/>
      <c r="F42" s="1131"/>
      <c r="G42" s="1132"/>
      <c r="H42" s="1133"/>
      <c r="I42" s="1133"/>
      <c r="J42" s="1134"/>
      <c r="K42" s="1132"/>
      <c r="L42" s="1132"/>
      <c r="M42" s="1135"/>
      <c r="N42" s="1136"/>
      <c r="O42" s="1137"/>
    </row>
    <row r="43" spans="1:15" ht="18" customHeight="1">
      <c r="A43" s="1030"/>
      <c r="B43" s="1130"/>
      <c r="C43" s="1130"/>
      <c r="D43" s="1130"/>
      <c r="E43" s="1130"/>
      <c r="F43" s="1131"/>
      <c r="G43" s="1132"/>
      <c r="H43" s="1133"/>
      <c r="I43" s="1133"/>
      <c r="J43" s="1134"/>
      <c r="K43" s="1132"/>
      <c r="L43" s="1132"/>
      <c r="M43" s="1135"/>
      <c r="N43" s="1136"/>
      <c r="O43" s="1137"/>
    </row>
    <row r="44" spans="1:15" ht="18" customHeight="1">
      <c r="A44" s="1030"/>
      <c r="B44" s="1130"/>
      <c r="C44" s="1130"/>
      <c r="D44" s="1130"/>
      <c r="E44" s="1130"/>
      <c r="F44" s="1131"/>
      <c r="G44" s="1132"/>
      <c r="H44" s="1133"/>
      <c r="I44" s="1133"/>
      <c r="J44" s="1134"/>
      <c r="K44" s="1132"/>
      <c r="L44" s="1132"/>
      <c r="M44" s="1135"/>
      <c r="N44" s="1136"/>
      <c r="O44" s="1137"/>
    </row>
    <row r="45" spans="1:15" ht="18" customHeight="1">
      <c r="A45" s="1030"/>
      <c r="B45" s="1130"/>
      <c r="C45" s="1130"/>
      <c r="D45" s="1130"/>
      <c r="E45" s="1130"/>
      <c r="F45" s="1131"/>
      <c r="G45" s="1132"/>
      <c r="H45" s="1133"/>
      <c r="I45" s="1133"/>
      <c r="J45" s="1134"/>
      <c r="K45" s="1132"/>
      <c r="L45" s="1132"/>
      <c r="M45" s="1135"/>
      <c r="N45" s="1136"/>
      <c r="O45" s="1137"/>
    </row>
    <row r="46" spans="1:15" ht="16.5" customHeight="1">
      <c r="C46" s="1138" t="s">
        <v>1477</v>
      </c>
      <c r="D46" s="1139"/>
      <c r="E46" s="1139"/>
      <c r="F46" s="1139"/>
      <c r="G46" s="1139"/>
      <c r="H46" s="1139"/>
      <c r="I46" s="1139"/>
      <c r="J46" s="1139"/>
      <c r="K46" s="1139"/>
      <c r="L46" s="1139"/>
      <c r="M46" s="1139"/>
      <c r="N46" s="1139"/>
      <c r="O46" s="1139"/>
    </row>
    <row r="47" spans="1:15" ht="16.5" customHeight="1">
      <c r="C47" s="1140" t="s">
        <v>1478</v>
      </c>
      <c r="D47" s="1139"/>
      <c r="E47" s="1139"/>
      <c r="F47" s="1139"/>
      <c r="G47" s="1139"/>
      <c r="H47" s="1139"/>
      <c r="I47" s="1139"/>
      <c r="J47" s="1139"/>
      <c r="K47" s="1139"/>
      <c r="L47" s="1139"/>
      <c r="M47" s="1139"/>
      <c r="N47" s="1139"/>
      <c r="O47" s="1139"/>
    </row>
    <row r="48" spans="1:15" ht="16.5" customHeight="1">
      <c r="C48" s="1141" t="s">
        <v>1479</v>
      </c>
      <c r="D48" s="1139"/>
      <c r="E48" s="1139"/>
      <c r="F48" s="1139"/>
      <c r="G48" s="1139"/>
      <c r="H48" s="1139"/>
      <c r="I48" s="1139"/>
      <c r="J48" s="1139"/>
      <c r="K48" s="1139"/>
      <c r="L48" s="1139"/>
      <c r="M48" s="1139"/>
      <c r="N48" s="1139"/>
      <c r="O48" s="1139"/>
    </row>
    <row r="49" spans="2:32" ht="16.5" customHeight="1">
      <c r="C49" s="1142"/>
      <c r="D49" s="1139"/>
      <c r="E49" s="1139"/>
      <c r="F49" s="1139"/>
      <c r="G49" s="1139"/>
      <c r="H49" s="1139"/>
      <c r="I49" s="1139"/>
      <c r="J49" s="1139"/>
      <c r="K49" s="1139"/>
      <c r="L49" s="1139"/>
      <c r="M49" s="1139"/>
      <c r="N49" s="1139"/>
      <c r="O49" s="1139"/>
    </row>
    <row r="50" spans="2:32" ht="16.5" customHeight="1">
      <c r="C50" s="1142"/>
      <c r="D50" s="1139"/>
      <c r="E50" s="1139"/>
      <c r="F50" s="1139"/>
      <c r="G50" s="1139"/>
      <c r="H50" s="1139"/>
      <c r="I50" s="1139"/>
      <c r="J50" s="1139"/>
      <c r="K50" s="1139"/>
      <c r="L50" s="1139"/>
      <c r="M50" s="1139"/>
      <c r="N50" s="1139"/>
      <c r="O50" s="1139"/>
    </row>
    <row r="51" spans="2:32" ht="19.5" hidden="1" customHeight="1">
      <c r="B51" s="1143" t="s">
        <v>1480</v>
      </c>
      <c r="C51" s="1144"/>
      <c r="D51" s="1144"/>
      <c r="E51" s="1144"/>
      <c r="F51" s="1144"/>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row>
    <row r="52" spans="2:32" ht="9" hidden="1" customHeight="1">
      <c r="B52" s="1145"/>
      <c r="C52" s="1144"/>
      <c r="D52" s="1144"/>
      <c r="E52" s="1144"/>
      <c r="F52" s="1144"/>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row>
    <row r="53" spans="2:32" ht="16.5" hidden="1" customHeight="1">
      <c r="B53" s="1029" t="s">
        <v>1481</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4"/>
    </row>
    <row r="54" spans="2:32" ht="16.5" hidden="1" customHeight="1">
      <c r="B54" s="2036" t="s">
        <v>1482</v>
      </c>
      <c r="C54" s="2037"/>
      <c r="D54" s="2038"/>
      <c r="E54" s="2042" t="s">
        <v>1483</v>
      </c>
      <c r="F54" s="2043"/>
      <c r="G54" s="2044"/>
      <c r="H54" s="2042" t="s">
        <v>1484</v>
      </c>
      <c r="I54" s="2043"/>
      <c r="J54" s="2044"/>
      <c r="K54" s="2042" t="s">
        <v>1485</v>
      </c>
      <c r="L54" s="2043"/>
      <c r="M54" s="2044"/>
    </row>
    <row r="55" spans="2:32" ht="16.5" hidden="1" customHeight="1">
      <c r="B55" s="2039"/>
      <c r="C55" s="2040"/>
      <c r="D55" s="2041"/>
      <c r="E55" s="1146" t="s">
        <v>1486</v>
      </c>
      <c r="F55" s="1147" t="s">
        <v>1487</v>
      </c>
      <c r="G55" s="1147" t="s">
        <v>1488</v>
      </c>
      <c r="H55" s="1146" t="s">
        <v>1486</v>
      </c>
      <c r="I55" s="1147" t="s">
        <v>1487</v>
      </c>
      <c r="J55" s="1147" t="s">
        <v>1488</v>
      </c>
      <c r="K55" s="1146" t="s">
        <v>1486</v>
      </c>
      <c r="L55" s="1147" t="s">
        <v>1487</v>
      </c>
      <c r="M55" s="1148" t="s">
        <v>1488</v>
      </c>
    </row>
    <row r="56" spans="2:32" ht="14.25" hidden="1" customHeight="1">
      <c r="B56" s="1149" t="s">
        <v>1489</v>
      </c>
      <c r="C56" s="1150"/>
      <c r="D56" s="1150"/>
      <c r="E56" s="1151" t="s">
        <v>1490</v>
      </c>
      <c r="F56" s="1152"/>
      <c r="G56" s="1153" t="s">
        <v>1491</v>
      </c>
      <c r="H56" s="1151" t="s">
        <v>1492</v>
      </c>
      <c r="I56" s="1154">
        <v>0.25180999999999998</v>
      </c>
      <c r="J56" s="1153" t="s">
        <v>1493</v>
      </c>
      <c r="K56" s="1151" t="s">
        <v>1494</v>
      </c>
      <c r="L56" s="1154">
        <v>0.495</v>
      </c>
      <c r="M56" s="1155" t="s">
        <v>1495</v>
      </c>
    </row>
    <row r="57" spans="2:32" ht="14.25" hidden="1" customHeight="1">
      <c r="B57" s="2045" t="s">
        <v>1496</v>
      </c>
      <c r="C57" s="2046"/>
      <c r="D57" s="2046"/>
      <c r="E57" s="1156" t="s">
        <v>1497</v>
      </c>
      <c r="F57" s="1157"/>
      <c r="G57" s="1158" t="s">
        <v>1498</v>
      </c>
      <c r="H57" s="1156" t="s">
        <v>1499</v>
      </c>
      <c r="I57" s="1159">
        <v>0.94686000000000003</v>
      </c>
      <c r="J57" s="1158" t="s">
        <v>1500</v>
      </c>
      <c r="K57" s="1156" t="s">
        <v>1501</v>
      </c>
      <c r="L57" s="1159">
        <v>2.4895</v>
      </c>
      <c r="M57" s="1160" t="s">
        <v>1502</v>
      </c>
    </row>
    <row r="58" spans="2:32" ht="14.25" hidden="1" customHeight="1">
      <c r="B58" s="1161" t="s">
        <v>1503</v>
      </c>
      <c r="C58" s="1162"/>
      <c r="D58" s="1162"/>
      <c r="E58" s="1163" t="s">
        <v>1504</v>
      </c>
      <c r="F58" s="1164"/>
      <c r="G58" s="1165" t="s">
        <v>1498</v>
      </c>
      <c r="H58" s="1163" t="s">
        <v>1505</v>
      </c>
      <c r="I58" s="1166">
        <v>1.0087999999999999</v>
      </c>
      <c r="J58" s="1165" t="s">
        <v>1500</v>
      </c>
      <c r="K58" s="1163" t="s">
        <v>1506</v>
      </c>
      <c r="L58" s="1166">
        <v>2.7096</v>
      </c>
      <c r="M58" s="1167" t="s">
        <v>1502</v>
      </c>
    </row>
    <row r="59" spans="2:32" ht="14.25" hidden="1" customHeight="1">
      <c r="B59" s="1161" t="s">
        <v>1507</v>
      </c>
      <c r="C59" s="1162"/>
      <c r="D59" s="1162"/>
      <c r="E59" s="1163" t="s">
        <v>1508</v>
      </c>
      <c r="F59" s="1164"/>
      <c r="G59" s="1165" t="s">
        <v>1509</v>
      </c>
      <c r="H59" s="1163" t="s">
        <v>1510</v>
      </c>
      <c r="I59" s="1166">
        <v>1.3106</v>
      </c>
      <c r="J59" s="1168" t="s">
        <v>1511</v>
      </c>
      <c r="K59" s="1163" t="s">
        <v>1512</v>
      </c>
      <c r="L59" s="1166">
        <v>2.9988999999999999</v>
      </c>
      <c r="M59" s="1167" t="s">
        <v>1513</v>
      </c>
      <c r="X59" s="1029" t="s">
        <v>1514</v>
      </c>
      <c r="Y59" s="1029" t="s">
        <v>1498</v>
      </c>
      <c r="Z59" s="1029" t="s">
        <v>1515</v>
      </c>
      <c r="AA59" s="1029" t="s">
        <v>1516</v>
      </c>
      <c r="AB59" s="1029">
        <v>0.89268000000000003</v>
      </c>
      <c r="AC59" s="1029">
        <v>2.3216999999999999</v>
      </c>
    </row>
    <row r="60" spans="2:32" ht="14.25" hidden="1" customHeight="1">
      <c r="B60" s="1161" t="s">
        <v>1517</v>
      </c>
      <c r="C60" s="1162"/>
      <c r="D60" s="1162"/>
      <c r="E60" s="1163" t="s">
        <v>1518</v>
      </c>
      <c r="F60" s="1164"/>
      <c r="G60" s="1165" t="s">
        <v>1519</v>
      </c>
      <c r="H60" s="1163" t="s">
        <v>1520</v>
      </c>
      <c r="I60" s="1169">
        <v>2.7200000000000002E-3</v>
      </c>
      <c r="J60" s="1170" t="s">
        <v>1521</v>
      </c>
      <c r="K60" s="1163" t="s">
        <v>1522</v>
      </c>
      <c r="L60" s="1169">
        <v>6.2199999999999998E-3</v>
      </c>
      <c r="M60" s="1171" t="s">
        <v>1523</v>
      </c>
      <c r="X60" s="1029" t="s">
        <v>1524</v>
      </c>
      <c r="Y60" s="1029" t="s">
        <v>1525</v>
      </c>
      <c r="Z60" s="1029" t="s">
        <v>1526</v>
      </c>
      <c r="AA60" s="1029" t="s">
        <v>1527</v>
      </c>
      <c r="AB60" s="1029">
        <v>0.97265999999999997</v>
      </c>
      <c r="AC60" s="1029">
        <v>2.585</v>
      </c>
    </row>
    <row r="61" spans="2:32" ht="14.25" hidden="1" customHeight="1">
      <c r="B61" s="1172" t="s">
        <v>1528</v>
      </c>
      <c r="C61" s="1173"/>
      <c r="D61" s="1173"/>
      <c r="E61" s="1156" t="s">
        <v>1529</v>
      </c>
      <c r="F61" s="1157"/>
      <c r="G61" s="1158" t="s">
        <v>1530</v>
      </c>
      <c r="H61" s="1156" t="s">
        <v>1531</v>
      </c>
      <c r="I61" s="1159">
        <v>1.1223000000000001</v>
      </c>
      <c r="J61" s="1158" t="s">
        <v>1532</v>
      </c>
      <c r="K61" s="1156" t="s">
        <v>1533</v>
      </c>
      <c r="L61" s="1159">
        <v>2.1692999999999998</v>
      </c>
      <c r="M61" s="1160" t="s">
        <v>1534</v>
      </c>
      <c r="Y61" s="1029" t="s">
        <v>1535</v>
      </c>
      <c r="Z61" s="1029" t="s">
        <v>1532</v>
      </c>
      <c r="AA61" s="1029" t="s">
        <v>1534</v>
      </c>
    </row>
    <row r="62" spans="2:32" ht="14.25" hidden="1" customHeight="1">
      <c r="B62" s="2047" t="s">
        <v>1524</v>
      </c>
      <c r="C62" s="2048"/>
      <c r="D62" s="2049"/>
      <c r="E62" s="1146" t="s">
        <v>1536</v>
      </c>
      <c r="F62" s="1174"/>
      <c r="G62" s="1175" t="s">
        <v>1498</v>
      </c>
      <c r="H62" s="1146" t="s">
        <v>1537</v>
      </c>
      <c r="I62" s="1176">
        <f>IF(B62="","",VLOOKUP($B62,$X$59:$AC$62,5,FALSE))</f>
        <v>0.97265999999999997</v>
      </c>
      <c r="J62" s="1175" t="s">
        <v>1500</v>
      </c>
      <c r="K62" s="1146" t="s">
        <v>1538</v>
      </c>
      <c r="L62" s="1176">
        <f>IF($B62="","",VLOOKUP($B62,$X$59:$AC$62,6,FALSE))</f>
        <v>2.585</v>
      </c>
      <c r="M62" s="1177" t="s">
        <v>1502</v>
      </c>
      <c r="Y62" s="1029" t="s">
        <v>1491</v>
      </c>
      <c r="Z62" s="1029" t="s">
        <v>1539</v>
      </c>
      <c r="AA62" s="1029" t="s">
        <v>1540</v>
      </c>
    </row>
    <row r="63" spans="2:32" ht="16.5" hidden="1" customHeight="1">
      <c r="B63" s="1029" t="s">
        <v>1541</v>
      </c>
      <c r="Z63" s="1029" t="s">
        <v>1493</v>
      </c>
      <c r="AA63" s="1029" t="s">
        <v>1495</v>
      </c>
    </row>
    <row r="64" spans="2:32" ht="17.25" hidden="1" customHeight="1">
      <c r="I64" s="1178"/>
    </row>
    <row r="65" spans="3:15" hidden="1"/>
    <row r="66" spans="3:15" hidden="1"/>
    <row r="67" spans="3:15" ht="16.5" hidden="1" customHeight="1">
      <c r="C67" s="1179"/>
      <c r="D67" s="1179"/>
      <c r="E67" s="1179"/>
      <c r="F67" s="1179"/>
      <c r="G67" s="1179"/>
      <c r="H67" s="1179"/>
      <c r="I67" s="1179"/>
      <c r="J67" s="1179"/>
    </row>
    <row r="68" spans="3:15" ht="26.5" hidden="1" customHeight="1">
      <c r="C68" s="2050" t="s">
        <v>1542</v>
      </c>
      <c r="D68" s="2050"/>
      <c r="E68" s="2050"/>
      <c r="F68" s="2050"/>
      <c r="G68" s="2050"/>
      <c r="H68" s="2050"/>
      <c r="I68" s="2050"/>
      <c r="J68" s="2050"/>
      <c r="K68" s="2050"/>
      <c r="L68" s="2050"/>
      <c r="M68" s="2050"/>
      <c r="N68" s="2050"/>
      <c r="O68" s="2050"/>
    </row>
    <row r="69" spans="3:15" ht="3.75" hidden="1" customHeight="1">
      <c r="C69" s="1180"/>
      <c r="D69" s="1180"/>
      <c r="E69" s="1180"/>
      <c r="F69" s="1180"/>
      <c r="G69" s="1180"/>
      <c r="H69" s="1180"/>
      <c r="I69" s="1180"/>
      <c r="J69" s="1180"/>
      <c r="K69" s="1180"/>
      <c r="L69" s="1180"/>
      <c r="M69" s="1180"/>
      <c r="N69" s="1180"/>
      <c r="O69" s="1180"/>
    </row>
    <row r="70" spans="3:15" ht="27" hidden="1" customHeight="1">
      <c r="C70" s="2051" t="s">
        <v>1543</v>
      </c>
      <c r="D70" s="2051"/>
      <c r="E70" s="2051"/>
      <c r="F70" s="2051"/>
      <c r="G70" s="2051"/>
      <c r="H70" s="2051"/>
      <c r="I70" s="2051"/>
      <c r="J70" s="2051"/>
      <c r="K70" s="2051"/>
      <c r="L70" s="2051"/>
      <c r="M70" s="2051"/>
      <c r="N70" s="2051"/>
      <c r="O70" s="2051"/>
    </row>
    <row r="71" spans="3:15" ht="25.5" hidden="1" customHeight="1">
      <c r="C71" s="2052" t="s">
        <v>1544</v>
      </c>
      <c r="D71" s="2052"/>
      <c r="E71" s="2052"/>
      <c r="F71" s="2052"/>
      <c r="G71" s="2052"/>
      <c r="H71" s="2052"/>
      <c r="I71" s="2052"/>
      <c r="J71" s="2052"/>
      <c r="K71" s="2052"/>
      <c r="L71" s="2052"/>
      <c r="M71" s="2052"/>
      <c r="N71" s="2052"/>
      <c r="O71" s="2052"/>
    </row>
    <row r="72" spans="3:15" ht="13.5" hidden="1" customHeight="1">
      <c r="C72" s="2052" t="s">
        <v>1545</v>
      </c>
      <c r="D72" s="2052"/>
      <c r="E72" s="2052"/>
      <c r="F72" s="2052"/>
      <c r="G72" s="2052"/>
      <c r="H72" s="2052"/>
      <c r="I72" s="2052"/>
      <c r="J72" s="2052"/>
      <c r="K72" s="2052"/>
      <c r="L72" s="2052"/>
      <c r="M72" s="2052"/>
      <c r="N72" s="2052"/>
      <c r="O72" s="2052"/>
    </row>
    <row r="73" spans="3:15" ht="13.5" hidden="1" customHeight="1">
      <c r="C73" s="2052" t="s">
        <v>1546</v>
      </c>
      <c r="D73" s="2052"/>
      <c r="E73" s="2052"/>
      <c r="F73" s="2052"/>
      <c r="G73" s="2052"/>
      <c r="H73" s="2052"/>
      <c r="I73" s="2052"/>
      <c r="J73" s="2052"/>
      <c r="K73" s="2052"/>
      <c r="L73" s="2052"/>
      <c r="M73" s="2052"/>
      <c r="N73" s="2052"/>
      <c r="O73" s="2052"/>
    </row>
    <row r="74" spans="3:15" ht="13.5" hidden="1" customHeight="1">
      <c r="C74" s="2035" t="s">
        <v>1547</v>
      </c>
      <c r="D74" s="2035"/>
      <c r="E74" s="2035"/>
      <c r="F74" s="2035"/>
      <c r="G74" s="2035"/>
      <c r="H74" s="2035"/>
      <c r="I74" s="2035"/>
      <c r="J74" s="2035"/>
      <c r="K74" s="2035"/>
      <c r="L74" s="2035"/>
      <c r="M74" s="2035"/>
      <c r="N74" s="2035"/>
      <c r="O74" s="2035"/>
    </row>
    <row r="75" spans="3:15" ht="13.5" hidden="1" customHeight="1">
      <c r="C75" s="1181" t="s">
        <v>1548</v>
      </c>
      <c r="D75" s="1179"/>
      <c r="E75" s="1179"/>
      <c r="F75" s="1179"/>
      <c r="G75" s="1179"/>
      <c r="H75" s="1179"/>
      <c r="I75" s="1179"/>
      <c r="J75" s="1179"/>
    </row>
    <row r="76" spans="3:15" ht="13.5" hidden="1" customHeight="1">
      <c r="C76" s="1181" t="s">
        <v>1549</v>
      </c>
      <c r="D76" s="1179"/>
      <c r="E76" s="1179"/>
      <c r="F76" s="1179"/>
      <c r="G76" s="1179"/>
      <c r="H76" s="1179"/>
      <c r="I76" s="1179"/>
      <c r="J76" s="1179"/>
    </row>
    <row r="77" spans="3:15" ht="13.5" customHeight="1">
      <c r="C77" s="1179"/>
      <c r="D77" s="1179"/>
      <c r="E77" s="1179"/>
      <c r="F77" s="1179"/>
      <c r="G77" s="1179"/>
      <c r="H77" s="1179"/>
      <c r="I77" s="1179"/>
      <c r="J77" s="1179"/>
    </row>
    <row r="78" spans="3:15" ht="13.5" customHeight="1">
      <c r="C78" s="1179"/>
      <c r="D78" s="1179"/>
      <c r="E78" s="1179"/>
      <c r="F78" s="1179"/>
      <c r="G78" s="1179"/>
      <c r="H78" s="1179"/>
      <c r="I78" s="1179"/>
      <c r="J78" s="1179"/>
    </row>
    <row r="79" spans="3:15" ht="13.5" customHeight="1">
      <c r="C79" s="1179"/>
      <c r="D79" s="1179"/>
      <c r="E79" s="1179"/>
      <c r="F79" s="1179"/>
      <c r="G79" s="1179"/>
      <c r="H79" s="1179"/>
      <c r="I79" s="1179"/>
      <c r="J79" s="1179"/>
    </row>
  </sheetData>
  <sheetProtection password="D73A" sheet="1" objects="1" scenarios="1"/>
  <mergeCells count="53">
    <mergeCell ref="B6:E8"/>
    <mergeCell ref="F6:G6"/>
    <mergeCell ref="H6:I6"/>
    <mergeCell ref="F7:G7"/>
    <mergeCell ref="H7:I7"/>
    <mergeCell ref="A1:O1"/>
    <mergeCell ref="E3:K3"/>
    <mergeCell ref="M3:O3"/>
    <mergeCell ref="E4:I4"/>
    <mergeCell ref="B5:O5"/>
    <mergeCell ref="K9:K35"/>
    <mergeCell ref="C10:E10"/>
    <mergeCell ref="C11:E11"/>
    <mergeCell ref="C12:E12"/>
    <mergeCell ref="C13:E13"/>
    <mergeCell ref="C14:E14"/>
    <mergeCell ref="C15:E15"/>
    <mergeCell ref="C16:E16"/>
    <mergeCell ref="H31:I31"/>
    <mergeCell ref="C17:C19"/>
    <mergeCell ref="D17:E17"/>
    <mergeCell ref="D18:E18"/>
    <mergeCell ref="D19:E19"/>
    <mergeCell ref="C20:E21"/>
    <mergeCell ref="C22:C24"/>
    <mergeCell ref="D22:E22"/>
    <mergeCell ref="C31:E31"/>
    <mergeCell ref="F31:G31"/>
    <mergeCell ref="B32:E36"/>
    <mergeCell ref="F36:G36"/>
    <mergeCell ref="B9:B30"/>
    <mergeCell ref="C9:E9"/>
    <mergeCell ref="D23:E23"/>
    <mergeCell ref="D24:E24"/>
    <mergeCell ref="C25:E25"/>
    <mergeCell ref="C26:E29"/>
    <mergeCell ref="C30:E30"/>
    <mergeCell ref="H36:I36"/>
    <mergeCell ref="B37:E37"/>
    <mergeCell ref="F37:G37"/>
    <mergeCell ref="H37:I37"/>
    <mergeCell ref="C74:O74"/>
    <mergeCell ref="B54:D55"/>
    <mergeCell ref="E54:G54"/>
    <mergeCell ref="H54:J54"/>
    <mergeCell ref="K54:M54"/>
    <mergeCell ref="B57:D57"/>
    <mergeCell ref="B62:D62"/>
    <mergeCell ref="C68:O68"/>
    <mergeCell ref="C70:O70"/>
    <mergeCell ref="C71:O71"/>
    <mergeCell ref="C72:O72"/>
    <mergeCell ref="C73:O73"/>
  </mergeCells>
  <phoneticPr fontId="2"/>
  <conditionalFormatting sqref="B62">
    <cfRule type="containsBlanks" dxfId="6" priority="6">
      <formula>LEN(TRIM(B62))=0</formula>
    </cfRule>
  </conditionalFormatting>
  <conditionalFormatting sqref="E3:K3">
    <cfRule type="containsBlanks" dxfId="5" priority="3">
      <formula>LEN(TRIM(E3))=0</formula>
    </cfRule>
  </conditionalFormatting>
  <conditionalFormatting sqref="M3:O3">
    <cfRule type="containsBlanks" dxfId="4" priority="4">
      <formula>LEN(TRIM(M3))=0</formula>
    </cfRule>
  </conditionalFormatting>
  <conditionalFormatting sqref="E4:I4">
    <cfRule type="containsBlanks" dxfId="3" priority="5">
      <formula>LEN(TRIM(E4))=0</formula>
    </cfRule>
  </conditionalFormatting>
  <conditionalFormatting sqref="F10:F26">
    <cfRule type="containsBlanks" dxfId="2" priority="1">
      <formula>LEN(TRIM(F10))=0</formula>
    </cfRule>
  </conditionalFormatting>
  <conditionalFormatting sqref="F35">
    <cfRule type="containsBlanks" dxfId="1" priority="2">
      <formula>LEN(TRIM(F35))=0</formula>
    </cfRule>
  </conditionalFormatting>
  <conditionalFormatting sqref="F56:F62">
    <cfRule type="containsBlanks" dxfId="0" priority="7">
      <formula>LEN(TRIM(F56))=0</formula>
    </cfRule>
  </conditionalFormatting>
  <dataValidations count="1">
    <dataValidation type="list" allowBlank="1" showInputMessage="1" showErrorMessage="1" sqref="B62:D62" xr:uid="{83573437-535E-4FC3-906C-A1A0DF9097C7}">
      <formula1>$X$59:$X$60</formula1>
    </dataValidation>
  </dataValidations>
  <pageMargins left="0.55118110236220474" right="0.11811023622047245" top="0.70866141732283472" bottom="0.35433070866141736" header="0.31496062992125984" footer="0.31496062992125984"/>
  <pageSetup paperSize="9" scale="91" firstPageNumber="25" orientation="portrait" r:id="rId1"/>
  <headerFooter>
    <oddHeader xml:space="preserve">&amp;R
</oddHeader>
    <oddFooter>&amp;C&amp;10&amp;P&amp;R&amp;10埼玉県温暖化対策課</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zoomScaleNormal="100" zoomScaleSheetLayoutView="100" workbookViewId="0">
      <selection activeCell="H28" sqref="H28:I28"/>
    </sheetView>
  </sheetViews>
  <sheetFormatPr defaultColWidth="9.90625" defaultRowHeight="14"/>
  <cols>
    <col min="1" max="1" width="0.90625" style="978" customWidth="1"/>
    <col min="2" max="2" width="3.453125" style="978" customWidth="1"/>
    <col min="3" max="3" width="9.90625" style="978"/>
    <col min="4" max="5" width="8.08984375" style="978" customWidth="1"/>
    <col min="6" max="6" width="8.36328125" style="978" customWidth="1"/>
    <col min="7" max="7" width="6.453125" style="978" bestFit="1" customWidth="1"/>
    <col min="8" max="8" width="13.08984375" style="978" customWidth="1"/>
    <col min="9" max="9" width="7.26953125" style="978" customWidth="1"/>
    <col min="10" max="10" width="8.26953125" style="978" bestFit="1" customWidth="1"/>
    <col min="11" max="11" width="4.7265625" style="978" bestFit="1" customWidth="1"/>
    <col min="12" max="12" width="0.7265625" style="978" customWidth="1"/>
    <col min="13" max="13" width="0.90625" style="978" customWidth="1"/>
    <col min="14" max="17" width="9.26953125" style="978" customWidth="1"/>
    <col min="18" max="24" width="9.90625" style="979"/>
    <col min="25" max="25" width="28.90625" style="979" bestFit="1" customWidth="1"/>
    <col min="26" max="16384" width="9.90625" style="979"/>
  </cols>
  <sheetData>
    <row r="1" spans="1:25" ht="24.65" customHeight="1">
      <c r="A1" s="2125" t="s">
        <v>1419</v>
      </c>
      <c r="B1" s="2125"/>
      <c r="C1" s="2125"/>
      <c r="D1" s="2125"/>
      <c r="E1" s="2125"/>
      <c r="F1" s="2125"/>
      <c r="G1" s="2125"/>
      <c r="H1" s="2125"/>
      <c r="I1" s="2125"/>
      <c r="J1" s="2125"/>
      <c r="K1" s="2125"/>
      <c r="L1" s="2125"/>
      <c r="M1" s="2125"/>
    </row>
    <row r="2" spans="1:25" ht="5.5" customHeight="1"/>
    <row r="3" spans="1:25" ht="15" customHeight="1">
      <c r="C3" s="2131" t="s">
        <v>1401</v>
      </c>
      <c r="D3" s="2132"/>
      <c r="E3" s="2132"/>
      <c r="F3" s="2132"/>
      <c r="G3" s="2132"/>
      <c r="H3" s="2132"/>
      <c r="I3" s="2132"/>
      <c r="J3" s="2132"/>
    </row>
    <row r="4" spans="1:25" ht="15" customHeight="1">
      <c r="C4" s="2132"/>
      <c r="D4" s="2132"/>
      <c r="E4" s="2132"/>
      <c r="F4" s="2132"/>
      <c r="G4" s="2132"/>
      <c r="H4" s="2132"/>
      <c r="I4" s="2132"/>
      <c r="J4" s="2132"/>
    </row>
    <row r="5" spans="1:25" ht="15" customHeight="1">
      <c r="C5" s="2132"/>
      <c r="D5" s="2132"/>
      <c r="E5" s="2132"/>
      <c r="F5" s="2132"/>
      <c r="G5" s="2132"/>
      <c r="H5" s="2132"/>
      <c r="I5" s="2132"/>
      <c r="J5" s="2132"/>
    </row>
    <row r="6" spans="1:25" ht="15" customHeight="1">
      <c r="C6" s="2126" t="s">
        <v>1402</v>
      </c>
      <c r="D6" s="2126"/>
      <c r="E6" s="2126"/>
      <c r="F6" s="2126"/>
      <c r="G6" s="2126"/>
      <c r="H6" s="2126"/>
      <c r="I6" s="2126"/>
      <c r="J6" s="2126"/>
      <c r="K6" s="2126"/>
    </row>
    <row r="7" spans="1:25" s="978" customFormat="1" ht="15" hidden="1" customHeight="1">
      <c r="R7" s="979"/>
      <c r="S7" s="979"/>
      <c r="T7" s="979"/>
      <c r="U7" s="979"/>
      <c r="V7" s="979"/>
      <c r="W7" s="979"/>
      <c r="X7" s="979"/>
      <c r="Y7" s="979"/>
    </row>
    <row r="8" spans="1:25" s="978" customFormat="1" ht="12" customHeight="1">
      <c r="R8" s="979"/>
      <c r="S8" s="979"/>
      <c r="T8" s="979"/>
      <c r="U8" s="979"/>
      <c r="V8" s="979"/>
      <c r="W8" s="979"/>
      <c r="X8" s="979"/>
      <c r="Y8" s="979"/>
    </row>
    <row r="9" spans="1:25" s="978" customFormat="1" ht="15" customHeight="1">
      <c r="A9" s="1007"/>
      <c r="B9" s="1007"/>
      <c r="C9" s="2120" t="s">
        <v>1387</v>
      </c>
      <c r="D9" s="2120"/>
      <c r="E9" s="2120"/>
      <c r="F9" s="2120"/>
      <c r="G9" s="1007"/>
      <c r="H9" s="1007"/>
      <c r="I9" s="1007"/>
      <c r="J9" s="1007"/>
      <c r="K9" s="1007"/>
      <c r="L9" s="1007"/>
      <c r="M9" s="1007"/>
      <c r="R9" s="979"/>
      <c r="S9" s="979"/>
      <c r="T9" s="979"/>
      <c r="U9" s="979"/>
      <c r="V9" s="979"/>
      <c r="W9" s="979"/>
      <c r="X9" s="979"/>
      <c r="Y9" s="979"/>
    </row>
    <row r="10" spans="1:25" s="978" customFormat="1" ht="8.15" customHeight="1">
      <c r="R10" s="979"/>
      <c r="S10" s="979"/>
      <c r="T10" s="979"/>
      <c r="U10" s="979"/>
      <c r="V10" s="979"/>
      <c r="W10" s="979"/>
      <c r="X10" s="979"/>
      <c r="Y10" s="979"/>
    </row>
    <row r="11" spans="1:25" s="978" customFormat="1" ht="15" customHeight="1" thickBot="1">
      <c r="C11" s="2128" t="s">
        <v>1135</v>
      </c>
      <c r="D11" s="2128"/>
      <c r="E11" s="980" t="s">
        <v>622</v>
      </c>
      <c r="F11" s="981"/>
      <c r="H11" s="2129" t="s">
        <v>1136</v>
      </c>
      <c r="I11" s="2130"/>
      <c r="J11" s="982"/>
      <c r="K11" s="983"/>
      <c r="R11" s="979"/>
      <c r="S11" s="979"/>
      <c r="T11" s="979"/>
      <c r="U11" s="979"/>
      <c r="V11" s="979"/>
      <c r="W11" s="979"/>
      <c r="X11" s="979"/>
      <c r="Y11" s="979"/>
    </row>
    <row r="12" spans="1:25" s="978" customFormat="1" ht="15" customHeight="1" thickBot="1">
      <c r="C12" s="2122" t="s">
        <v>1403</v>
      </c>
      <c r="D12" s="2123"/>
      <c r="E12" s="971"/>
      <c r="F12" s="981" t="s">
        <v>1137</v>
      </c>
      <c r="G12" s="984"/>
      <c r="H12" s="985" t="s">
        <v>52</v>
      </c>
      <c r="I12" s="986" t="str">
        <f>IFERROR(1/((1/3.91)+(E12/1000)/E13),"")</f>
        <v/>
      </c>
      <c r="J12" s="981" t="s">
        <v>1138</v>
      </c>
      <c r="K12" s="987"/>
      <c r="L12" s="988"/>
      <c r="R12" s="979"/>
      <c r="S12" s="979"/>
      <c r="T12" s="979"/>
      <c r="U12" s="979"/>
      <c r="V12" s="979"/>
      <c r="W12" s="979"/>
      <c r="X12" s="979"/>
      <c r="Y12" s="979"/>
    </row>
    <row r="13" spans="1:25" s="978" customFormat="1" ht="15" customHeight="1" thickBot="1">
      <c r="C13" s="2122" t="s">
        <v>1139</v>
      </c>
      <c r="D13" s="2123"/>
      <c r="E13" s="972"/>
      <c r="F13" s="981" t="s">
        <v>1140</v>
      </c>
      <c r="H13" s="2117" t="s">
        <v>1386</v>
      </c>
      <c r="I13" s="2117"/>
      <c r="J13" s="2117"/>
      <c r="K13" s="2117"/>
      <c r="R13" s="979"/>
      <c r="S13" s="979"/>
      <c r="T13" s="979"/>
      <c r="U13" s="979"/>
      <c r="V13" s="979"/>
      <c r="W13" s="979"/>
      <c r="X13" s="979"/>
      <c r="Y13" s="979"/>
    </row>
    <row r="14" spans="1:25" s="978" customFormat="1" ht="15" customHeight="1">
      <c r="F14" s="983"/>
      <c r="G14" s="989"/>
      <c r="H14" s="2117"/>
      <c r="I14" s="2117"/>
      <c r="J14" s="2117"/>
      <c r="K14" s="2117"/>
      <c r="R14" s="979"/>
      <c r="S14" s="979"/>
      <c r="T14" s="979"/>
      <c r="U14" s="979"/>
      <c r="V14" s="979"/>
      <c r="W14" s="979"/>
      <c r="X14" s="979"/>
      <c r="Y14" s="979"/>
    </row>
    <row r="15" spans="1:25" s="978" customFormat="1" ht="15" hidden="1" customHeight="1">
      <c r="R15" s="979"/>
      <c r="S15" s="979"/>
      <c r="T15" s="979"/>
      <c r="U15" s="979"/>
      <c r="V15" s="979"/>
      <c r="W15" s="979"/>
      <c r="X15" s="979"/>
      <c r="Y15" s="979"/>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006"/>
      <c r="B24" s="1006"/>
      <c r="C24" s="1006"/>
      <c r="D24" s="1006"/>
      <c r="E24" s="1006"/>
      <c r="F24" s="1006"/>
      <c r="G24" s="1006"/>
      <c r="H24" s="1006"/>
      <c r="I24" s="1006"/>
      <c r="J24" s="1006"/>
      <c r="K24" s="1006"/>
      <c r="L24" s="1006"/>
      <c r="M24" s="1006"/>
    </row>
    <row r="25" spans="1:17" ht="15" customHeight="1"/>
    <row r="26" spans="1:17" ht="15" customHeight="1">
      <c r="C26" s="2121" t="s">
        <v>1388</v>
      </c>
      <c r="D26" s="2121"/>
      <c r="E26" s="2121"/>
      <c r="F26" s="2121"/>
    </row>
    <row r="27" spans="1:17" ht="15" customHeight="1"/>
    <row r="28" spans="1:17" ht="15" customHeight="1" thickBot="1">
      <c r="C28" s="2128" t="s">
        <v>1135</v>
      </c>
      <c r="D28" s="2128"/>
      <c r="E28" s="980" t="s">
        <v>622</v>
      </c>
      <c r="F28" s="981"/>
      <c r="H28" s="2129" t="s">
        <v>1136</v>
      </c>
      <c r="I28" s="2130"/>
      <c r="J28" s="982"/>
      <c r="K28" s="983"/>
    </row>
    <row r="29" spans="1:17" ht="15" customHeight="1" thickBot="1">
      <c r="C29" s="2122" t="s">
        <v>1403</v>
      </c>
      <c r="D29" s="2123"/>
      <c r="E29" s="971"/>
      <c r="F29" s="981" t="s">
        <v>1137</v>
      </c>
      <c r="G29" s="984"/>
      <c r="H29" s="985" t="s">
        <v>52</v>
      </c>
      <c r="I29" s="986" t="str">
        <f>IFERROR(1/((1/1.18)+(E29/1000)/E30),"")</f>
        <v/>
      </c>
      <c r="J29" s="981" t="s">
        <v>1138</v>
      </c>
      <c r="K29" s="987"/>
    </row>
    <row r="30" spans="1:17" ht="15" customHeight="1" thickBot="1">
      <c r="C30" s="2122" t="s">
        <v>1139</v>
      </c>
      <c r="D30" s="2123"/>
      <c r="E30" s="972"/>
      <c r="F30" s="981" t="s">
        <v>1140</v>
      </c>
      <c r="H30" s="2117" t="s">
        <v>1386</v>
      </c>
      <c r="I30" s="2117"/>
      <c r="J30" s="2117"/>
      <c r="K30" s="2117"/>
    </row>
    <row r="31" spans="1:17" ht="15" customHeight="1">
      <c r="F31" s="983"/>
      <c r="G31" s="989"/>
      <c r="H31" s="2117"/>
      <c r="I31" s="2117"/>
      <c r="J31" s="2117"/>
      <c r="K31" s="2117"/>
    </row>
    <row r="32" spans="1:17" ht="15" customHeight="1">
      <c r="C32" s="979"/>
      <c r="D32" s="979"/>
      <c r="E32" s="979"/>
      <c r="F32" s="979"/>
      <c r="O32" s="979"/>
      <c r="P32" s="979"/>
      <c r="Q32" s="979"/>
    </row>
    <row r="33" spans="1:17" ht="15" customHeight="1">
      <c r="C33" s="979"/>
      <c r="D33" s="979"/>
      <c r="E33" s="979"/>
      <c r="F33" s="979"/>
      <c r="O33" s="979"/>
      <c r="P33" s="979"/>
      <c r="Q33" s="979"/>
    </row>
    <row r="34" spans="1:17" ht="15" customHeight="1">
      <c r="C34" s="979"/>
      <c r="D34" s="979"/>
      <c r="E34" s="979"/>
      <c r="F34" s="979"/>
      <c r="O34" s="979"/>
      <c r="P34" s="979"/>
      <c r="Q34" s="979"/>
    </row>
    <row r="35" spans="1:17" ht="15" customHeight="1">
      <c r="C35" s="979"/>
      <c r="D35" s="979"/>
      <c r="E35" s="979"/>
      <c r="F35" s="979"/>
      <c r="O35" s="979"/>
      <c r="P35" s="979"/>
      <c r="Q35" s="979"/>
    </row>
    <row r="36" spans="1:17" ht="15" customHeight="1">
      <c r="C36" s="979"/>
      <c r="D36" s="979"/>
      <c r="E36" s="979"/>
      <c r="F36" s="979"/>
      <c r="O36" s="979"/>
      <c r="P36" s="979"/>
      <c r="Q36" s="979"/>
    </row>
    <row r="37" spans="1:17" ht="15" customHeight="1">
      <c r="C37" s="979"/>
      <c r="D37" s="979"/>
      <c r="E37" s="979"/>
      <c r="F37" s="979"/>
      <c r="O37" s="979"/>
      <c r="P37" s="979"/>
      <c r="Q37" s="979"/>
    </row>
    <row r="38" spans="1:17" ht="15" customHeight="1">
      <c r="C38" s="979"/>
      <c r="D38" s="979"/>
      <c r="E38" s="979"/>
      <c r="F38" s="979"/>
      <c r="O38" s="979"/>
      <c r="P38" s="979"/>
      <c r="Q38" s="979"/>
    </row>
    <row r="39" spans="1:17" ht="15" customHeight="1">
      <c r="C39" s="979"/>
      <c r="D39" s="979"/>
      <c r="E39" s="979"/>
      <c r="F39" s="979"/>
      <c r="O39" s="979"/>
      <c r="P39" s="979"/>
      <c r="Q39" s="979"/>
    </row>
    <row r="40" spans="1:17" ht="15" customHeight="1">
      <c r="A40" s="983"/>
      <c r="B40" s="983"/>
      <c r="C40" s="990"/>
      <c r="D40" s="990"/>
      <c r="E40" s="990"/>
      <c r="F40" s="990"/>
      <c r="G40" s="983"/>
      <c r="H40" s="983"/>
      <c r="I40" s="983"/>
      <c r="J40" s="983"/>
      <c r="K40" s="983"/>
      <c r="L40" s="983"/>
      <c r="M40" s="983"/>
      <c r="O40" s="979"/>
      <c r="P40" s="979"/>
      <c r="Q40" s="979"/>
    </row>
    <row r="41" spans="1:17" ht="15" customHeight="1">
      <c r="A41" s="991"/>
      <c r="B41" s="991"/>
      <c r="C41" s="992"/>
      <c r="D41" s="992"/>
      <c r="E41" s="992"/>
      <c r="F41" s="992"/>
      <c r="G41" s="991"/>
      <c r="H41" s="991"/>
      <c r="I41" s="991"/>
      <c r="J41" s="991"/>
      <c r="K41" s="991"/>
      <c r="L41" s="991"/>
      <c r="M41" s="991"/>
      <c r="O41" s="979"/>
      <c r="P41" s="979"/>
      <c r="Q41" s="979"/>
    </row>
    <row r="42" spans="1:17" ht="15" customHeight="1">
      <c r="A42" s="983"/>
      <c r="B42" s="983"/>
      <c r="C42" s="990"/>
      <c r="D42" s="990"/>
      <c r="E42" s="990"/>
      <c r="F42" s="990"/>
      <c r="G42" s="983"/>
      <c r="H42" s="983"/>
      <c r="I42" s="983"/>
      <c r="J42" s="983"/>
      <c r="K42" s="983"/>
      <c r="L42" s="983"/>
      <c r="M42" s="983"/>
      <c r="O42" s="979"/>
      <c r="P42" s="979"/>
      <c r="Q42" s="979"/>
    </row>
    <row r="43" spans="1:17" ht="15" customHeight="1">
      <c r="C43" s="2121" t="s">
        <v>1400</v>
      </c>
      <c r="D43" s="2121"/>
      <c r="E43" s="2121"/>
      <c r="F43" s="2121"/>
      <c r="O43" s="979"/>
      <c r="P43" s="979"/>
      <c r="Q43" s="979"/>
    </row>
    <row r="44" spans="1:17" ht="15" customHeight="1">
      <c r="C44" s="979"/>
      <c r="D44" s="979"/>
      <c r="E44" s="979"/>
      <c r="F44" s="979"/>
      <c r="O44" s="979"/>
      <c r="P44" s="979"/>
      <c r="Q44" s="979"/>
    </row>
    <row r="45" spans="1:17" ht="15" customHeight="1" thickBot="1">
      <c r="C45" s="2128" t="s">
        <v>1135</v>
      </c>
      <c r="D45" s="2128"/>
      <c r="E45" s="980" t="s">
        <v>622</v>
      </c>
      <c r="F45" s="981"/>
      <c r="H45" s="2129" t="s">
        <v>1136</v>
      </c>
      <c r="I45" s="2130"/>
      <c r="J45" s="982"/>
      <c r="O45" s="979"/>
      <c r="P45" s="979"/>
      <c r="Q45" s="979"/>
    </row>
    <row r="46" spans="1:17" ht="15" customHeight="1" thickBot="1">
      <c r="C46" s="2122" t="s">
        <v>1141</v>
      </c>
      <c r="D46" s="2123"/>
      <c r="E46" s="971"/>
      <c r="F46" s="981" t="s">
        <v>1142</v>
      </c>
      <c r="G46" s="984"/>
      <c r="H46" s="985" t="s">
        <v>1143</v>
      </c>
      <c r="I46" s="993" t="str">
        <f>IF(100-E46=100,"",100-E46)</f>
        <v/>
      </c>
      <c r="J46" s="981" t="s">
        <v>1142</v>
      </c>
      <c r="O46" s="979"/>
      <c r="P46" s="979"/>
      <c r="Q46" s="979"/>
    </row>
    <row r="47" spans="1:17" ht="15" customHeight="1">
      <c r="C47" s="994"/>
      <c r="D47" s="994"/>
      <c r="E47" s="995"/>
      <c r="F47" s="981"/>
      <c r="H47" s="2117" t="s">
        <v>1386</v>
      </c>
      <c r="I47" s="2117"/>
      <c r="J47" s="2117"/>
      <c r="K47" s="2117"/>
    </row>
    <row r="48" spans="1:17" ht="15" customHeight="1">
      <c r="C48" s="2124"/>
      <c r="D48" s="2124"/>
      <c r="E48" s="995"/>
      <c r="F48" s="981"/>
      <c r="G48" s="989"/>
      <c r="H48" s="2117"/>
      <c r="I48" s="2117"/>
      <c r="J48" s="2117"/>
      <c r="K48" s="2117"/>
    </row>
    <row r="49" spans="3:25" ht="15" customHeight="1">
      <c r="C49" s="2124"/>
      <c r="D49" s="2124"/>
      <c r="E49" s="995"/>
      <c r="F49" s="981"/>
      <c r="H49" s="984"/>
    </row>
    <row r="50" spans="3:25" ht="15" customHeight="1">
      <c r="C50" s="994"/>
      <c r="D50" s="994"/>
      <c r="E50" s="995"/>
      <c r="F50" s="981"/>
      <c r="G50" s="982"/>
      <c r="H50" s="984"/>
    </row>
    <row r="51" spans="3:25" ht="15" customHeight="1">
      <c r="C51" s="994"/>
      <c r="D51" s="994"/>
      <c r="E51" s="995"/>
      <c r="F51" s="996"/>
      <c r="G51" s="982"/>
      <c r="H51" s="984"/>
    </row>
    <row r="52" spans="3:25" ht="15" customHeight="1">
      <c r="C52" s="994"/>
      <c r="D52" s="994"/>
      <c r="E52" s="995"/>
      <c r="F52" s="996"/>
      <c r="G52" s="2127" t="s">
        <v>1145</v>
      </c>
      <c r="H52" s="2127"/>
      <c r="I52" s="2127"/>
      <c r="J52" s="2127"/>
    </row>
    <row r="53" spans="3:25" ht="15" customHeight="1">
      <c r="C53" s="994"/>
      <c r="D53" s="994"/>
      <c r="E53" s="995"/>
      <c r="F53" s="981"/>
      <c r="G53" s="979"/>
      <c r="H53" s="984"/>
    </row>
    <row r="54" spans="3:25" ht="15" customHeight="1">
      <c r="C54" s="2119"/>
      <c r="D54" s="2119"/>
      <c r="E54" s="995"/>
      <c r="F54" s="981"/>
      <c r="H54" s="984"/>
    </row>
    <row r="55" spans="3:25" ht="15" customHeight="1">
      <c r="C55" s="2119"/>
      <c r="D55" s="2119"/>
    </row>
    <row r="59" spans="3:25" ht="24">
      <c r="W59" s="997" t="s">
        <v>872</v>
      </c>
      <c r="X59" s="997" t="s">
        <v>1146</v>
      </c>
      <c r="Y59" s="998" t="s">
        <v>1147</v>
      </c>
    </row>
    <row r="60" spans="3:25">
      <c r="W60" s="2115" t="s">
        <v>1148</v>
      </c>
      <c r="X60" s="999" t="s">
        <v>1149</v>
      </c>
      <c r="Y60" s="1000">
        <v>0.05</v>
      </c>
    </row>
    <row r="61" spans="3:25">
      <c r="W61" s="2118"/>
      <c r="X61" s="1001" t="s">
        <v>1150</v>
      </c>
      <c r="Y61" s="1002">
        <v>4.4999999999999998E-2</v>
      </c>
    </row>
    <row r="62" spans="3:25">
      <c r="W62" s="2118"/>
      <c r="X62" s="999" t="s">
        <v>1151</v>
      </c>
      <c r="Y62" s="1000">
        <v>4.4999999999999998E-2</v>
      </c>
    </row>
    <row r="63" spans="3:25" ht="14.25" customHeight="1">
      <c r="W63" s="2118"/>
      <c r="X63" s="999" t="s">
        <v>1152</v>
      </c>
      <c r="Y63" s="1000">
        <v>4.2000000000000003E-2</v>
      </c>
    </row>
    <row r="64" spans="3:25" ht="18.75" customHeight="1">
      <c r="W64" s="2118"/>
      <c r="X64" s="999" t="s">
        <v>1153</v>
      </c>
      <c r="Y64" s="1000">
        <v>3.7999999999999999E-2</v>
      </c>
    </row>
    <row r="65" spans="23:25" ht="18.75" customHeight="1">
      <c r="W65" s="2118"/>
      <c r="X65" s="999" t="s">
        <v>1154</v>
      </c>
      <c r="Y65" s="1000">
        <v>3.5999999999999997E-2</v>
      </c>
    </row>
    <row r="66" spans="23:25" ht="18.75" customHeight="1">
      <c r="W66" s="2118"/>
      <c r="X66" s="1001" t="s">
        <v>1155</v>
      </c>
      <c r="Y66" s="1002">
        <v>3.5999999999999997E-2</v>
      </c>
    </row>
    <row r="67" spans="23:25" ht="18.75" customHeight="1">
      <c r="W67" s="2118"/>
      <c r="X67" s="1001" t="s">
        <v>1156</v>
      </c>
      <c r="Y67" s="1002">
        <v>3.5000000000000003E-2</v>
      </c>
    </row>
    <row r="68" spans="23:25" ht="18.75" customHeight="1">
      <c r="W68" s="2118"/>
      <c r="X68" s="1001" t="s">
        <v>1157</v>
      </c>
      <c r="Y68" s="1002">
        <v>3.5000000000000003E-2</v>
      </c>
    </row>
    <row r="69" spans="23:25">
      <c r="W69" s="2118"/>
      <c r="X69" s="1001" t="s">
        <v>1158</v>
      </c>
      <c r="Y69" s="1002">
        <v>3.3000000000000002E-2</v>
      </c>
    </row>
    <row r="70" spans="23:25">
      <c r="W70" s="2116"/>
      <c r="X70" s="1001" t="s">
        <v>1159</v>
      </c>
      <c r="Y70" s="1002">
        <v>3.3000000000000002E-2</v>
      </c>
    </row>
    <row r="71" spans="23:25">
      <c r="W71" s="2115" t="s">
        <v>1160</v>
      </c>
      <c r="X71" s="1001" t="s">
        <v>1161</v>
      </c>
      <c r="Y71" s="1002">
        <v>4.7E-2</v>
      </c>
    </row>
    <row r="72" spans="23:25">
      <c r="W72" s="2118"/>
      <c r="X72" s="1001" t="s">
        <v>1162</v>
      </c>
      <c r="Y72" s="1002">
        <v>4.2999999999999997E-2</v>
      </c>
    </row>
    <row r="73" spans="23:25">
      <c r="W73" s="2118"/>
      <c r="X73" s="1001" t="s">
        <v>1163</v>
      </c>
      <c r="Y73" s="1002">
        <v>3.7999999999999999E-2</v>
      </c>
    </row>
    <row r="74" spans="23:25">
      <c r="W74" s="2118"/>
      <c r="X74" s="999" t="s">
        <v>1164</v>
      </c>
      <c r="Y74" s="1000">
        <v>3.7999999999999999E-2</v>
      </c>
    </row>
    <row r="75" spans="23:25">
      <c r="W75" s="2118"/>
      <c r="X75" s="1001" t="s">
        <v>1165</v>
      </c>
      <c r="Y75" s="1002">
        <v>3.7999999999999999E-2</v>
      </c>
    </row>
    <row r="76" spans="23:25">
      <c r="W76" s="2118"/>
      <c r="X76" s="999" t="s">
        <v>1166</v>
      </c>
      <c r="Y76" s="1000">
        <v>3.5999999999999997E-2</v>
      </c>
    </row>
    <row r="77" spans="23:25">
      <c r="W77" s="2118"/>
      <c r="X77" s="1001" t="s">
        <v>1167</v>
      </c>
      <c r="Y77" s="1002">
        <v>3.5999999999999997E-2</v>
      </c>
    </row>
    <row r="78" spans="23:25">
      <c r="W78" s="2118"/>
      <c r="X78" s="999" t="s">
        <v>1168</v>
      </c>
      <c r="Y78" s="1000">
        <v>3.5000000000000003E-2</v>
      </c>
    </row>
    <row r="79" spans="23:25">
      <c r="W79" s="2118"/>
      <c r="X79" s="1001" t="s">
        <v>1169</v>
      </c>
      <c r="Y79" s="1002">
        <v>3.4000000000000002E-2</v>
      </c>
    </row>
    <row r="80" spans="23:25">
      <c r="W80" s="2118"/>
      <c r="X80" s="1001" t="s">
        <v>1170</v>
      </c>
      <c r="Y80" s="1002">
        <v>3.4000000000000002E-2</v>
      </c>
    </row>
    <row r="81" spans="23:25">
      <c r="W81" s="2118"/>
      <c r="X81" s="999" t="s">
        <v>1171</v>
      </c>
      <c r="Y81" s="1000">
        <v>3.4000000000000002E-2</v>
      </c>
    </row>
    <row r="82" spans="23:25">
      <c r="W82" s="2116"/>
      <c r="X82" s="999" t="s">
        <v>1172</v>
      </c>
      <c r="Y82" s="1000">
        <v>3.3000000000000002E-2</v>
      </c>
    </row>
    <row r="83" spans="23:25">
      <c r="W83" s="2115" t="s">
        <v>1173</v>
      </c>
      <c r="X83" s="1003" t="s">
        <v>1174</v>
      </c>
      <c r="Y83" s="1004">
        <v>5.1999999999999998E-2</v>
      </c>
    </row>
    <row r="84" spans="23:25">
      <c r="W84" s="2118"/>
      <c r="X84" s="1003" t="s">
        <v>1175</v>
      </c>
      <c r="Y84" s="1004">
        <v>5.1999999999999998E-2</v>
      </c>
    </row>
    <row r="85" spans="23:25">
      <c r="W85" s="2118"/>
      <c r="X85" s="1003" t="s">
        <v>1176</v>
      </c>
      <c r="Y85" s="1004">
        <v>0.04</v>
      </c>
    </row>
    <row r="86" spans="23:25">
      <c r="W86" s="2116"/>
      <c r="X86" s="1003" t="s">
        <v>1177</v>
      </c>
      <c r="Y86" s="1004">
        <v>0.04</v>
      </c>
    </row>
    <row r="87" spans="23:25">
      <c r="W87" s="2115" t="s">
        <v>1178</v>
      </c>
      <c r="X87" s="1001" t="s">
        <v>1179</v>
      </c>
      <c r="Y87" s="1002">
        <v>3.9E-2</v>
      </c>
    </row>
    <row r="88" spans="23:25">
      <c r="W88" s="2118"/>
      <c r="X88" s="999" t="s">
        <v>1180</v>
      </c>
      <c r="Y88" s="1000">
        <v>3.7999999999999999E-2</v>
      </c>
    </row>
    <row r="89" spans="23:25">
      <c r="W89" s="2118"/>
      <c r="X89" s="1001" t="s">
        <v>1181</v>
      </c>
      <c r="Y89" s="1002">
        <v>3.6999999999999998E-2</v>
      </c>
    </row>
    <row r="90" spans="23:25">
      <c r="W90" s="2118"/>
      <c r="X90" s="999" t="s">
        <v>1182</v>
      </c>
      <c r="Y90" s="1000">
        <v>3.7999999999999999E-2</v>
      </c>
    </row>
    <row r="91" spans="23:25">
      <c r="W91" s="2116"/>
      <c r="X91" s="999" t="s">
        <v>1183</v>
      </c>
      <c r="Y91" s="1000">
        <v>3.5999999999999997E-2</v>
      </c>
    </row>
    <row r="92" spans="23:25">
      <c r="W92" s="2115" t="s">
        <v>1184</v>
      </c>
      <c r="X92" s="1001" t="s">
        <v>1185</v>
      </c>
      <c r="Y92" s="1002">
        <v>4.7E-2</v>
      </c>
    </row>
    <row r="93" spans="23:25">
      <c r="W93" s="2116"/>
      <c r="X93" s="1001" t="s">
        <v>1186</v>
      </c>
      <c r="Y93" s="1002">
        <v>3.7999999999999999E-2</v>
      </c>
    </row>
    <row r="94" spans="23:25">
      <c r="W94" s="1001" t="s">
        <v>1187</v>
      </c>
      <c r="X94" s="999" t="s">
        <v>1187</v>
      </c>
      <c r="Y94" s="1000">
        <v>6.4000000000000001E-2</v>
      </c>
    </row>
    <row r="95" spans="23:25">
      <c r="W95" s="1001" t="s">
        <v>1188</v>
      </c>
      <c r="X95" s="1001" t="s">
        <v>1189</v>
      </c>
      <c r="Y95" s="1002">
        <v>0.04</v>
      </c>
    </row>
    <row r="96" spans="23:25">
      <c r="W96" s="2115" t="s">
        <v>1190</v>
      </c>
      <c r="X96" s="999" t="s">
        <v>1191</v>
      </c>
      <c r="Y96" s="1000">
        <v>0.04</v>
      </c>
    </row>
    <row r="97" spans="23:25">
      <c r="W97" s="2118"/>
      <c r="X97" s="999" t="s">
        <v>1192</v>
      </c>
      <c r="Y97" s="1000">
        <v>3.4000000000000002E-2</v>
      </c>
    </row>
    <row r="98" spans="23:25">
      <c r="W98" s="2116"/>
      <c r="X98" s="999" t="s">
        <v>1193</v>
      </c>
      <c r="Y98" s="1000">
        <v>2.8000000000000001E-2</v>
      </c>
    </row>
    <row r="99" spans="23:25">
      <c r="W99" s="2115" t="s">
        <v>1194</v>
      </c>
      <c r="X99" s="999" t="s">
        <v>1195</v>
      </c>
      <c r="Y99" s="1000">
        <v>4.2000000000000003E-2</v>
      </c>
    </row>
    <row r="100" spans="23:25">
      <c r="W100" s="2118"/>
      <c r="X100" s="999" t="s">
        <v>1196</v>
      </c>
      <c r="Y100" s="1000">
        <v>3.7999999999999999E-2</v>
      </c>
    </row>
    <row r="101" spans="23:25">
      <c r="W101" s="2116"/>
      <c r="X101" s="1001" t="s">
        <v>1197</v>
      </c>
      <c r="Y101" s="1002">
        <v>3.4000000000000002E-2</v>
      </c>
    </row>
    <row r="102" spans="23:25">
      <c r="W102" s="2115" t="s">
        <v>1198</v>
      </c>
      <c r="X102" s="999" t="s">
        <v>1199</v>
      </c>
      <c r="Y102" s="1000">
        <v>3.4000000000000002E-2</v>
      </c>
    </row>
    <row r="103" spans="23:25">
      <c r="W103" s="2118"/>
      <c r="X103" s="999" t="s">
        <v>1200</v>
      </c>
      <c r="Y103" s="1000">
        <v>3.5999999999999997E-2</v>
      </c>
    </row>
    <row r="104" spans="23:25">
      <c r="W104" s="2118"/>
      <c r="X104" s="999" t="s">
        <v>1201</v>
      </c>
      <c r="Y104" s="999">
        <v>3.6999999999999998E-2</v>
      </c>
    </row>
    <row r="105" spans="23:25">
      <c r="W105" s="2118"/>
      <c r="X105" s="999" t="s">
        <v>1202</v>
      </c>
      <c r="Y105" s="1000">
        <v>0.04</v>
      </c>
    </row>
    <row r="106" spans="23:25">
      <c r="W106" s="2116"/>
      <c r="X106" s="999" t="s">
        <v>1203</v>
      </c>
      <c r="Y106" s="1000">
        <v>4.2000000000000003E-2</v>
      </c>
    </row>
    <row r="107" spans="23:25">
      <c r="W107" s="2115" t="s">
        <v>1204</v>
      </c>
      <c r="X107" s="1001" t="s">
        <v>1205</v>
      </c>
      <c r="Y107" s="1002">
        <v>2.9000000000000001E-2</v>
      </c>
    </row>
    <row r="108" spans="23:25">
      <c r="W108" s="2118"/>
      <c r="X108" s="999" t="s">
        <v>1206</v>
      </c>
      <c r="Y108" s="1000">
        <v>2.3E-2</v>
      </c>
    </row>
    <row r="109" spans="23:25">
      <c r="W109" s="2118"/>
      <c r="X109" s="999" t="s">
        <v>1207</v>
      </c>
      <c r="Y109" s="1000">
        <v>2.4E-2</v>
      </c>
    </row>
    <row r="110" spans="23:25">
      <c r="W110" s="2118"/>
      <c r="X110" s="1001" t="s">
        <v>1208</v>
      </c>
      <c r="Y110" s="1002">
        <v>2.7E-2</v>
      </c>
    </row>
    <row r="111" spans="23:25">
      <c r="W111" s="2116"/>
      <c r="X111" s="1001" t="s">
        <v>1209</v>
      </c>
      <c r="Y111" s="1002">
        <v>2.8000000000000001E-2</v>
      </c>
    </row>
    <row r="112" spans="23:25">
      <c r="W112" s="2115" t="s">
        <v>1210</v>
      </c>
      <c r="X112" s="999" t="s">
        <v>1211</v>
      </c>
      <c r="Y112" s="1000">
        <v>3.4000000000000002E-2</v>
      </c>
    </row>
    <row r="113" spans="23:25">
      <c r="W113" s="2118"/>
      <c r="X113" s="1001" t="s">
        <v>1212</v>
      </c>
      <c r="Y113" s="1002">
        <v>2.5999999999999999E-2</v>
      </c>
    </row>
    <row r="114" spans="23:25">
      <c r="W114" s="2116"/>
      <c r="X114" s="1001" t="s">
        <v>1213</v>
      </c>
      <c r="Y114" s="1002">
        <v>0.04</v>
      </c>
    </row>
    <row r="115" spans="23:25">
      <c r="W115" s="2115" t="s">
        <v>1214</v>
      </c>
      <c r="X115" s="999" t="s">
        <v>1215</v>
      </c>
      <c r="Y115" s="1000">
        <v>2.1999999999999999E-2</v>
      </c>
    </row>
    <row r="116" spans="23:25">
      <c r="W116" s="2118"/>
      <c r="X116" s="1001" t="s">
        <v>1216</v>
      </c>
      <c r="Y116" s="1002">
        <v>3.5999999999999997E-2</v>
      </c>
    </row>
    <row r="117" spans="23:25">
      <c r="W117" s="2118"/>
      <c r="X117" s="1001" t="s">
        <v>1217</v>
      </c>
      <c r="Y117" s="1002">
        <v>3.4000000000000002E-2</v>
      </c>
    </row>
    <row r="118" spans="23:25">
      <c r="W118" s="2118"/>
      <c r="X118" s="1001" t="s">
        <v>1218</v>
      </c>
      <c r="Y118" s="1002">
        <v>2.8000000000000001E-2</v>
      </c>
    </row>
    <row r="119" spans="23:25">
      <c r="W119" s="2116"/>
      <c r="X119" s="1001" t="s">
        <v>1219</v>
      </c>
      <c r="Y119" s="1002">
        <v>3.5000000000000003E-2</v>
      </c>
    </row>
    <row r="120" spans="23:25">
      <c r="W120" s="2115" t="s">
        <v>1220</v>
      </c>
      <c r="X120" s="1001" t="s">
        <v>1221</v>
      </c>
      <c r="Y120" s="1002">
        <v>0.04</v>
      </c>
    </row>
    <row r="121" spans="23:25">
      <c r="W121" s="2116"/>
      <c r="X121" s="1001" t="s">
        <v>1222</v>
      </c>
      <c r="Y121" s="1002">
        <v>5.1999999999999998E-2</v>
      </c>
    </row>
    <row r="122" spans="23:25">
      <c r="W122" s="1001" t="s">
        <v>1223</v>
      </c>
      <c r="X122" s="999"/>
      <c r="Y122" s="1000"/>
    </row>
    <row r="123" spans="23:25">
      <c r="W123" s="978"/>
      <c r="X123" s="978"/>
      <c r="Y123" s="1005"/>
    </row>
    <row r="124" spans="23:25">
      <c r="W124" s="978"/>
      <c r="X124" s="978"/>
      <c r="Y124" s="1005"/>
    </row>
  </sheetData>
  <sheetProtection algorithmName="SHA-512" hashValue="SSjcTrTs+26G8T7P64++355bOUJNTaYySdbVvoBYaftmIca7YI5uBlrOGjDxc9YMuLdi1w5/6rbNGd0fjfzUFQ==" saltValue="+QlRNuOSLoUbSk+CwhBzHA==" spinCount="100000" sheet="1" objects="1" scenarios="1" formatCells="0"/>
  <mergeCells count="35">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 ref="C9:F9"/>
    <mergeCell ref="C26:F26"/>
    <mergeCell ref="C46:D46"/>
    <mergeCell ref="C48:D49"/>
    <mergeCell ref="C43:F43"/>
    <mergeCell ref="C54:D55"/>
    <mergeCell ref="W60:W70"/>
    <mergeCell ref="W71:W82"/>
    <mergeCell ref="W112:W114"/>
    <mergeCell ref="W115:W119"/>
    <mergeCell ref="W120:W121"/>
    <mergeCell ref="H47:K48"/>
    <mergeCell ref="W87:W91"/>
    <mergeCell ref="W92:W93"/>
    <mergeCell ref="W96:W98"/>
    <mergeCell ref="W99:W101"/>
    <mergeCell ref="W102:W106"/>
    <mergeCell ref="W107:W111"/>
    <mergeCell ref="W83:W86"/>
  </mergeCells>
  <phoneticPr fontId="2"/>
  <pageMargins left="0.31496062992125984" right="0.11811023622047245" top="0.35433070866141736" bottom="0.15748031496062992" header="0.11811023622047245"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81</vt:i4>
      </vt:variant>
    </vt:vector>
  </HeadingPairs>
  <TitlesOfParts>
    <vt:vector size="123" baseType="lpstr">
      <vt:lpstr>【入力】暑さ対策計算シート (2)</vt:lpstr>
      <vt:lpstr>変更（廃止）承認申請書 </vt:lpstr>
      <vt:lpstr>① </vt:lpstr>
      <vt:lpstr>②</vt:lpstr>
      <vt:lpstr>③</vt:lpstr>
      <vt:lpstr>入力</vt:lpstr>
      <vt:lpstr>結果</vt:lpstr>
      <vt:lpstr>CO2換算シート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 '!Print_Area</vt:lpstr>
      <vt:lpstr>②!Print_Area</vt:lpstr>
      <vt:lpstr>③!Print_Area</vt:lpstr>
      <vt:lpstr>'CO2換算シート '!Print_Area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'実効温度差（ETD)諸言'!Print_Area</vt:lpstr>
      <vt:lpstr>暑さ対策の提案について!Print_Area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'変更（廃止）承認申請書 '!Print_Area</vt:lpstr>
      <vt:lpstr>'① '!サービス業</vt:lpstr>
      <vt:lpstr>'変更（廃止）承認申請書 '!サービス業</vt:lpstr>
      <vt:lpstr>'① '!医療・福祉</vt:lpstr>
      <vt:lpstr>'変更（廃止）承認申請書 '!医療・福祉</vt:lpstr>
      <vt:lpstr>'① '!運輸業・郵便業</vt:lpstr>
      <vt:lpstr>'変更（廃止）承認申請書 '!運輸業・郵便業</vt:lpstr>
      <vt:lpstr>'① '!卸売業・小売業</vt:lpstr>
      <vt:lpstr>'変更（廃止）承認申請書 '!卸売業・小売業</vt:lpstr>
      <vt:lpstr>'① '!学術研究・専門・技術サービス業</vt:lpstr>
      <vt:lpstr>'変更（廃止）承認申請書 '!学術研究・専門・技術サービス業</vt:lpstr>
      <vt:lpstr>'① '!漁業</vt:lpstr>
      <vt:lpstr>'変更（廃止）承認申請書 '!漁業</vt:lpstr>
      <vt:lpstr>'① '!教育・学習支援業</vt:lpstr>
      <vt:lpstr>'変更（廃止）承認申請書 '!教育・学習支援業</vt:lpstr>
      <vt:lpstr>'① '!金融業・保険業</vt:lpstr>
      <vt:lpstr>'変更（廃止）承認申請書 '!金融業・保険業</vt:lpstr>
      <vt:lpstr>'① '!建設業</vt:lpstr>
      <vt:lpstr>'変更（廃止）承認申請書 '!建設業</vt:lpstr>
      <vt:lpstr>'① '!鉱業・採石業・砂利採取業</vt:lpstr>
      <vt:lpstr>'変更（廃止）承認申請書 '!鉱業・採石業・砂利採取業</vt:lpstr>
      <vt:lpstr>'① '!宿泊業・飲食サービス業</vt:lpstr>
      <vt:lpstr>'変更（廃止）承認申請書 '!宿泊業・飲食サービス業</vt:lpstr>
      <vt:lpstr>'① '!情報通信業</vt:lpstr>
      <vt:lpstr>'変更（廃止）承認申請書 '!情報通信業</vt:lpstr>
      <vt:lpstr>'① '!生活関連サービス業・娯楽業</vt:lpstr>
      <vt:lpstr>'変更（廃止）承認申請書 '!生活関連サービス業・娯楽業</vt:lpstr>
      <vt:lpstr>'① '!製造業</vt:lpstr>
      <vt:lpstr>'変更（廃止）承認申請書 '!製造業</vt:lpstr>
      <vt:lpstr>'① '!大分類</vt:lpstr>
      <vt:lpstr>'変更（廃止）承認申請書 '!大分類</vt:lpstr>
      <vt:lpstr>'① '!電気・ガス・熱供給・水道業</vt:lpstr>
      <vt:lpstr>'変更（廃止）承認申請書 '!電気・ガス・熱供給・水道業</vt:lpstr>
      <vt:lpstr>'変更（廃止）承認申請書 '!燃料</vt:lpstr>
      <vt:lpstr>'変更（廃止）承認申請書 '!農業_林業</vt:lpstr>
      <vt:lpstr>'① '!農業・林業</vt:lpstr>
      <vt:lpstr>'変更（廃止）承認申請書 '!農業・林業</vt:lpstr>
      <vt:lpstr>'① '!不動産業・物品賃貸業</vt:lpstr>
      <vt:lpstr>'変更（廃止）承認申請書 '!不動産業・物品賃貸業</vt:lpstr>
      <vt:lpstr>'① '!複合サービス事業</vt:lpstr>
      <vt:lpstr>'変更（廃止）承認申請書 '!複合サービス事業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2023-07-03T05:37:49Z</dcterms:modified>
</cp:coreProperties>
</file>