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3675\Desktop\"/>
    </mc:Choice>
  </mc:AlternateContent>
  <bookViews>
    <workbookView xWindow="0" yWindow="0" windowWidth="20490" windowHeight="7785" tabRatio="885" firstSheet="1" activeTab="2"/>
  </bookViews>
  <sheets>
    <sheet name="ボイラ排出量算定（追加)" sheetId="39" state="hidden" r:id="rId1"/>
    <sheet name="空調算定(導入前）" sheetId="38" r:id="rId2"/>
    <sheet name="空調算定（導入後）" sheetId="41" r:id="rId3"/>
    <sheet name="Sheet1" sheetId="40" state="hidden" r:id="rId4"/>
  </sheets>
  <definedNames>
    <definedName name="inv補正COP" localSheetId="2">'空調算定（導入後）'!$BB$29:$BM$53</definedName>
    <definedName name="inv補正COP">'空調算定(導入前）'!$BB$29:$BM$53</definedName>
    <definedName name="_xlnm.Print_Area" localSheetId="0">'ボイラ排出量算定（追加)'!$A$1:$AI$64</definedName>
    <definedName name="_xlnm.Print_Area" localSheetId="2">'空調算定（導入後）'!$A$1:$AL$66</definedName>
    <definedName name="_xlnm.Print_Area" localSheetId="1">'空調算定(導入前）'!$A$1:$AL$66</definedName>
    <definedName name="サービス業">#REF!</definedName>
    <definedName name="医療・福祉">#REF!</definedName>
    <definedName name="運輸業・郵便業">#REF!</definedName>
    <definedName name="卸売業・小売業">#REF!</definedName>
    <definedName name="学術研究・専門・技術サービス業">#REF!</definedName>
    <definedName name="漁業">#REF!</definedName>
    <definedName name="教育・学習支援業">#REF!</definedName>
    <definedName name="金融業・保険業">#REF!</definedName>
    <definedName name="建設業">#REF!</definedName>
    <definedName name="鉱業・採石業・砂利採取業">#REF!</definedName>
    <definedName name="宿泊業・飲食サービス業">#REF!</definedName>
    <definedName name="情報通信業">#REF!</definedName>
    <definedName name="生活関連サービス業・娯楽業">#REF!</definedName>
    <definedName name="製造業">#REF!</definedName>
    <definedName name="大分類">#REF!</definedName>
    <definedName name="電気・ガス・熱供給・水道業">#REF!</definedName>
    <definedName name="燃料">#REF!</definedName>
    <definedName name="農業_林業">#REF!</definedName>
    <definedName name="農業・林業">#REF!</definedName>
    <definedName name="不動産業・物品賃貸業">#REF!</definedName>
    <definedName name="複合サービス事業">#REF!</definedName>
  </definedNames>
  <calcPr calcId="162913"/>
</workbook>
</file>

<file path=xl/calcChain.xml><?xml version="1.0" encoding="utf-8"?>
<calcChain xmlns="http://schemas.openxmlformats.org/spreadsheetml/2006/main">
  <c r="Z54" i="39" l="1"/>
  <c r="N54" i="39"/>
  <c r="Z50" i="39"/>
  <c r="Z27" i="39"/>
  <c r="AR20" i="39" l="1"/>
  <c r="AR21" i="39"/>
  <c r="AR22" i="39"/>
  <c r="AR19" i="39"/>
  <c r="AC41" i="39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AB9" i="38" l="1"/>
  <c r="AB10" i="38"/>
  <c r="AB11" i="38"/>
  <c r="AI6" i="39" l="1"/>
  <c r="AA41" i="39"/>
  <c r="P49" i="39" l="1"/>
  <c r="P26" i="39"/>
  <c r="AP57" i="41"/>
  <c r="AL57" i="41"/>
  <c r="AB57" i="41"/>
  <c r="AP56" i="41"/>
  <c r="AL56" i="41"/>
  <c r="AB56" i="41"/>
  <c r="AP55" i="41"/>
  <c r="AL55" i="41"/>
  <c r="AB55" i="41"/>
  <c r="AP54" i="41"/>
  <c r="AL54" i="41"/>
  <c r="AB54" i="41"/>
  <c r="BM53" i="41"/>
  <c r="BH53" i="41"/>
  <c r="AP53" i="41"/>
  <c r="AL53" i="41"/>
  <c r="AB53" i="41"/>
  <c r="BM52" i="41"/>
  <c r="BH52" i="41"/>
  <c r="AP52" i="41"/>
  <c r="AL52" i="41"/>
  <c r="AB52" i="41"/>
  <c r="BM51" i="41"/>
  <c r="BH51" i="41"/>
  <c r="AP51" i="41"/>
  <c r="AL51" i="41"/>
  <c r="AB51" i="41"/>
  <c r="BM50" i="41"/>
  <c r="BH50" i="41"/>
  <c r="AP50" i="41"/>
  <c r="AL50" i="41"/>
  <c r="AB50" i="41"/>
  <c r="BM49" i="41"/>
  <c r="BH49" i="41"/>
  <c r="AP49" i="41"/>
  <c r="AL49" i="41"/>
  <c r="AB49" i="41"/>
  <c r="BM48" i="41"/>
  <c r="BH48" i="41"/>
  <c r="AP48" i="41"/>
  <c r="AL48" i="41"/>
  <c r="AB48" i="41"/>
  <c r="BM47" i="41"/>
  <c r="BH47" i="41"/>
  <c r="AP47" i="41"/>
  <c r="AL47" i="41"/>
  <c r="AB47" i="41"/>
  <c r="BM46" i="41"/>
  <c r="BH46" i="41"/>
  <c r="AP46" i="41"/>
  <c r="AL46" i="41"/>
  <c r="AB46" i="41"/>
  <c r="BM45" i="41"/>
  <c r="BH45" i="41"/>
  <c r="AP45" i="41"/>
  <c r="AL45" i="41"/>
  <c r="AB45" i="41"/>
  <c r="BM44" i="41"/>
  <c r="BH44" i="41"/>
  <c r="AP44" i="41"/>
  <c r="AL44" i="41"/>
  <c r="AB44" i="41"/>
  <c r="BM43" i="41"/>
  <c r="BH43" i="41"/>
  <c r="AP43" i="41"/>
  <c r="AL43" i="41"/>
  <c r="AB43" i="41"/>
  <c r="BM42" i="41"/>
  <c r="BH42" i="41"/>
  <c r="AP42" i="41"/>
  <c r="AL42" i="41"/>
  <c r="AB42" i="41"/>
  <c r="BM41" i="41"/>
  <c r="BH41" i="41"/>
  <c r="AP41" i="41"/>
  <c r="AL41" i="41"/>
  <c r="AB41" i="41"/>
  <c r="BM40" i="41"/>
  <c r="BH40" i="41"/>
  <c r="AP40" i="41"/>
  <c r="AL40" i="41"/>
  <c r="AB40" i="41"/>
  <c r="BM39" i="41"/>
  <c r="BH39" i="41"/>
  <c r="AP39" i="41"/>
  <c r="AL39" i="41"/>
  <c r="AB39" i="41"/>
  <c r="BM38" i="41"/>
  <c r="BH38" i="41"/>
  <c r="AP38" i="41"/>
  <c r="AL38" i="41"/>
  <c r="AB38" i="41"/>
  <c r="BM37" i="41"/>
  <c r="BH37" i="41"/>
  <c r="AP37" i="41"/>
  <c r="AL37" i="41"/>
  <c r="AB37" i="41"/>
  <c r="BM36" i="41"/>
  <c r="BH36" i="41"/>
  <c r="AP36" i="41"/>
  <c r="AL36" i="41"/>
  <c r="AB36" i="41"/>
  <c r="BM35" i="41"/>
  <c r="BH35" i="41"/>
  <c r="AP35" i="41"/>
  <c r="AL35" i="41"/>
  <c r="AB35" i="41"/>
  <c r="BM34" i="41"/>
  <c r="BH34" i="41"/>
  <c r="AP34" i="41"/>
  <c r="AL34" i="41"/>
  <c r="AB34" i="41"/>
  <c r="BM33" i="41"/>
  <c r="BH33" i="41"/>
  <c r="AP33" i="41"/>
  <c r="AL33" i="41"/>
  <c r="AB33" i="41"/>
  <c r="BM32" i="41"/>
  <c r="BH32" i="41"/>
  <c r="AP32" i="41"/>
  <c r="AL32" i="41"/>
  <c r="AB32" i="41"/>
  <c r="BM31" i="41"/>
  <c r="BH31" i="41"/>
  <c r="AP31" i="41"/>
  <c r="AL31" i="41"/>
  <c r="AB31" i="41"/>
  <c r="BM30" i="41"/>
  <c r="BH30" i="41"/>
  <c r="AP30" i="41"/>
  <c r="AL30" i="41"/>
  <c r="AB30" i="41"/>
  <c r="BM29" i="41"/>
  <c r="BH29" i="41"/>
  <c r="AP29" i="41"/>
  <c r="AL29" i="41"/>
  <c r="AB29" i="41"/>
  <c r="AP28" i="41"/>
  <c r="AL28" i="41"/>
  <c r="AB28" i="41"/>
  <c r="AP27" i="41"/>
  <c r="AL27" i="41"/>
  <c r="AB27" i="41"/>
  <c r="AP26" i="41"/>
  <c r="AL26" i="41"/>
  <c r="AB26" i="41"/>
  <c r="AP25" i="41"/>
  <c r="AL25" i="41"/>
  <c r="AB25" i="41"/>
  <c r="AP24" i="41"/>
  <c r="AL24" i="41"/>
  <c r="AB24" i="41"/>
  <c r="AP23" i="41"/>
  <c r="AL23" i="41"/>
  <c r="AB23" i="41"/>
  <c r="BL22" i="41"/>
  <c r="BJ22" i="41"/>
  <c r="BD22" i="41"/>
  <c r="BC22" i="41"/>
  <c r="BB22" i="41"/>
  <c r="AP22" i="41"/>
  <c r="AL22" i="41"/>
  <c r="AB22" i="41"/>
  <c r="BK21" i="41"/>
  <c r="BE21" i="41"/>
  <c r="AP21" i="41"/>
  <c r="AL21" i="41"/>
  <c r="AB21" i="41"/>
  <c r="BK20" i="41"/>
  <c r="BE20" i="41"/>
  <c r="AP20" i="41"/>
  <c r="AL20" i="41"/>
  <c r="AB20" i="41"/>
  <c r="BK19" i="41"/>
  <c r="BE19" i="41"/>
  <c r="AP19" i="41"/>
  <c r="AL19" i="41"/>
  <c r="AB19" i="41"/>
  <c r="BK18" i="41"/>
  <c r="BE18" i="41"/>
  <c r="AP18" i="41"/>
  <c r="AL18" i="41"/>
  <c r="AB18" i="41"/>
  <c r="BK17" i="41"/>
  <c r="BE17" i="41"/>
  <c r="AP17" i="41"/>
  <c r="AL17" i="41"/>
  <c r="AB17" i="41"/>
  <c r="BK16" i="41"/>
  <c r="BE16" i="41"/>
  <c r="AP16" i="41"/>
  <c r="AL16" i="41"/>
  <c r="AB16" i="41"/>
  <c r="BK15" i="41"/>
  <c r="BE15" i="41"/>
  <c r="AP15" i="41"/>
  <c r="AL15" i="41"/>
  <c r="AB15" i="41"/>
  <c r="BK14" i="41"/>
  <c r="BE14" i="41"/>
  <c r="AP14" i="41"/>
  <c r="AL14" i="41"/>
  <c r="AB14" i="41"/>
  <c r="BK13" i="41"/>
  <c r="BE13" i="41"/>
  <c r="AP13" i="41"/>
  <c r="AL13" i="41"/>
  <c r="AB13" i="41"/>
  <c r="BK12" i="41"/>
  <c r="BE12" i="41"/>
  <c r="AP12" i="41"/>
  <c r="AL12" i="41"/>
  <c r="AB12" i="41"/>
  <c r="BK11" i="41"/>
  <c r="BI11" i="41"/>
  <c r="BE11" i="41"/>
  <c r="AP11" i="41"/>
  <c r="BK10" i="41"/>
  <c r="BE10" i="41"/>
  <c r="AP10" i="41"/>
  <c r="AP9" i="41"/>
  <c r="B9" i="41"/>
  <c r="B10" i="41" s="1"/>
  <c r="B11" i="41" s="1"/>
  <c r="B12" i="41" s="1"/>
  <c r="B13" i="41" s="1"/>
  <c r="B14" i="41" s="1"/>
  <c r="B15" i="41" s="1"/>
  <c r="B16" i="41" s="1"/>
  <c r="B17" i="41" s="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2" i="41" s="1"/>
  <c r="B33" i="41" s="1"/>
  <c r="B34" i="41" s="1"/>
  <c r="B35" i="41" s="1"/>
  <c r="B36" i="41" s="1"/>
  <c r="B37" i="41" s="1"/>
  <c r="B38" i="41" s="1"/>
  <c r="B39" i="41" s="1"/>
  <c r="B40" i="41" s="1"/>
  <c r="B41" i="41" s="1"/>
  <c r="B42" i="41" s="1"/>
  <c r="B43" i="41" s="1"/>
  <c r="B44" i="41" s="1"/>
  <c r="B45" i="41" s="1"/>
  <c r="B46" i="41" s="1"/>
  <c r="B47" i="41" s="1"/>
  <c r="B48" i="41" s="1"/>
  <c r="B49" i="41" s="1"/>
  <c r="B50" i="41" s="1"/>
  <c r="B51" i="41" s="1"/>
  <c r="B52" i="41" s="1"/>
  <c r="B53" i="41" s="1"/>
  <c r="B54" i="41" s="1"/>
  <c r="B55" i="41" s="1"/>
  <c r="B56" i="41" s="1"/>
  <c r="B57" i="41" s="1"/>
  <c r="AP8" i="41"/>
  <c r="AI1" i="41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AB13" i="38"/>
  <c r="AB14" i="38"/>
  <c r="AB15" i="38"/>
  <c r="AB16" i="38"/>
  <c r="AB17" i="38"/>
  <c r="AB18" i="38"/>
  <c r="AB19" i="38"/>
  <c r="AB20" i="38"/>
  <c r="AB21" i="38"/>
  <c r="AB22" i="38"/>
  <c r="AB23" i="38"/>
  <c r="AB24" i="38"/>
  <c r="AB25" i="38"/>
  <c r="AB26" i="38"/>
  <c r="AB27" i="38"/>
  <c r="AB28" i="38"/>
  <c r="AB29" i="38"/>
  <c r="AB30" i="38"/>
  <c r="AB31" i="38"/>
  <c r="AB32" i="38"/>
  <c r="AB33" i="38"/>
  <c r="AB34" i="38"/>
  <c r="AB35" i="38"/>
  <c r="AB36" i="38"/>
  <c r="AB37" i="38"/>
  <c r="AB38" i="38"/>
  <c r="AB39" i="38"/>
  <c r="AB40" i="38"/>
  <c r="AB41" i="38"/>
  <c r="AB42" i="38"/>
  <c r="AB43" i="38"/>
  <c r="AB44" i="38"/>
  <c r="AB45" i="38"/>
  <c r="AB46" i="38"/>
  <c r="AB47" i="38"/>
  <c r="AB48" i="38"/>
  <c r="AB49" i="38"/>
  <c r="AB50" i="38"/>
  <c r="AB51" i="38"/>
  <c r="AB52" i="38"/>
  <c r="AB53" i="38"/>
  <c r="AB54" i="38"/>
  <c r="AB55" i="38"/>
  <c r="AB56" i="38"/>
  <c r="AB57" i="38"/>
  <c r="AL13" i="38"/>
  <c r="AL14" i="38"/>
  <c r="AL15" i="38"/>
  <c r="AL16" i="38"/>
  <c r="AL17" i="38"/>
  <c r="AL18" i="38"/>
  <c r="AL19" i="38"/>
  <c r="AL20" i="38"/>
  <c r="AL21" i="38"/>
  <c r="AL22" i="38"/>
  <c r="AL23" i="38"/>
  <c r="AL24" i="38"/>
  <c r="AL25" i="38"/>
  <c r="AL26" i="38"/>
  <c r="AL27" i="38"/>
  <c r="AL28" i="38"/>
  <c r="AL29" i="38"/>
  <c r="AL30" i="38"/>
  <c r="AL31" i="38"/>
  <c r="AL32" i="38"/>
  <c r="AL33" i="38"/>
  <c r="AL34" i="38"/>
  <c r="AL35" i="38"/>
  <c r="AL36" i="38"/>
  <c r="AL37" i="38"/>
  <c r="AL38" i="38"/>
  <c r="AL39" i="38"/>
  <c r="AL40" i="38"/>
  <c r="AL41" i="38"/>
  <c r="AL42" i="38"/>
  <c r="AL43" i="38"/>
  <c r="AL44" i="38"/>
  <c r="AL45" i="38"/>
  <c r="AL46" i="38"/>
  <c r="AL47" i="38"/>
  <c r="AL48" i="38"/>
  <c r="AL49" i="38"/>
  <c r="AL50" i="38"/>
  <c r="AL51" i="38"/>
  <c r="AL52" i="38"/>
  <c r="AL53" i="38"/>
  <c r="AL54" i="38"/>
  <c r="AL55" i="38"/>
  <c r="AL56" i="38"/>
  <c r="AL57" i="38"/>
  <c r="BM53" i="38"/>
  <c r="BM52" i="38"/>
  <c r="BM51" i="38"/>
  <c r="BM50" i="38"/>
  <c r="BM49" i="38"/>
  <c r="BM48" i="38"/>
  <c r="BM47" i="38"/>
  <c r="BM46" i="38"/>
  <c r="BM45" i="38"/>
  <c r="BM44" i="38"/>
  <c r="BM43" i="38"/>
  <c r="BM42" i="38"/>
  <c r="BM41" i="38"/>
  <c r="BM40" i="38"/>
  <c r="BM39" i="38"/>
  <c r="BM38" i="38"/>
  <c r="BM37" i="38"/>
  <c r="BM36" i="38"/>
  <c r="BM35" i="38"/>
  <c r="BM34" i="38"/>
  <c r="BM33" i="38"/>
  <c r="BM32" i="38"/>
  <c r="BM31" i="38"/>
  <c r="BM30" i="38"/>
  <c r="BM29" i="38"/>
  <c r="BH30" i="38"/>
  <c r="BH31" i="38"/>
  <c r="BH32" i="38"/>
  <c r="BH33" i="38"/>
  <c r="BH34" i="38"/>
  <c r="BH35" i="38"/>
  <c r="BH36" i="38"/>
  <c r="BH37" i="38"/>
  <c r="BH38" i="38"/>
  <c r="BH39" i="38"/>
  <c r="BH40" i="38"/>
  <c r="BH41" i="38"/>
  <c r="BH42" i="38"/>
  <c r="BH43" i="38"/>
  <c r="BH44" i="38"/>
  <c r="BH45" i="38"/>
  <c r="BH46" i="38"/>
  <c r="BH47" i="38"/>
  <c r="BH48" i="38"/>
  <c r="BH49" i="38"/>
  <c r="BH50" i="38"/>
  <c r="BH51" i="38"/>
  <c r="BH52" i="38"/>
  <c r="BH53" i="38"/>
  <c r="BH29" i="38"/>
  <c r="AP9" i="38"/>
  <c r="AP10" i="38"/>
  <c r="AP11" i="38"/>
  <c r="AP12" i="38"/>
  <c r="AP13" i="38"/>
  <c r="AP14" i="38"/>
  <c r="AP15" i="38"/>
  <c r="AP16" i="38"/>
  <c r="AP17" i="38"/>
  <c r="AP18" i="38"/>
  <c r="AP19" i="38"/>
  <c r="AP20" i="38"/>
  <c r="AP21" i="38"/>
  <c r="AP22" i="38"/>
  <c r="AP23" i="38"/>
  <c r="AP24" i="38"/>
  <c r="AP25" i="38"/>
  <c r="AP26" i="38"/>
  <c r="AP27" i="38"/>
  <c r="AP28" i="38"/>
  <c r="AP29" i="38"/>
  <c r="AP30" i="38"/>
  <c r="AP31" i="38"/>
  <c r="AP32" i="38"/>
  <c r="AP33" i="38"/>
  <c r="AP34" i="38"/>
  <c r="AP35" i="38"/>
  <c r="AP36" i="38"/>
  <c r="AP37" i="38"/>
  <c r="AP38" i="38"/>
  <c r="AP39" i="38"/>
  <c r="AP40" i="38"/>
  <c r="AP41" i="38"/>
  <c r="AP42" i="38"/>
  <c r="AP43" i="38"/>
  <c r="AP44" i="38"/>
  <c r="AP45" i="38"/>
  <c r="AP46" i="38"/>
  <c r="AP47" i="38"/>
  <c r="AP48" i="38"/>
  <c r="AP49" i="38"/>
  <c r="AP50" i="38"/>
  <c r="AP51" i="38"/>
  <c r="AP52" i="38"/>
  <c r="AP53" i="38"/>
  <c r="AP54" i="38"/>
  <c r="AP55" i="38"/>
  <c r="AP56" i="38"/>
  <c r="AP57" i="38"/>
  <c r="AP8" i="38"/>
  <c r="BI11" i="38"/>
  <c r="BI12" i="38" s="1"/>
  <c r="BI13" i="38" s="1"/>
  <c r="BI14" i="38" s="1"/>
  <c r="BI15" i="38" s="1"/>
  <c r="BL22" i="38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G133" i="40" s="1"/>
  <c r="F86" i="40"/>
  <c r="H130" i="40" s="1"/>
  <c r="E88" i="40"/>
  <c r="F88" i="40"/>
  <c r="E89" i="40"/>
  <c r="I119" i="40" s="1"/>
  <c r="F89" i="40"/>
  <c r="J110" i="40" s="1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C89" i="40" s="1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s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D88" i="40" l="1"/>
  <c r="BI12" i="41"/>
  <c r="BI13" i="41" s="1"/>
  <c r="BI14" i="41" s="1"/>
  <c r="BI15" i="41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AQ9" i="38"/>
  <c r="AQ13" i="38"/>
  <c r="AQ15" i="38"/>
  <c r="AQ17" i="38"/>
  <c r="AQ19" i="38"/>
  <c r="AQ21" i="38"/>
  <c r="AQ23" i="38"/>
  <c r="AQ25" i="38"/>
  <c r="AQ27" i="38"/>
  <c r="AQ29" i="38"/>
  <c r="AQ31" i="38"/>
  <c r="AQ33" i="38"/>
  <c r="AQ35" i="38"/>
  <c r="AQ37" i="38"/>
  <c r="AQ39" i="38"/>
  <c r="AQ41" i="38"/>
  <c r="AQ43" i="38"/>
  <c r="AQ45" i="38"/>
  <c r="AQ47" i="38"/>
  <c r="AQ49" i="38"/>
  <c r="AQ51" i="38"/>
  <c r="AQ53" i="38"/>
  <c r="AQ55" i="38"/>
  <c r="AQ57" i="38"/>
  <c r="AR13" i="38"/>
  <c r="AS13" i="38" s="1"/>
  <c r="AR15" i="38"/>
  <c r="AS15" i="38" s="1"/>
  <c r="AR17" i="38"/>
  <c r="AS17" i="38" s="1"/>
  <c r="AR19" i="38"/>
  <c r="AS19" i="38" s="1"/>
  <c r="AR21" i="38"/>
  <c r="AS21" i="38" s="1"/>
  <c r="AR23" i="38"/>
  <c r="AS23" i="38" s="1"/>
  <c r="AR25" i="38"/>
  <c r="AS25" i="38" s="1"/>
  <c r="AR27" i="38"/>
  <c r="AS27" i="38" s="1"/>
  <c r="AR29" i="38"/>
  <c r="AS29" i="38" s="1"/>
  <c r="AR31" i="38"/>
  <c r="AS31" i="38" s="1"/>
  <c r="AR33" i="38"/>
  <c r="AS33" i="38" s="1"/>
  <c r="AR35" i="38"/>
  <c r="AS35" i="38" s="1"/>
  <c r="AR37" i="38"/>
  <c r="AS37" i="38" s="1"/>
  <c r="AR39" i="38"/>
  <c r="AS39" i="38" s="1"/>
  <c r="AR41" i="38"/>
  <c r="AS41" i="38" s="1"/>
  <c r="AR43" i="38"/>
  <c r="AS43" i="38" s="1"/>
  <c r="AR45" i="38"/>
  <c r="AS45" i="38" s="1"/>
  <c r="AR47" i="38"/>
  <c r="AS47" i="38" s="1"/>
  <c r="AR49" i="38"/>
  <c r="AS49" i="38" s="1"/>
  <c r="AR51" i="38"/>
  <c r="AS51" i="38" s="1"/>
  <c r="AR53" i="38"/>
  <c r="AS53" i="38" s="1"/>
  <c r="AR55" i="38"/>
  <c r="AS55" i="38" s="1"/>
  <c r="AR57" i="38"/>
  <c r="AS57" i="38" s="1"/>
  <c r="AQ12" i="38"/>
  <c r="AQ14" i="38"/>
  <c r="AQ16" i="38"/>
  <c r="AQ18" i="38"/>
  <c r="AQ20" i="38"/>
  <c r="AQ22" i="38"/>
  <c r="AR54" i="38"/>
  <c r="AR50" i="38"/>
  <c r="AR46" i="38"/>
  <c r="AS46" i="38" s="1"/>
  <c r="AR42" i="38"/>
  <c r="AS42" i="38" s="1"/>
  <c r="AR38" i="38"/>
  <c r="AR34" i="38"/>
  <c r="AS34" i="38" s="1"/>
  <c r="AR30" i="38"/>
  <c r="AS30" i="38" s="1"/>
  <c r="AR26" i="38"/>
  <c r="AS26" i="38" s="1"/>
  <c r="AR22" i="38"/>
  <c r="AR18" i="38"/>
  <c r="AS18" i="38" s="1"/>
  <c r="AR14" i="38"/>
  <c r="AS14" i="38" s="1"/>
  <c r="AQ54" i="38"/>
  <c r="AQ50" i="38"/>
  <c r="AQ46" i="38"/>
  <c r="AQ42" i="38"/>
  <c r="AQ38" i="38"/>
  <c r="AQ34" i="38"/>
  <c r="AQ30" i="38"/>
  <c r="AQ26" i="38"/>
  <c r="AS38" i="38"/>
  <c r="AS22" i="38"/>
  <c r="AR56" i="38"/>
  <c r="AR52" i="38"/>
  <c r="AS52" i="38" s="1"/>
  <c r="AR48" i="38"/>
  <c r="AS48" i="38" s="1"/>
  <c r="AR44" i="38"/>
  <c r="AS44" i="38" s="1"/>
  <c r="AR40" i="38"/>
  <c r="AS40" i="38" s="1"/>
  <c r="AR36" i="38"/>
  <c r="AS36" i="38" s="1"/>
  <c r="AR32" i="38"/>
  <c r="AS32" i="38" s="1"/>
  <c r="AR28" i="38"/>
  <c r="AS28" i="38" s="1"/>
  <c r="AR24" i="38"/>
  <c r="AS24" i="38" s="1"/>
  <c r="AR20" i="38"/>
  <c r="AS20" i="38" s="1"/>
  <c r="AR16" i="38"/>
  <c r="AS16" i="38" s="1"/>
  <c r="AR12" i="38"/>
  <c r="AQ56" i="38"/>
  <c r="AQ52" i="38"/>
  <c r="AQ48" i="38"/>
  <c r="AQ44" i="38"/>
  <c r="AQ40" i="38"/>
  <c r="AQ36" i="38"/>
  <c r="AQ32" i="38"/>
  <c r="AQ28" i="38"/>
  <c r="AQ24" i="38"/>
  <c r="AS56" i="38"/>
  <c r="AS54" i="38"/>
  <c r="AS50" i="38"/>
  <c r="F118" i="40"/>
  <c r="F111" i="40"/>
  <c r="F115" i="40"/>
  <c r="F119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BI16" i="38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AS12" i="38" l="1"/>
  <c r="AB12" i="38" s="1"/>
  <c r="AL12" i="38"/>
  <c r="AQ57" i="41"/>
  <c r="AR56" i="41"/>
  <c r="AS56" i="41" s="1"/>
  <c r="AQ55" i="41"/>
  <c r="AR54" i="41"/>
  <c r="AS54" i="41" s="1"/>
  <c r="AQ53" i="41"/>
  <c r="AR52" i="41"/>
  <c r="AS52" i="41" s="1"/>
  <c r="AQ51" i="41"/>
  <c r="AR50" i="41"/>
  <c r="AS50" i="41" s="1"/>
  <c r="AQ49" i="41"/>
  <c r="AR48" i="41"/>
  <c r="AS48" i="41" s="1"/>
  <c r="AQ47" i="41"/>
  <c r="AR46" i="41"/>
  <c r="AS46" i="41" s="1"/>
  <c r="AQ45" i="41"/>
  <c r="AR44" i="41"/>
  <c r="AS44" i="41" s="1"/>
  <c r="AQ43" i="41"/>
  <c r="AR42" i="41"/>
  <c r="AS42" i="41" s="1"/>
  <c r="AQ41" i="41"/>
  <c r="AR40" i="41"/>
  <c r="AS40" i="41" s="1"/>
  <c r="AQ39" i="41"/>
  <c r="AR38" i="41"/>
  <c r="AS38" i="41" s="1"/>
  <c r="AQ37" i="41"/>
  <c r="AR36" i="41"/>
  <c r="AS36" i="41" s="1"/>
  <c r="AQ35" i="41"/>
  <c r="AR34" i="41"/>
  <c r="AS34" i="41" s="1"/>
  <c r="AQ33" i="41"/>
  <c r="AR32" i="41"/>
  <c r="AS32" i="41" s="1"/>
  <c r="AQ31" i="41"/>
  <c r="AR30" i="41"/>
  <c r="AS30" i="41" s="1"/>
  <c r="AQ29" i="41"/>
  <c r="AR28" i="41"/>
  <c r="AS28" i="41" s="1"/>
  <c r="AQ27" i="41"/>
  <c r="AR26" i="41"/>
  <c r="AS26" i="41" s="1"/>
  <c r="AQ25" i="41"/>
  <c r="AR24" i="41"/>
  <c r="AS24" i="41" s="1"/>
  <c r="AQ23" i="41"/>
  <c r="AR22" i="41"/>
  <c r="AS22" i="41" s="1"/>
  <c r="AR21" i="41"/>
  <c r="AS21" i="41" s="1"/>
  <c r="AR20" i="41"/>
  <c r="AS20" i="41" s="1"/>
  <c r="AR19" i="41"/>
  <c r="AS19" i="41" s="1"/>
  <c r="AR18" i="41"/>
  <c r="AS18" i="41" s="1"/>
  <c r="AR17" i="41"/>
  <c r="AS17" i="41" s="1"/>
  <c r="AR16" i="41"/>
  <c r="AS16" i="41" s="1"/>
  <c r="AR15" i="41"/>
  <c r="AS15" i="41" s="1"/>
  <c r="AR14" i="41"/>
  <c r="AS14" i="41" s="1"/>
  <c r="AR13" i="41"/>
  <c r="AS13" i="41" s="1"/>
  <c r="AR57" i="41"/>
  <c r="AS57" i="41" s="1"/>
  <c r="AR55" i="41"/>
  <c r="AS55" i="41" s="1"/>
  <c r="AR53" i="41"/>
  <c r="AS53" i="41" s="1"/>
  <c r="AR51" i="41"/>
  <c r="AS51" i="41" s="1"/>
  <c r="AR49" i="41"/>
  <c r="AS49" i="41" s="1"/>
  <c r="AR47" i="41"/>
  <c r="AS47" i="41" s="1"/>
  <c r="AR45" i="41"/>
  <c r="AS45" i="41" s="1"/>
  <c r="AR43" i="41"/>
  <c r="AS43" i="41" s="1"/>
  <c r="AR41" i="41"/>
  <c r="AS41" i="41" s="1"/>
  <c r="AR39" i="41"/>
  <c r="AS39" i="41" s="1"/>
  <c r="AR37" i="41"/>
  <c r="AS37" i="41" s="1"/>
  <c r="AR35" i="41"/>
  <c r="AS35" i="41" s="1"/>
  <c r="AR33" i="41"/>
  <c r="AS33" i="41" s="1"/>
  <c r="AR31" i="41"/>
  <c r="AS31" i="41" s="1"/>
  <c r="AR29" i="41"/>
  <c r="AS29" i="41" s="1"/>
  <c r="AR27" i="41"/>
  <c r="AS27" i="41" s="1"/>
  <c r="AR25" i="41"/>
  <c r="AS25" i="41" s="1"/>
  <c r="AR23" i="41"/>
  <c r="AS23" i="41" s="1"/>
  <c r="AQ21" i="41"/>
  <c r="AQ19" i="41"/>
  <c r="AQ17" i="41"/>
  <c r="BI16" i="41"/>
  <c r="BI17" i="41" s="1"/>
  <c r="BI18" i="41" s="1"/>
  <c r="BI19" i="41" s="1"/>
  <c r="BI20" i="41" s="1"/>
  <c r="BI21" i="41" s="1"/>
  <c r="AQ15" i="41"/>
  <c r="AQ13" i="41"/>
  <c r="AQ12" i="41"/>
  <c r="AQ11" i="41"/>
  <c r="AR10" i="41"/>
  <c r="AS10" i="41" s="1"/>
  <c r="AQ9" i="41"/>
  <c r="AR8" i="41"/>
  <c r="AS8" i="41" s="1"/>
  <c r="AQ56" i="41"/>
  <c r="AQ54" i="41"/>
  <c r="AQ52" i="41"/>
  <c r="AQ50" i="41"/>
  <c r="AQ48" i="41"/>
  <c r="AQ46" i="41"/>
  <c r="AQ44" i="41"/>
  <c r="AQ42" i="41"/>
  <c r="AQ40" i="41"/>
  <c r="AQ38" i="41"/>
  <c r="AQ36" i="41"/>
  <c r="AQ34" i="41"/>
  <c r="AQ32" i="41"/>
  <c r="AQ30" i="41"/>
  <c r="AQ28" i="41"/>
  <c r="AQ26" i="41"/>
  <c r="AQ24" i="41"/>
  <c r="AQ22" i="41"/>
  <c r="AQ20" i="41"/>
  <c r="AQ18" i="41"/>
  <c r="AQ16" i="41"/>
  <c r="AQ14" i="41"/>
  <c r="AR12" i="41"/>
  <c r="AS12" i="41" s="1"/>
  <c r="AR11" i="41"/>
  <c r="AS11" i="41" s="1"/>
  <c r="AQ10" i="41"/>
  <c r="AR9" i="41"/>
  <c r="AS9" i="41" s="1"/>
  <c r="AQ8" i="41"/>
  <c r="BI22" i="41"/>
  <c r="J158" i="40"/>
  <c r="BI17" i="38"/>
  <c r="AL9" i="41" l="1"/>
  <c r="AB9" i="41"/>
  <c r="AL11" i="41"/>
  <c r="AB11" i="41"/>
  <c r="AB8" i="41"/>
  <c r="AL8" i="41"/>
  <c r="AB10" i="41"/>
  <c r="AL10" i="41"/>
  <c r="BI18" i="38"/>
  <c r="AB58" i="41" l="1"/>
  <c r="AN58" i="41"/>
  <c r="AL58" i="41" s="1"/>
  <c r="BI19" i="38"/>
  <c r="C61" i="41" l="1"/>
  <c r="O60" i="38"/>
  <c r="BI20" i="38"/>
  <c r="O64" i="38" l="1"/>
  <c r="AQ10" i="38"/>
  <c r="AQ11" i="38"/>
  <c r="BI21" i="38"/>
  <c r="AQ8" i="38" s="1"/>
  <c r="BI22" i="38" l="1"/>
  <c r="BK17" i="38" l="1"/>
  <c r="BK14" i="38"/>
  <c r="BK13" i="38"/>
  <c r="AR9" i="38" s="1"/>
  <c r="BK16" i="38"/>
  <c r="BK20" i="38"/>
  <c r="BK19" i="38"/>
  <c r="BK12" i="38"/>
  <c r="BK10" i="38"/>
  <c r="BK11" i="38"/>
  <c r="BK15" i="38"/>
  <c r="BK18" i="38"/>
  <c r="BK21" i="38"/>
  <c r="AR8" i="38" s="1"/>
  <c r="BJ22" i="38"/>
  <c r="BE18" i="38"/>
  <c r="BE15" i="38"/>
  <c r="BE11" i="38"/>
  <c r="BE10" i="38"/>
  <c r="BE12" i="38"/>
  <c r="BE19" i="38"/>
  <c r="BE20" i="38"/>
  <c r="BE16" i="38"/>
  <c r="BE13" i="38"/>
  <c r="BE14" i="38"/>
  <c r="BE17" i="38"/>
  <c r="BE21" i="38"/>
  <c r="BB22" i="38"/>
  <c r="BC22" i="38"/>
  <c r="BD22" i="38"/>
  <c r="Q55" i="40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W54" i="40" s="1"/>
  <c r="R35" i="40"/>
  <c r="W53" i="40" s="1"/>
  <c r="R34" i="40"/>
  <c r="W52" i="40" s="1"/>
  <c r="R33" i="40"/>
  <c r="W51" i="40" s="1"/>
  <c r="R32" i="40"/>
  <c r="W50" i="40" s="1"/>
  <c r="R31" i="40"/>
  <c r="W49" i="40" s="1"/>
  <c r="R30" i="40"/>
  <c r="W48" i="40" s="1"/>
  <c r="R29" i="40"/>
  <c r="W47" i="40" s="1"/>
  <c r="R28" i="40"/>
  <c r="W46" i="40" s="1"/>
  <c r="R27" i="40"/>
  <c r="W45" i="40" s="1"/>
  <c r="R26" i="40"/>
  <c r="W44" i="40" s="1"/>
  <c r="Q37" i="40"/>
  <c r="V55" i="40" s="1"/>
  <c r="Z55" i="40" s="1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V47" i="40" s="1"/>
  <c r="Z47" i="40" s="1"/>
  <c r="Q28" i="40"/>
  <c r="V28" i="40" s="1"/>
  <c r="Q27" i="40"/>
  <c r="V45" i="40" s="1"/>
  <c r="Z45" i="40" s="1"/>
  <c r="Q26" i="40"/>
  <c r="V26" i="40" s="1"/>
  <c r="P27" i="40"/>
  <c r="U27" i="40" s="1"/>
  <c r="P28" i="40"/>
  <c r="U28" i="40" s="1"/>
  <c r="W28" i="40" s="1"/>
  <c r="P29" i="40"/>
  <c r="U29" i="40" s="1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U34" i="40" s="1"/>
  <c r="W34" i="40" s="1"/>
  <c r="P35" i="40"/>
  <c r="U35" i="40" s="1"/>
  <c r="P36" i="40"/>
  <c r="U36" i="40" s="1"/>
  <c r="W36" i="40" s="1"/>
  <c r="P37" i="40"/>
  <c r="U37" i="40" s="1"/>
  <c r="P26" i="40"/>
  <c r="U26" i="40" s="1"/>
  <c r="AL8" i="38" l="1"/>
  <c r="AS8" i="38"/>
  <c r="AB8" i="38" s="1"/>
  <c r="AL9" i="38"/>
  <c r="AS9" i="38"/>
  <c r="AR10" i="38"/>
  <c r="AR11" i="38"/>
  <c r="U38" i="40"/>
  <c r="W26" i="40"/>
  <c r="U44" i="40"/>
  <c r="Y44" i="40" s="1"/>
  <c r="U54" i="40"/>
  <c r="Y54" i="40" s="1"/>
  <c r="U52" i="40"/>
  <c r="Y52" i="40" s="1"/>
  <c r="U50" i="40"/>
  <c r="Y50" i="40" s="1"/>
  <c r="U48" i="40"/>
  <c r="Y48" i="40" s="1"/>
  <c r="U46" i="40"/>
  <c r="Y46" i="40" s="1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W29" i="40" s="1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Z58" i="39" s="1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B9" i="38"/>
  <c r="B10" i="38" s="1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53" i="38" s="1"/>
  <c r="B54" i="38" s="1"/>
  <c r="B55" i="38" s="1"/>
  <c r="B56" i="38" s="1"/>
  <c r="B57" i="38" s="1"/>
  <c r="AI1" i="38"/>
  <c r="AR23" i="39" l="1"/>
  <c r="AR44" i="39" s="1"/>
  <c r="AL11" i="38"/>
  <c r="AS11" i="38"/>
  <c r="AL10" i="38"/>
  <c r="AS10" i="38"/>
  <c r="C60" i="38" s="1"/>
  <c r="AA60" i="38" s="1"/>
  <c r="V38" i="40"/>
  <c r="AA48" i="40"/>
  <c r="AA52" i="40"/>
  <c r="AA44" i="40"/>
  <c r="AA46" i="40"/>
  <c r="AA50" i="40"/>
  <c r="AA54" i="40"/>
  <c r="W27" i="40"/>
  <c r="W38" i="40" s="1"/>
  <c r="AN58" i="38"/>
  <c r="AL58" i="38" s="1"/>
  <c r="AR41" i="39" l="1"/>
  <c r="AR43" i="39"/>
  <c r="AR42" i="39"/>
  <c r="AB58" i="38"/>
  <c r="C64" i="38"/>
  <c r="AA56" i="40"/>
  <c r="B54" i="39"/>
  <c r="AR45" i="39" l="1"/>
  <c r="W41" i="39" s="1"/>
  <c r="AA64" i="38"/>
</calcChain>
</file>

<file path=xl/comments1.xml><?xml version="1.0" encoding="utf-8"?>
<comments xmlns="http://schemas.openxmlformats.org/spreadsheetml/2006/main">
  <authors>
    <author>埼玉県</author>
  </authors>
  <commentList>
    <comment ref="Q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comments2.xml><?xml version="1.0" encoding="utf-8"?>
<comments xmlns="http://schemas.openxmlformats.org/spreadsheetml/2006/main">
  <authors>
    <author>埼玉県</author>
  </authors>
  <commentList>
    <comment ref="L6" authorId="0" shapeId="0">
      <text>
        <r>
          <rPr>
            <sz val="9"/>
            <color indexed="81"/>
            <rFont val="MS P ゴシック"/>
            <family val="3"/>
            <charset val="128"/>
          </rPr>
          <t>対象の年式もしくは設置年を選択する。
（おおよそでもよい）</t>
        </r>
      </text>
    </comment>
    <comment ref="N6" authorId="0" shapeId="0">
      <text>
        <r>
          <rPr>
            <sz val="9"/>
            <color indexed="81"/>
            <rFont val="MS P ゴシック"/>
            <family val="3"/>
            <charset val="128"/>
          </rPr>
          <t>ｲﾝﾊﾞｰﾀ搭載の場合、◎を選択する。
その他は空欄のまま。</t>
        </r>
      </text>
    </comment>
    <comment ref="W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年間24以上の数値を入れてください。</t>
        </r>
      </text>
    </comment>
    <comment ref="Z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手動選択をした場合数値を選択します。</t>
        </r>
      </text>
    </comment>
    <comment ref="AL6" authorId="0" shapeId="0">
      <text>
        <r>
          <rPr>
            <sz val="9"/>
            <color indexed="81"/>
            <rFont val="MS P ゴシック"/>
            <family val="3"/>
            <charset val="128"/>
          </rPr>
          <t>記入した負荷率が標準値を超えると警告を表示ます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</commentList>
</comments>
</file>

<file path=xl/comments3.xml><?xml version="1.0" encoding="utf-8"?>
<comments xmlns="http://schemas.openxmlformats.org/spreadsheetml/2006/main">
  <authors>
    <author>埼玉県</author>
  </authors>
  <commentList>
    <comment ref="L6" authorId="0" shapeId="0">
      <text>
        <r>
          <rPr>
            <sz val="9"/>
            <color indexed="81"/>
            <rFont val="MS P ゴシック"/>
            <family val="3"/>
            <charset val="128"/>
          </rPr>
          <t>対象の年式もしくは設置年を選択する。
（おおよそでもよい）</t>
        </r>
      </text>
    </comment>
    <comment ref="N6" authorId="0" shapeId="0">
      <text>
        <r>
          <rPr>
            <sz val="9"/>
            <color indexed="81"/>
            <rFont val="MS P ゴシック"/>
            <family val="3"/>
            <charset val="128"/>
          </rPr>
          <t>ｲﾝﾊﾞｰﾀ搭載の場合、◎を選択する。
その他は空欄のまま。</t>
        </r>
      </text>
    </comment>
    <comment ref="W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年間24以上の数値を入れてください。</t>
        </r>
      </text>
    </comment>
    <comment ref="Z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手動選択をした場合数値を選択します。</t>
        </r>
      </text>
    </comment>
    <comment ref="AL6" authorId="0" shapeId="0">
      <text>
        <r>
          <rPr>
            <sz val="9"/>
            <color indexed="81"/>
            <rFont val="MS P ゴシック"/>
            <family val="3"/>
            <charset val="128"/>
          </rPr>
          <t>記入した負荷率が標準値を超えると警告を表示ます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<sst xmlns="http://schemas.openxmlformats.org/spreadsheetml/2006/main" count="882" uniqueCount="248">
  <si>
    <t>導入設備</t>
    <rPh sb="0" eb="2">
      <t>ドウニュウ</t>
    </rPh>
    <rPh sb="2" eb="4">
      <t>セツビ</t>
    </rPh>
    <phoneticPr fontId="1"/>
  </si>
  <si>
    <t>年</t>
    <rPh sb="0" eb="1">
      <t>ネン</t>
    </rPh>
    <phoneticPr fontId="1"/>
  </si>
  <si>
    <t>導入前</t>
    <rPh sb="0" eb="2">
      <t>ドウニュウ</t>
    </rPh>
    <rPh sb="2" eb="3">
      <t>マエ</t>
    </rPh>
    <phoneticPr fontId="1"/>
  </si>
  <si>
    <t>導入後</t>
    <rPh sb="0" eb="2">
      <t>ドウニュウ</t>
    </rPh>
    <rPh sb="2" eb="3">
      <t>ゴ</t>
    </rPh>
    <phoneticPr fontId="1"/>
  </si>
  <si>
    <t>t-CO2/年</t>
    <rPh sb="6" eb="7">
      <t>ネン</t>
    </rPh>
    <phoneticPr fontId="1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</si>
  <si>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1"/>
  </si>
  <si>
    <t>＝</t>
    <phoneticPr fontId="1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</si>
  <si>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1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</si>
  <si>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1"/>
  </si>
  <si>
    <t>－</t>
    <phoneticPr fontId="1"/>
  </si>
  <si>
    <t>※</t>
    <phoneticPr fontId="1"/>
  </si>
  <si>
    <t>単位</t>
    <rPh sb="0" eb="2">
      <t>タンイ</t>
    </rPh>
    <phoneticPr fontId="1"/>
  </si>
  <si>
    <t>kL</t>
    <phoneticPr fontId="1"/>
  </si>
  <si>
    <t>灯油</t>
    <rPh sb="0" eb="2">
      <t>トウユ</t>
    </rPh>
    <phoneticPr fontId="1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</si>
  <si>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1"/>
  </si>
  <si>
    <t>シート名</t>
    <rPh sb="3" eb="4">
      <t>メイ</t>
    </rPh>
    <phoneticPr fontId="14"/>
  </si>
  <si>
    <t>№</t>
    <phoneticPr fontId="14"/>
  </si>
  <si>
    <t>使用日数</t>
    <rPh sb="0" eb="2">
      <t>シヨウ</t>
    </rPh>
    <rPh sb="2" eb="4">
      <t>ニッスウ</t>
    </rPh>
    <phoneticPr fontId="14"/>
  </si>
  <si>
    <t>消費電力量</t>
    <rPh sb="0" eb="2">
      <t>ショウヒ</t>
    </rPh>
    <rPh sb="2" eb="4">
      <t>デンリョク</t>
    </rPh>
    <rPh sb="4" eb="5">
      <t>リョウ</t>
    </rPh>
    <phoneticPr fontId="14"/>
  </si>
  <si>
    <t>説明等</t>
    <rPh sb="0" eb="2">
      <t>セツメイ</t>
    </rPh>
    <rPh sb="2" eb="3">
      <t>トウ</t>
    </rPh>
    <phoneticPr fontId="14"/>
  </si>
  <si>
    <t>時間/日</t>
    <rPh sb="0" eb="2">
      <t>ジカン</t>
    </rPh>
    <rPh sb="3" eb="4">
      <t>ニチ</t>
    </rPh>
    <phoneticPr fontId="14"/>
  </si>
  <si>
    <t>日/年</t>
    <rPh sb="0" eb="1">
      <t>ニチ</t>
    </rPh>
    <rPh sb="2" eb="3">
      <t>ネン</t>
    </rPh>
    <phoneticPr fontId="14"/>
  </si>
  <si>
    <t>kWh/年</t>
    <rPh sb="4" eb="5">
      <t>ネン</t>
    </rPh>
    <phoneticPr fontId="14"/>
  </si>
  <si>
    <t>電力量合計</t>
    <rPh sb="0" eb="2">
      <t>デンリョク</t>
    </rPh>
    <rPh sb="2" eb="3">
      <t>リョウ</t>
    </rPh>
    <rPh sb="3" eb="5">
      <t>ゴウケイ</t>
    </rPh>
    <phoneticPr fontId="1"/>
  </si>
  <si>
    <t>その他</t>
    <rPh sb="2" eb="3">
      <t>タ</t>
    </rPh>
    <phoneticPr fontId="14"/>
  </si>
  <si>
    <t>燃料の種類</t>
    <rPh sb="0" eb="2">
      <t>ネンリョウ</t>
    </rPh>
    <rPh sb="3" eb="5">
      <t>シュルイ</t>
    </rPh>
    <phoneticPr fontId="1"/>
  </si>
  <si>
    <t>台数</t>
    <rPh sb="0" eb="2">
      <t>ダイスウ</t>
    </rPh>
    <phoneticPr fontId="1"/>
  </si>
  <si>
    <t>排出係数</t>
    <rPh sb="0" eb="2">
      <t>ハイシュツ</t>
    </rPh>
    <rPh sb="2" eb="4">
      <t>ケイスウ</t>
    </rPh>
    <phoneticPr fontId="1"/>
  </si>
  <si>
    <t>省エネ手法</t>
    <rPh sb="0" eb="1">
      <t>ショウ</t>
    </rPh>
    <rPh sb="3" eb="5">
      <t>シュホウ</t>
    </rPh>
    <phoneticPr fontId="1"/>
  </si>
  <si>
    <t>設備の高効率化</t>
    <rPh sb="0" eb="2">
      <t>セツビ</t>
    </rPh>
    <rPh sb="3" eb="7">
      <t>コウコウリツカ</t>
    </rPh>
    <phoneticPr fontId="1"/>
  </si>
  <si>
    <t>A重油</t>
    <rPh sb="1" eb="3">
      <t>ジュウユ</t>
    </rPh>
    <phoneticPr fontId="1"/>
  </si>
  <si>
    <t>燃料転換</t>
    <rPh sb="0" eb="2">
      <t>ネンリョウ</t>
    </rPh>
    <rPh sb="2" eb="4">
      <t>テンカン</t>
    </rPh>
    <phoneticPr fontId="1"/>
  </si>
  <si>
    <t>B・C重油</t>
    <rPh sb="3" eb="5">
      <t>ジュウユ</t>
    </rPh>
    <phoneticPr fontId="1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</si>
  <si>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1"/>
  </si>
  <si>
    <t>LPG</t>
    <phoneticPr fontId="1"/>
  </si>
  <si>
    <t>ｔ</t>
    <phoneticPr fontId="1"/>
  </si>
  <si>
    <t>LNG</t>
    <phoneticPr fontId="1"/>
  </si>
  <si>
    <t>都市ガス(13A:45MJ/m3)</t>
    <rPh sb="0" eb="2">
      <t>トシ</t>
    </rPh>
    <phoneticPr fontId="1"/>
  </si>
  <si>
    <t>千Nm3</t>
    <rPh sb="0" eb="1">
      <t>セン</t>
    </rPh>
    <phoneticPr fontId="1"/>
  </si>
  <si>
    <t>高効率タイプに更新</t>
    <rPh sb="0" eb="3">
      <t>コウコウリツ</t>
    </rPh>
    <rPh sb="7" eb="9">
      <t>コウシン</t>
    </rPh>
    <phoneticPr fontId="1"/>
  </si>
  <si>
    <t>都市ガス(13A:43.12MJ/m3)</t>
    <rPh sb="0" eb="2">
      <t>トシ</t>
    </rPh>
    <phoneticPr fontId="1"/>
  </si>
  <si>
    <t>同効率タイプに更新</t>
    <rPh sb="0" eb="1">
      <t>ドウ</t>
    </rPh>
    <rPh sb="1" eb="3">
      <t>コウリツ</t>
    </rPh>
    <rPh sb="7" eb="9">
      <t>コウシン</t>
    </rPh>
    <phoneticPr fontId="1"/>
  </si>
  <si>
    <t>都市ガス(13A:46.04MJ/m3)</t>
    <rPh sb="0" eb="2">
      <t>トシ</t>
    </rPh>
    <phoneticPr fontId="1"/>
  </si>
  <si>
    <t>バーナー交換</t>
    <rPh sb="4" eb="6">
      <t>コウカン</t>
    </rPh>
    <phoneticPr fontId="1"/>
  </si>
  <si>
    <t>都市ガス(12A:41.86MJ/m3)</t>
    <rPh sb="0" eb="2">
      <t>トシ</t>
    </rPh>
    <phoneticPr fontId="1"/>
  </si>
  <si>
    <t>その他</t>
    <rPh sb="2" eb="3">
      <t>タ</t>
    </rPh>
    <phoneticPr fontId="1"/>
  </si>
  <si>
    <t>都市ガス(6A:29.30MJ/m3)</t>
    <rPh sb="0" eb="2">
      <t>トシ</t>
    </rPh>
    <phoneticPr fontId="1"/>
  </si>
  <si>
    <t>2019年</t>
    <rPh sb="4" eb="5">
      <t>ネン</t>
    </rPh>
    <phoneticPr fontId="14"/>
  </si>
  <si>
    <t>貫流ボイラ</t>
    <rPh sb="0" eb="2">
      <t>カンリュウ</t>
    </rPh>
    <phoneticPr fontId="14"/>
  </si>
  <si>
    <t>2018年</t>
    <rPh sb="4" eb="5">
      <t>ネン</t>
    </rPh>
    <phoneticPr fontId="14"/>
  </si>
  <si>
    <t>強制循環ボイラ</t>
    <rPh sb="0" eb="2">
      <t>キョウセイ</t>
    </rPh>
    <rPh sb="2" eb="4">
      <t>ジュンカン</t>
    </rPh>
    <phoneticPr fontId="14"/>
  </si>
  <si>
    <t>2017年</t>
    <rPh sb="4" eb="5">
      <t>ネン</t>
    </rPh>
    <phoneticPr fontId="14"/>
  </si>
  <si>
    <t>自然循環ボイラ</t>
    <rPh sb="0" eb="2">
      <t>シゼン</t>
    </rPh>
    <rPh sb="2" eb="4">
      <t>ジュンカン</t>
    </rPh>
    <phoneticPr fontId="14"/>
  </si>
  <si>
    <t>2016年</t>
    <rPh sb="4" eb="5">
      <t>ネン</t>
    </rPh>
    <phoneticPr fontId="14"/>
  </si>
  <si>
    <t>煙管ボイラ</t>
    <rPh sb="0" eb="2">
      <t>エンカン</t>
    </rPh>
    <phoneticPr fontId="14"/>
  </si>
  <si>
    <t>名称・型式等</t>
    <rPh sb="0" eb="2">
      <t>メイショウ</t>
    </rPh>
    <rPh sb="3" eb="5">
      <t>カタシキ</t>
    </rPh>
    <rPh sb="5" eb="6">
      <t>トウ</t>
    </rPh>
    <phoneticPr fontId="14"/>
  </si>
  <si>
    <t>方式</t>
    <rPh sb="0" eb="2">
      <t>ホウシキ</t>
    </rPh>
    <phoneticPr fontId="14"/>
  </si>
  <si>
    <t>年式等</t>
    <rPh sb="0" eb="2">
      <t>ネンシキ</t>
    </rPh>
    <rPh sb="2" eb="3">
      <t>トウ</t>
    </rPh>
    <phoneticPr fontId="14"/>
  </si>
  <si>
    <t>昨年度燃料使用量</t>
    <rPh sb="0" eb="3">
      <t>サクネンド</t>
    </rPh>
    <rPh sb="3" eb="5">
      <t>ネンリョウ</t>
    </rPh>
    <rPh sb="5" eb="8">
      <t>シヨウリョウ</t>
    </rPh>
    <phoneticPr fontId="1"/>
  </si>
  <si>
    <t>ボイラ効率</t>
    <rPh sb="3" eb="5">
      <t>コウリツ</t>
    </rPh>
    <phoneticPr fontId="1"/>
  </si>
  <si>
    <t>ｔ-ＣＯ₂／年</t>
    <rPh sb="6" eb="7">
      <t>ネン</t>
    </rPh>
    <phoneticPr fontId="14"/>
  </si>
  <si>
    <t>2015年</t>
    <rPh sb="4" eb="5">
      <t>ネン</t>
    </rPh>
    <phoneticPr fontId="14"/>
  </si>
  <si>
    <t>炉筒ボイラ</t>
    <rPh sb="0" eb="2">
      <t>ロトウ</t>
    </rPh>
    <phoneticPr fontId="14"/>
  </si>
  <si>
    <t>2014年</t>
    <rPh sb="4" eb="5">
      <t>ネン</t>
    </rPh>
    <phoneticPr fontId="14"/>
  </si>
  <si>
    <t>炉筒煙管ボイラ</t>
    <rPh sb="0" eb="2">
      <t>ロトウ</t>
    </rPh>
    <rPh sb="2" eb="4">
      <t>エンカン</t>
    </rPh>
    <phoneticPr fontId="14"/>
  </si>
  <si>
    <t>2013年</t>
    <rPh sb="4" eb="5">
      <t>ネン</t>
    </rPh>
    <phoneticPr fontId="14"/>
  </si>
  <si>
    <t>立てボイラ</t>
    <rPh sb="0" eb="1">
      <t>タ</t>
    </rPh>
    <phoneticPr fontId="14"/>
  </si>
  <si>
    <t>2012年</t>
    <rPh sb="4" eb="5">
      <t>ネン</t>
    </rPh>
    <phoneticPr fontId="14"/>
  </si>
  <si>
    <t>セクショナルボイラ</t>
    <phoneticPr fontId="14"/>
  </si>
  <si>
    <t>2011年</t>
    <rPh sb="4" eb="5">
      <t>ネン</t>
    </rPh>
    <phoneticPr fontId="14"/>
  </si>
  <si>
    <t>2010年</t>
    <rPh sb="4" eb="5">
      <t>ネン</t>
    </rPh>
    <phoneticPr fontId="14"/>
  </si>
  <si>
    <t>2009年</t>
    <rPh sb="4" eb="5">
      <t>ネン</t>
    </rPh>
    <phoneticPr fontId="14"/>
  </si>
  <si>
    <t>2008年</t>
    <rPh sb="4" eb="5">
      <t>ネン</t>
    </rPh>
    <phoneticPr fontId="14"/>
  </si>
  <si>
    <t>2007年</t>
    <rPh sb="4" eb="5">
      <t>ネン</t>
    </rPh>
    <phoneticPr fontId="14"/>
  </si>
  <si>
    <t>2006年</t>
    <rPh sb="4" eb="5">
      <t>ネン</t>
    </rPh>
    <phoneticPr fontId="14"/>
  </si>
  <si>
    <t>2005年</t>
    <rPh sb="4" eb="5">
      <t>ネン</t>
    </rPh>
    <phoneticPr fontId="14"/>
  </si>
  <si>
    <t>2004年</t>
    <rPh sb="4" eb="5">
      <t>ネン</t>
    </rPh>
    <phoneticPr fontId="14"/>
  </si>
  <si>
    <t>2003年</t>
    <rPh sb="4" eb="5">
      <t>ネン</t>
    </rPh>
    <phoneticPr fontId="14"/>
  </si>
  <si>
    <t>2002年</t>
    <rPh sb="4" eb="5">
      <t>ネン</t>
    </rPh>
    <phoneticPr fontId="14"/>
  </si>
  <si>
    <t>2001年</t>
    <rPh sb="4" eb="5">
      <t>ネン</t>
    </rPh>
    <phoneticPr fontId="14"/>
  </si>
  <si>
    <t>2000年</t>
    <rPh sb="4" eb="5">
      <t>ネン</t>
    </rPh>
    <phoneticPr fontId="14"/>
  </si>
  <si>
    <t>1999年</t>
    <rPh sb="4" eb="5">
      <t>ネン</t>
    </rPh>
    <phoneticPr fontId="14"/>
  </si>
  <si>
    <t>1998年</t>
    <rPh sb="4" eb="5">
      <t>ネン</t>
    </rPh>
    <phoneticPr fontId="14"/>
  </si>
  <si>
    <t>1997年</t>
    <rPh sb="4" eb="5">
      <t>ネン</t>
    </rPh>
    <phoneticPr fontId="14"/>
  </si>
  <si>
    <t>1996年</t>
    <rPh sb="4" eb="5">
      <t>ネン</t>
    </rPh>
    <phoneticPr fontId="14"/>
  </si>
  <si>
    <t>1995年</t>
    <rPh sb="4" eb="5">
      <t>ネン</t>
    </rPh>
    <phoneticPr fontId="14"/>
  </si>
  <si>
    <t>1994年</t>
    <rPh sb="4" eb="5">
      <t>ネン</t>
    </rPh>
    <phoneticPr fontId="14"/>
  </si>
  <si>
    <t>1993年</t>
    <rPh sb="4" eb="5">
      <t>ネン</t>
    </rPh>
    <phoneticPr fontId="14"/>
  </si>
  <si>
    <t>1992年</t>
    <rPh sb="4" eb="5">
      <t>ネン</t>
    </rPh>
    <phoneticPr fontId="14"/>
  </si>
  <si>
    <t>1991年</t>
    <rPh sb="4" eb="5">
      <t>ネン</t>
    </rPh>
    <phoneticPr fontId="14"/>
  </si>
  <si>
    <t>1990年</t>
    <rPh sb="4" eb="5">
      <t>ネン</t>
    </rPh>
    <phoneticPr fontId="14"/>
  </si>
  <si>
    <t>1989年</t>
    <rPh sb="4" eb="5">
      <t>ネン</t>
    </rPh>
    <phoneticPr fontId="14"/>
  </si>
  <si>
    <t>1988年</t>
    <rPh sb="4" eb="5">
      <t>ネン</t>
    </rPh>
    <phoneticPr fontId="14"/>
  </si>
  <si>
    <t>1987年</t>
    <rPh sb="4" eb="5">
      <t>ネン</t>
    </rPh>
    <phoneticPr fontId="14"/>
  </si>
  <si>
    <t>1986年</t>
    <rPh sb="4" eb="5">
      <t>ネン</t>
    </rPh>
    <phoneticPr fontId="14"/>
  </si>
  <si>
    <t>1985年</t>
    <rPh sb="4" eb="5">
      <t>ネン</t>
    </rPh>
    <phoneticPr fontId="14"/>
  </si>
  <si>
    <t>1984年</t>
    <rPh sb="4" eb="5">
      <t>ネン</t>
    </rPh>
    <phoneticPr fontId="14"/>
  </si>
  <si>
    <t>1983年</t>
    <rPh sb="4" eb="5">
      <t>ネン</t>
    </rPh>
    <phoneticPr fontId="14"/>
  </si>
  <si>
    <t>1982年</t>
    <rPh sb="4" eb="5">
      <t>ネン</t>
    </rPh>
    <phoneticPr fontId="14"/>
  </si>
  <si>
    <t>1981年</t>
    <rPh sb="4" eb="5">
      <t>ネン</t>
    </rPh>
    <phoneticPr fontId="14"/>
  </si>
  <si>
    <t>1980年</t>
    <rPh sb="4" eb="5">
      <t>ネン</t>
    </rPh>
    <phoneticPr fontId="14"/>
  </si>
  <si>
    <t>1979年</t>
    <rPh sb="4" eb="5">
      <t>ネン</t>
    </rPh>
    <phoneticPr fontId="14"/>
  </si>
  <si>
    <t>1978年</t>
    <rPh sb="4" eb="5">
      <t>ネン</t>
    </rPh>
    <phoneticPr fontId="14"/>
  </si>
  <si>
    <t>1977年</t>
    <rPh sb="4" eb="5">
      <t>ネン</t>
    </rPh>
    <phoneticPr fontId="14"/>
  </si>
  <si>
    <t>1976年</t>
    <rPh sb="4" eb="5">
      <t>ネン</t>
    </rPh>
    <phoneticPr fontId="14"/>
  </si>
  <si>
    <t>1975年</t>
    <rPh sb="4" eb="5">
      <t>ネン</t>
    </rPh>
    <phoneticPr fontId="14"/>
  </si>
  <si>
    <t>1974年</t>
    <rPh sb="4" eb="5">
      <t>ネン</t>
    </rPh>
    <phoneticPr fontId="14"/>
  </si>
  <si>
    <t>1973年</t>
    <rPh sb="4" eb="5">
      <t>ネン</t>
    </rPh>
    <phoneticPr fontId="14"/>
  </si>
  <si>
    <t>1972年</t>
    <rPh sb="4" eb="5">
      <t>ネン</t>
    </rPh>
    <phoneticPr fontId="14"/>
  </si>
  <si>
    <t>1971年</t>
    <rPh sb="4" eb="5">
      <t>ネン</t>
    </rPh>
    <phoneticPr fontId="14"/>
  </si>
  <si>
    <t>1970年</t>
    <rPh sb="4" eb="5">
      <t>ネン</t>
    </rPh>
    <phoneticPr fontId="14"/>
  </si>
  <si>
    <t>1969年</t>
    <rPh sb="4" eb="5">
      <t>ネン</t>
    </rPh>
    <phoneticPr fontId="14"/>
  </si>
  <si>
    <t>1968年</t>
    <rPh sb="4" eb="5">
      <t>ネン</t>
    </rPh>
    <phoneticPr fontId="14"/>
  </si>
  <si>
    <t>1967年</t>
    <rPh sb="4" eb="5">
      <t>ネン</t>
    </rPh>
    <phoneticPr fontId="14"/>
  </si>
  <si>
    <t>1966年</t>
    <rPh sb="4" eb="5">
      <t>ネン</t>
    </rPh>
    <phoneticPr fontId="14"/>
  </si>
  <si>
    <t>1965年</t>
    <rPh sb="4" eb="5">
      <t>ネン</t>
    </rPh>
    <phoneticPr fontId="14"/>
  </si>
  <si>
    <t>1964年</t>
    <rPh sb="4" eb="5">
      <t>ネン</t>
    </rPh>
    <phoneticPr fontId="14"/>
  </si>
  <si>
    <t>1963年</t>
    <rPh sb="4" eb="5">
      <t>ネン</t>
    </rPh>
    <phoneticPr fontId="14"/>
  </si>
  <si>
    <t>1962年</t>
    <rPh sb="4" eb="5">
      <t>ネン</t>
    </rPh>
    <phoneticPr fontId="14"/>
  </si>
  <si>
    <t>1961年</t>
    <rPh sb="4" eb="5">
      <t>ネン</t>
    </rPh>
    <phoneticPr fontId="14"/>
  </si>
  <si>
    <t>1960年</t>
    <rPh sb="4" eb="5">
      <t>ネン</t>
    </rPh>
    <phoneticPr fontId="14"/>
  </si>
  <si>
    <t>導入前の電力量</t>
    <rPh sb="0" eb="2">
      <t>ドウニュウ</t>
    </rPh>
    <rPh sb="2" eb="3">
      <t>マエ</t>
    </rPh>
    <rPh sb="4" eb="6">
      <t>デンリョク</t>
    </rPh>
    <rPh sb="6" eb="7">
      <t>リョウ</t>
    </rPh>
    <phoneticPr fontId="1"/>
  </si>
  <si>
    <t>導入後の電力量</t>
    <rPh sb="0" eb="2">
      <t>ドウニュウ</t>
    </rPh>
    <rPh sb="2" eb="3">
      <t>ゴ</t>
    </rPh>
    <rPh sb="4" eb="6">
      <t>デンリョク</t>
    </rPh>
    <rPh sb="6" eb="7">
      <t>リョウ</t>
    </rPh>
    <phoneticPr fontId="1"/>
  </si>
  <si>
    <t>kWh/年</t>
    <rPh sb="4" eb="5">
      <t>ネン</t>
    </rPh>
    <phoneticPr fontId="1"/>
  </si>
  <si>
    <t>電力削減予測量</t>
    <rPh sb="0" eb="2">
      <t>デンリョク</t>
    </rPh>
    <rPh sb="2" eb="4">
      <t>サクゲン</t>
    </rPh>
    <rPh sb="4" eb="6">
      <t>ヨソク</t>
    </rPh>
    <rPh sb="6" eb="7">
      <t>リョウ</t>
    </rPh>
    <phoneticPr fontId="1"/>
  </si>
  <si>
    <t>台数</t>
    <rPh sb="0" eb="2">
      <t>ダイスウ</t>
    </rPh>
    <phoneticPr fontId="14"/>
  </si>
  <si>
    <t>高位発熱量</t>
    <rPh sb="0" eb="2">
      <t>コウイ</t>
    </rPh>
    <rPh sb="2" eb="4">
      <t>ハツネツ</t>
    </rPh>
    <rPh sb="4" eb="5">
      <t>リョウ</t>
    </rPh>
    <phoneticPr fontId="1"/>
  </si>
  <si>
    <t>低位発熱量</t>
    <rPh sb="0" eb="2">
      <t>テイイ</t>
    </rPh>
    <rPh sb="2" eb="4">
      <t>ハツネツ</t>
    </rPh>
    <rPh sb="4" eb="5">
      <t>リョウ</t>
    </rPh>
    <phoneticPr fontId="14"/>
  </si>
  <si>
    <t>使用按分</t>
    <rPh sb="0" eb="2">
      <t>シヨウ</t>
    </rPh>
    <rPh sb="2" eb="4">
      <t>アンブン</t>
    </rPh>
    <phoneticPr fontId="14"/>
  </si>
  <si>
    <t>按分合計</t>
    <rPh sb="0" eb="2">
      <t>アンブン</t>
    </rPh>
    <rPh sb="2" eb="4">
      <t>ゴウケイ</t>
    </rPh>
    <phoneticPr fontId="14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</si>
  <si>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1"/>
  </si>
  <si>
    <t>必要熱量GJ</t>
    <rPh sb="0" eb="2">
      <t>ヒツヨウ</t>
    </rPh>
    <rPh sb="2" eb="4">
      <t>ネツリョウ</t>
    </rPh>
    <phoneticPr fontId="14"/>
  </si>
  <si>
    <t>●既存ボイラ</t>
    <rPh sb="1" eb="3">
      <t>キゾン</t>
    </rPh>
    <phoneticPr fontId="1"/>
  </si>
  <si>
    <t>●導入予定ボイラ</t>
    <rPh sb="1" eb="3">
      <t>ドウニュウ</t>
    </rPh>
    <rPh sb="3" eb="5">
      <t>ヨテイ</t>
    </rPh>
    <phoneticPr fontId="1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</si>
  <si>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1"/>
  </si>
  <si>
    <t>名称・型式等</t>
    <rPh sb="0" eb="2">
      <t>メイショウ</t>
    </rPh>
    <rPh sb="3" eb="5">
      <t>カタシキ</t>
    </rPh>
    <rPh sb="5" eb="6">
      <t>トウ</t>
    </rPh>
    <phoneticPr fontId="14"/>
  </si>
  <si>
    <t>燃料消費量</t>
    <rPh sb="0" eb="2">
      <t>ネンリョウ</t>
    </rPh>
    <rPh sb="2" eb="5">
      <t>ショウヒリョウ</t>
    </rPh>
    <phoneticPr fontId="14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</si>
  <si>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4"/>
  </si>
  <si>
    <t>単位</t>
    <rPh sb="0" eb="2">
      <t>タンイ</t>
    </rPh>
    <phoneticPr fontId="14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</si>
  <si>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4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</si>
  <si>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4"/>
  </si>
  <si>
    <t>（２）エネルギー使用状況</t>
    <rPh sb="8" eb="10">
      <t>シヨウ</t>
    </rPh>
    <rPh sb="10" eb="12">
      <t>ジョウキョウ</t>
    </rPh>
    <phoneticPr fontId="14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</si>
  <si>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1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</si>
  <si>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1"/>
  </si>
  <si>
    <t>按分値は合計を １ にすること！</t>
    <rPh sb="0" eb="2">
      <t>アンブン</t>
    </rPh>
    <rPh sb="2" eb="3">
      <t>チ</t>
    </rPh>
    <rPh sb="4" eb="6">
      <t>ゴウケイ</t>
    </rPh>
    <phoneticPr fontId="14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</si>
  <si>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4"/>
  </si>
  <si>
    <t>ｋW</t>
    <phoneticPr fontId="14"/>
  </si>
  <si>
    <t>使用
時間</t>
    <rPh sb="0" eb="2">
      <t>シヨウ</t>
    </rPh>
    <rPh sb="4" eb="5">
      <t>アイダ</t>
    </rPh>
    <phoneticPr fontId="14"/>
  </si>
  <si>
    <t>負荷率</t>
    <rPh sb="0" eb="2">
      <t>フカ</t>
    </rPh>
    <rPh sb="2" eb="3">
      <t>リツ</t>
    </rPh>
    <phoneticPr fontId="14"/>
  </si>
  <si>
    <t>％</t>
    <phoneticPr fontId="14"/>
  </si>
  <si>
    <t>台数</t>
    <rPh sb="0" eb="1">
      <t>ダイ</t>
    </rPh>
    <phoneticPr fontId="14"/>
  </si>
  <si>
    <t>台</t>
    <rPh sb="0" eb="1">
      <t>ダイ</t>
    </rPh>
    <phoneticPr fontId="14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</si>
  <si>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1"/>
  </si>
  <si>
    <t>店舗</t>
    <rPh sb="0" eb="2">
      <t>テンポ</t>
    </rPh>
    <phoneticPr fontId="16"/>
  </si>
  <si>
    <t>事務所</t>
    <rPh sb="0" eb="2">
      <t>ジム</t>
    </rPh>
    <rPh sb="2" eb="3">
      <t>ショ</t>
    </rPh>
    <phoneticPr fontId="16"/>
  </si>
  <si>
    <t>冷房</t>
    <rPh sb="0" eb="2">
      <t>レイボウ</t>
    </rPh>
    <phoneticPr fontId="1"/>
  </si>
  <si>
    <t>冷房</t>
    <rPh sb="0" eb="2">
      <t>レイボウ</t>
    </rPh>
    <phoneticPr fontId="16"/>
  </si>
  <si>
    <t>暖房</t>
    <rPh sb="0" eb="2">
      <t>ダンボウ</t>
    </rPh>
    <phoneticPr fontId="1"/>
  </si>
  <si>
    <t>暖房</t>
    <rPh sb="0" eb="2">
      <t>ダンボウ</t>
    </rPh>
    <phoneticPr fontId="16"/>
  </si>
  <si>
    <t>県北</t>
    <rPh sb="0" eb="2">
      <t>ケンホク</t>
    </rPh>
    <phoneticPr fontId="16"/>
  </si>
  <si>
    <t>県南</t>
    <rPh sb="0" eb="1">
      <t>ケン</t>
    </rPh>
    <rPh sb="1" eb="2">
      <t>ナン</t>
    </rPh>
    <phoneticPr fontId="16"/>
  </si>
  <si>
    <t>4月</t>
    <rPh sb="1" eb="2">
      <t>ガツ</t>
    </rPh>
    <phoneticPr fontId="1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</si>
  <si>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</si>
  <si>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</si>
  <si>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</si>
  <si>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</si>
  <si>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</si>
  <si>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</si>
  <si>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</si>
  <si>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</si>
  <si>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</si>
  <si>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</si>
  <si>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</si>
  <si>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16"/>
  </si>
  <si>
    <t>ＪＩＳＢ8616</t>
    <phoneticPr fontId="16"/>
  </si>
  <si>
    <t>稼働割合</t>
    <rPh sb="0" eb="2">
      <t>カドウ</t>
    </rPh>
    <rPh sb="2" eb="4">
      <t>ワリアイ</t>
    </rPh>
    <phoneticPr fontId="16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</si>
  <si>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4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</si>
  <si>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4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</si>
  <si>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4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</si>
  <si>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4"/>
  </si>
  <si>
    <t>年平均</t>
    <rPh sb="0" eb="3">
      <t>ネンヘイキン</t>
    </rPh>
    <phoneticPr fontId="14"/>
  </si>
  <si>
    <t>年平均</t>
    <rPh sb="0" eb="1">
      <t>ネン</t>
    </rPh>
    <rPh sb="1" eb="3">
      <t>ヘイキン</t>
    </rPh>
    <phoneticPr fontId="14"/>
  </si>
  <si>
    <t>最大値</t>
    <rPh sb="0" eb="2">
      <t>サイダイ</t>
    </rPh>
    <rPh sb="2" eb="3">
      <t>チ</t>
    </rPh>
    <phoneticPr fontId="14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</si>
  <si>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4"/>
  </si>
  <si>
    <t>平均</t>
    <rPh sb="0" eb="2">
      <t>ヘイキン</t>
    </rPh>
    <phoneticPr fontId="14"/>
  </si>
  <si>
    <t>引用値</t>
    <rPh sb="0" eb="2">
      <t>インヨウ</t>
    </rPh>
    <rPh sb="2" eb="3">
      <t>チ</t>
    </rPh>
    <phoneticPr fontId="14"/>
  </si>
  <si>
    <t>4月</t>
    <rPh sb="1" eb="2">
      <t>ガツ</t>
    </rPh>
    <phoneticPr fontId="14"/>
  </si>
  <si>
    <t>負荷×稼働率</t>
    <rPh sb="0" eb="2">
      <t>フカ</t>
    </rPh>
    <rPh sb="3" eb="5">
      <t>カドウ</t>
    </rPh>
    <rPh sb="5" eb="6">
      <t>リツ</t>
    </rPh>
    <phoneticPr fontId="14"/>
  </si>
  <si>
    <t>採用値１</t>
    <rPh sb="0" eb="2">
      <t>サイヨウ</t>
    </rPh>
    <rPh sb="2" eb="3">
      <t>チ</t>
    </rPh>
    <phoneticPr fontId="14"/>
  </si>
  <si>
    <t>採用値２</t>
    <rPh sb="0" eb="2">
      <t>サイヨウ</t>
    </rPh>
    <rPh sb="2" eb="3">
      <t>チ</t>
    </rPh>
    <phoneticPr fontId="14"/>
  </si>
  <si>
    <t>ＪＩＳＢ8616より</t>
    <phoneticPr fontId="14"/>
  </si>
  <si>
    <t>年式</t>
    <rPh sb="0" eb="2">
      <t>ネンシキ</t>
    </rPh>
    <phoneticPr fontId="1"/>
  </si>
  <si>
    <t>種別</t>
    <rPh sb="0" eb="2">
      <t>シュベツ</t>
    </rPh>
    <phoneticPr fontId="1"/>
  </si>
  <si>
    <t>選択対象地域</t>
    <rPh sb="0" eb="2">
      <t>センタク</t>
    </rPh>
    <rPh sb="2" eb="4">
      <t>タイショウ</t>
    </rPh>
    <rPh sb="4" eb="6">
      <t>チイキ</t>
    </rPh>
    <phoneticPr fontId="1"/>
  </si>
  <si>
    <t>列数</t>
    <rPh sb="0" eb="2">
      <t>レツスウ</t>
    </rPh>
    <phoneticPr fontId="1"/>
  </si>
  <si>
    <t>対象負荷列</t>
    <rPh sb="0" eb="2">
      <t>タイショウ</t>
    </rPh>
    <rPh sb="2" eb="4">
      <t>フカ</t>
    </rPh>
    <rPh sb="4" eb="5">
      <t>レツ</t>
    </rPh>
    <phoneticPr fontId="1"/>
  </si>
  <si>
    <t>平均COP計数表ａ</t>
    <rPh sb="0" eb="2">
      <t>ヘイキン</t>
    </rPh>
    <rPh sb="5" eb="7">
      <t>ケイスウ</t>
    </rPh>
    <rPh sb="7" eb="8">
      <t>ピョウ</t>
    </rPh>
    <phoneticPr fontId="16"/>
  </si>
  <si>
    <t>平均COP計数表ｂ</t>
    <rPh sb="0" eb="2">
      <t>ヘイキン</t>
    </rPh>
    <rPh sb="5" eb="7">
      <t>ケイスウ</t>
    </rPh>
    <rPh sb="7" eb="8">
      <t>ピョウ</t>
    </rPh>
    <phoneticPr fontId="16"/>
  </si>
  <si>
    <t>ＩＮＶ</t>
    <phoneticPr fontId="16"/>
  </si>
  <si>
    <t>一定速</t>
    <rPh sb="0" eb="2">
      <t>イッテイ</t>
    </rPh>
    <rPh sb="2" eb="3">
      <t>ソク</t>
    </rPh>
    <phoneticPr fontId="16"/>
  </si>
  <si>
    <t>店舗用</t>
    <rPh sb="0" eb="2">
      <t>テンポ</t>
    </rPh>
    <rPh sb="2" eb="3">
      <t>ヨウ</t>
    </rPh>
    <phoneticPr fontId="16"/>
  </si>
  <si>
    <t>設備用</t>
    <rPh sb="0" eb="2">
      <t>セツビ</t>
    </rPh>
    <rPh sb="2" eb="3">
      <t>ヨウ</t>
    </rPh>
    <phoneticPr fontId="16"/>
  </si>
  <si>
    <t>25%未満</t>
    <rPh sb="3" eb="5">
      <t>ミマン</t>
    </rPh>
    <phoneticPr fontId="16"/>
  </si>
  <si>
    <t>25%以上</t>
    <rPh sb="3" eb="5">
      <t>イジョウ</t>
    </rPh>
    <phoneticPr fontId="16"/>
  </si>
  <si>
    <t>a 冷房</t>
    <rPh sb="2" eb="4">
      <t>レイボウ</t>
    </rPh>
    <phoneticPr fontId="16"/>
  </si>
  <si>
    <t>a 暖房</t>
    <rPh sb="2" eb="3">
      <t>ダン</t>
    </rPh>
    <phoneticPr fontId="16"/>
  </si>
  <si>
    <t>b　冷房</t>
    <rPh sb="2" eb="4">
      <t>レイボウ</t>
    </rPh>
    <phoneticPr fontId="16"/>
  </si>
  <si>
    <t>ｂ　暖房</t>
    <rPh sb="2" eb="4">
      <t>ダンボウ</t>
    </rPh>
    <phoneticPr fontId="16"/>
  </si>
  <si>
    <t>y = a x + b</t>
    <phoneticPr fontId="14"/>
  </si>
  <si>
    <t>INV</t>
  </si>
  <si>
    <t>INV</t>
    <phoneticPr fontId="14"/>
  </si>
  <si>
    <t>一定速</t>
    <rPh sb="0" eb="2">
      <t>イッテイ</t>
    </rPh>
    <rPh sb="2" eb="3">
      <t>ソク</t>
    </rPh>
    <phoneticPr fontId="14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</si>
  <si>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4"/>
  </si>
  <si>
    <t>平均COP計数表b</t>
    <rPh sb="0" eb="2">
      <t>ヘイキン</t>
    </rPh>
    <rPh sb="5" eb="7">
      <t>ケイスウ</t>
    </rPh>
    <rPh sb="7" eb="8">
      <t>ピョウ</t>
    </rPh>
    <phoneticPr fontId="16"/>
  </si>
  <si>
    <t>COP補正</t>
    <rPh sb="3" eb="5">
      <t>ホセイ</t>
    </rPh>
    <phoneticPr fontId="14"/>
  </si>
  <si>
    <t>1995年以前</t>
    <rPh sb="4" eb="5">
      <t>ネン</t>
    </rPh>
    <rPh sb="5" eb="7">
      <t>イゼン</t>
    </rPh>
    <phoneticPr fontId="14"/>
  </si>
  <si>
    <t>2015年以降</t>
    <rPh sb="4" eb="5">
      <t>ネン</t>
    </rPh>
    <rPh sb="5" eb="7">
      <t>イコウ</t>
    </rPh>
    <phoneticPr fontId="14"/>
  </si>
  <si>
    <t>負荷率</t>
    <rPh sb="0" eb="2">
      <t>フカ</t>
    </rPh>
    <rPh sb="2" eb="3">
      <t>リツ</t>
    </rPh>
    <phoneticPr fontId="14"/>
  </si>
  <si>
    <t>不明</t>
    <rPh sb="0" eb="2">
      <t>フメイ</t>
    </rPh>
    <phoneticPr fontId="14"/>
  </si>
  <si>
    <t>取得値</t>
    <rPh sb="0" eb="2">
      <t>シュトク</t>
    </rPh>
    <rPh sb="2" eb="3">
      <t>トクネ</t>
    </rPh>
    <phoneticPr fontId="14"/>
  </si>
  <si>
    <t>冷房</t>
    <rPh sb="0" eb="2">
      <t>レイボウ</t>
    </rPh>
    <phoneticPr fontId="14"/>
  </si>
  <si>
    <t>暖房</t>
    <rPh sb="0" eb="2">
      <t>ダンボウ</t>
    </rPh>
    <phoneticPr fontId="14"/>
  </si>
  <si>
    <r>
      <t xml:space="preserve">《負荷率の選択》
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" eb="3">
      <t>フカ</t>
    </rPh>
    <rPh sb="3" eb="4">
      <t>リツ</t>
    </rPh>
    <rPh sb="5" eb="7">
      <t>センタク</t>
    </rPh>
    <rPh sb="10" eb="11">
      <t>ミギ</t>
    </rPh>
    <rPh sb="17" eb="19">
      <t>センタク</t>
    </rPh>
    <phoneticPr fontId="1"/>
  </si>
  <si>
    <t>冷暖房平均</t>
    <rPh sb="0" eb="3">
      <t>レイダンボウ</t>
    </rPh>
    <rPh sb="3" eb="5">
      <t>ヘイキン</t>
    </rPh>
    <phoneticPr fontId="14"/>
  </si>
  <si>
    <t>負荷率の可否</t>
    <rPh sb="0" eb="2">
      <t>フカ</t>
    </rPh>
    <rPh sb="2" eb="3">
      <t>リツ</t>
    </rPh>
    <rPh sb="4" eb="6">
      <t>カヒ</t>
    </rPh>
    <phoneticPr fontId="14"/>
  </si>
  <si>
    <t xml:space="preserve"> (下表の負荷率欄に数値を選択します。）</t>
    <rPh sb="2" eb="3">
      <t>シタ</t>
    </rPh>
    <rPh sb="3" eb="4">
      <t>ヒョウ</t>
    </rPh>
    <rPh sb="5" eb="7">
      <t>フカ</t>
    </rPh>
    <rPh sb="7" eb="8">
      <t>リツ</t>
    </rPh>
    <rPh sb="8" eb="9">
      <t>ラン</t>
    </rPh>
    <rPh sb="10" eb="12">
      <t>スウチ</t>
    </rPh>
    <rPh sb="13" eb="15">
      <t>センタク</t>
    </rPh>
    <phoneticPr fontId="14"/>
  </si>
  <si>
    <t xml:space="preserve"> (下表の負荷率欄に数値を選択します。設備の劣化は計算に反映されません。）</t>
    <rPh sb="2" eb="3">
      <t>シタ</t>
    </rPh>
    <rPh sb="3" eb="4">
      <t>ヒョウ</t>
    </rPh>
    <rPh sb="5" eb="7">
      <t>フカ</t>
    </rPh>
    <rPh sb="7" eb="8">
      <t>リツ</t>
    </rPh>
    <rPh sb="8" eb="9">
      <t>ラン</t>
    </rPh>
    <rPh sb="10" eb="12">
      <t>スウチ</t>
    </rPh>
    <rPh sb="13" eb="15">
      <t>センタク</t>
    </rPh>
    <rPh sb="19" eb="21">
      <t>セツビ</t>
    </rPh>
    <rPh sb="22" eb="24">
      <t>レッカ</t>
    </rPh>
    <rPh sb="25" eb="27">
      <t>ケイサン</t>
    </rPh>
    <rPh sb="28" eb="30">
      <t>ハンエイ</t>
    </rPh>
    <phoneticPr fontId="14"/>
  </si>
  <si>
    <t xml:space="preserve">導入後（空調用） </t>
    <rPh sb="0" eb="2">
      <t>ドウニュウ</t>
    </rPh>
    <rPh sb="2" eb="3">
      <t>ゴ</t>
    </rPh>
    <rPh sb="4" eb="6">
      <t>クウチョウ</t>
    </rPh>
    <rPh sb="6" eb="7">
      <t>ヨウ</t>
    </rPh>
    <phoneticPr fontId="14"/>
  </si>
  <si>
    <t xml:space="preserve">導入前（空調用） </t>
    <rPh sb="0" eb="2">
      <t>ドウニュウ</t>
    </rPh>
    <rPh sb="2" eb="3">
      <t>マエ</t>
    </rPh>
    <rPh sb="4" eb="6">
      <t>クウチョウ</t>
    </rPh>
    <rPh sb="6" eb="7">
      <t>ヨウ</t>
    </rPh>
    <phoneticPr fontId="14"/>
  </si>
  <si>
    <t>《負荷率の選択》</t>
    <rPh sb="1" eb="3">
      <t>フカ</t>
    </rPh>
    <rPh sb="3" eb="4">
      <t>リツ</t>
    </rPh>
    <rPh sb="5" eb="7">
      <t>センタク</t>
    </rPh>
    <phoneticPr fontId="1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</si>
  <si>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</si>
  <si>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4"/>
  </si>
  <si>
    <t>※年間稼働日数から期間の適切な負荷率を設定する。</t>
    <rPh sb="1" eb="3">
      <t>ネンカン</t>
    </rPh>
    <rPh sb="3" eb="5">
      <t>カドウ</t>
    </rPh>
    <rPh sb="5" eb="7">
      <t>ニッスウ</t>
    </rPh>
    <rPh sb="9" eb="11">
      <t>キカン</t>
    </rPh>
    <rPh sb="12" eb="14">
      <t>テキセツ</t>
    </rPh>
    <rPh sb="15" eb="17">
      <t>フカ</t>
    </rPh>
    <rPh sb="17" eb="18">
      <t>リツ</t>
    </rPh>
    <rPh sb="19" eb="21">
      <t>セッテイ</t>
    </rPh>
    <phoneticPr fontId="14"/>
  </si>
  <si>
    <t>稼働日数</t>
    <rPh sb="0" eb="2">
      <t>カドウ</t>
    </rPh>
    <rPh sb="2" eb="4">
      <t>ニッスウ</t>
    </rPh>
    <phoneticPr fontId="14"/>
  </si>
  <si>
    <t>積算日数</t>
    <rPh sb="0" eb="2">
      <t>セキサン</t>
    </rPh>
    <rPh sb="2" eb="4">
      <t>ニッスウ</t>
    </rPh>
    <phoneticPr fontId="14"/>
  </si>
  <si>
    <t>店舗・事務所負荷平均（県北・県南）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rPh sb="11" eb="13">
      <t>ケンホク</t>
    </rPh>
    <rPh sb="14" eb="16">
      <t>ケンナン</t>
    </rPh>
    <phoneticPr fontId="14"/>
  </si>
  <si>
    <t>負荷（左表）×稼働率（店舗・事務所/県北・県南）</t>
    <rPh sb="0" eb="2">
      <t>フカ</t>
    </rPh>
    <rPh sb="3" eb="4">
      <t>サ</t>
    </rPh>
    <rPh sb="4" eb="5">
      <t>ヒョウ</t>
    </rPh>
    <rPh sb="7" eb="9">
      <t>カドウ</t>
    </rPh>
    <rPh sb="9" eb="10">
      <t>リツ</t>
    </rPh>
    <rPh sb="11" eb="13">
      <t>テンポ</t>
    </rPh>
    <rPh sb="14" eb="16">
      <t>ジム</t>
    </rPh>
    <rPh sb="16" eb="17">
      <t>ショ</t>
    </rPh>
    <rPh sb="18" eb="20">
      <t>ケンホク</t>
    </rPh>
    <rPh sb="21" eb="23">
      <t>ケンナン</t>
    </rPh>
    <phoneticPr fontId="14"/>
  </si>
  <si>
    <t>※年間使用時間による平均負荷率を設定、取得する。</t>
    <rPh sb="1" eb="3">
      <t>ネンカン</t>
    </rPh>
    <rPh sb="3" eb="5">
      <t>シヨウ</t>
    </rPh>
    <rPh sb="5" eb="7">
      <t>ジカン</t>
    </rPh>
    <rPh sb="10" eb="12">
      <t>ヘイキン</t>
    </rPh>
    <rPh sb="12" eb="14">
      <t>フカ</t>
    </rPh>
    <rPh sb="14" eb="15">
      <t>リツ</t>
    </rPh>
    <rPh sb="16" eb="18">
      <t>セッテイ</t>
    </rPh>
    <rPh sb="19" eb="21">
      <t>シュトク</t>
    </rPh>
    <phoneticPr fontId="14"/>
  </si>
  <si>
    <t>※平均ＣＯＰ補正＝ａ×負荷率 ＋ ｂ</t>
    <rPh sb="1" eb="3">
      <t>ヘイキン</t>
    </rPh>
    <rPh sb="6" eb="8">
      <t>ホセイ</t>
    </rPh>
    <rPh sb="11" eb="13">
      <t>フカ</t>
    </rPh>
    <rPh sb="13" eb="14">
      <t>リツ</t>
    </rPh>
    <phoneticPr fontId="1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</si>
  <si>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1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</si>
  <si>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1"/>
  </si>
  <si>
    <t>定格消費電力</t>
    <rPh sb="0" eb="2">
      <t>テイカク</t>
    </rPh>
    <rPh sb="2" eb="4">
      <t>ショウヒ</t>
    </rPh>
    <rPh sb="4" eb="6">
      <t>デンリョク</t>
    </rPh>
    <phoneticPr fontId="14"/>
  </si>
  <si>
    <t>機種名・馬力（能力）など</t>
    <rPh sb="0" eb="2">
      <t>キシュ</t>
    </rPh>
    <rPh sb="2" eb="3">
      <t>メイ</t>
    </rPh>
    <rPh sb="4" eb="6">
      <t>バリキ</t>
    </rPh>
    <rPh sb="7" eb="9">
      <t>ノウリョク</t>
    </rPh>
    <phoneticPr fontId="1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</si>
  <si>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4"/>
  </si>
  <si>
    <t>※</t>
    <phoneticPr fontId="14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</si>
  <si>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</si>
  <si>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1"/>
  </si>
  <si>
    <t>インバータの有無</t>
    <rPh sb="6" eb="8">
      <t>ウム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</si>
</sst>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7" formatCode="#,##0.0_ "/>
    <numFmt numFmtId="178" formatCode="0.0_ "/>
    <numFmt numFmtId="181" formatCode="#,##0.00_ "/>
    <numFmt numFmtId="182" formatCode="0.0000_ "/>
    <numFmt numFmtId="183" formatCode="#,##0.00_);[Red]\(#,##0.00\)"/>
    <numFmt numFmtId="184" formatCode="0.0"/>
    <numFmt numFmtId="187" formatCode="0.0%"/>
    <numFmt numFmtId="192" formatCode="0_ "/>
    <numFmt numFmtId="193" formatCode="#,##0;\-#,##0&quot;kWh&quot;"/>
    <numFmt numFmtId="194" formatCode="0.000"/>
    <numFmt numFmtId="195" formatCode="0.0000"/>
    <numFmt numFmtId="196" formatCode="#,##0.000;[Red]\-#,##0.000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hair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dashed">
        <color auto="1"/>
      </top>
      <bottom style="thin">
        <color indexed="64"/>
      </bottom>
      <diagonal/>
    </border>
    <border>
      <left/>
      <right style="hair">
        <color auto="1"/>
      </right>
      <top style="dashed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dashed">
        <color auto="1"/>
      </top>
      <bottom style="medium">
        <color indexed="64"/>
      </bottom>
      <diagonal/>
    </border>
    <border>
      <left/>
      <right style="hair">
        <color auto="1"/>
      </right>
      <top style="dashed">
        <color auto="1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dashed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thin">
        <color auto="1"/>
      </bottom>
      <diagonal/>
    </border>
    <border>
      <left style="hair">
        <color auto="1"/>
      </left>
      <right/>
      <top style="dashed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/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5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vertical="center"/>
      <protection hidden="1"/>
    </xf>
    <xf numFmtId="181" fontId="7" fillId="0" borderId="0" xfId="0" applyNumberFormat="1" applyFont="1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38" fontId="7" fillId="0" borderId="0" xfId="2" applyFont="1" applyFill="1" applyBorder="1" applyAlignment="1" applyProtection="1">
      <alignment horizontal="right" vertical="center"/>
      <protection hidden="1"/>
    </xf>
    <xf numFmtId="38" fontId="0" fillId="0" borderId="0" xfId="2" applyFont="1" applyFill="1" applyBorder="1" applyProtection="1">
      <alignment vertical="center"/>
      <protection hidden="1"/>
    </xf>
    <xf numFmtId="192" fontId="0" fillId="0" borderId="0" xfId="0" applyNumberFormat="1" applyFont="1" applyBorder="1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9" fillId="0" borderId="0" xfId="0" applyNumberFormat="1" applyFont="1" applyBorder="1" applyAlignme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14" xfId="0" applyBorder="1" applyProtection="1">
      <alignment vertical="center"/>
    </xf>
    <xf numFmtId="0" fontId="0" fillId="0" borderId="9" xfId="0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7" fillId="0" borderId="8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Protection="1">
      <alignment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11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82" fontId="7" fillId="0" borderId="0" xfId="0" applyNumberFormat="1" applyFont="1" applyFill="1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0" fillId="0" borderId="60" xfId="0" applyFill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20" fillId="0" borderId="3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7" fillId="0" borderId="8" xfId="0" applyFont="1" applyFill="1" applyBorder="1" applyAlignment="1" applyProtection="1">
      <alignment horizontal="left" vertical="center"/>
      <protection hidden="1"/>
    </xf>
    <xf numFmtId="0" fontId="7" fillId="0" borderId="1" xfId="0" applyFont="1" applyFill="1" applyBorder="1" applyAlignment="1" applyProtection="1">
      <alignment horizontal="left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49" fontId="7" fillId="0" borderId="0" xfId="0" applyNumberFormat="1" applyFont="1" applyBorder="1" applyAlignment="1" applyProtection="1">
      <alignment horizontal="left" vertical="center"/>
      <protection hidden="1"/>
    </xf>
    <xf numFmtId="183" fontId="7" fillId="0" borderId="0" xfId="0" applyNumberFormat="1" applyFont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183" fontId="7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3" borderId="15" xfId="0" applyFill="1" applyBorder="1" applyAlignment="1" applyProtection="1">
      <alignment horizontal="center" vertical="center" shrinkToFit="1"/>
      <protection hidden="1"/>
    </xf>
    <xf numFmtId="0" fontId="0" fillId="3" borderId="21" xfId="0" applyFill="1" applyBorder="1" applyAlignment="1" applyProtection="1">
      <alignment horizontal="center" vertical="center" shrinkToFit="1"/>
      <protection hidden="1"/>
    </xf>
    <xf numFmtId="0" fontId="0" fillId="3" borderId="14" xfId="0" applyFill="1" applyBorder="1" applyAlignment="1" applyProtection="1">
      <alignment horizontal="center" vertical="center" shrinkToFit="1"/>
      <protection hidden="1"/>
    </xf>
    <xf numFmtId="0" fontId="0" fillId="3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</xf>
    <xf numFmtId="187" fontId="0" fillId="8" borderId="7" xfId="0" applyNumberFormat="1" applyFill="1" applyBorder="1" applyProtection="1">
      <alignment vertical="center"/>
    </xf>
    <xf numFmtId="187" fontId="0" fillId="4" borderId="7" xfId="1" applyNumberFormat="1" applyFont="1" applyFill="1" applyBorder="1" applyProtection="1">
      <alignment vertical="center"/>
    </xf>
    <xf numFmtId="187" fontId="0" fillId="8" borderId="0" xfId="0" applyNumberFormat="1" applyFill="1" applyProtection="1">
      <alignment vertical="center"/>
    </xf>
    <xf numFmtId="187" fontId="0" fillId="4" borderId="0" xfId="1" applyNumberFormat="1" applyFont="1" applyFill="1" applyProtection="1">
      <alignment vertical="center"/>
    </xf>
    <xf numFmtId="187" fontId="0" fillId="9" borderId="0" xfId="0" applyNumberFormat="1" applyFill="1" applyProtection="1">
      <alignment vertical="center"/>
    </xf>
    <xf numFmtId="187" fontId="0" fillId="0" borderId="0" xfId="1" applyNumberFormat="1" applyFont="1">
      <alignment vertical="center"/>
    </xf>
    <xf numFmtId="187" fontId="0" fillId="4" borderId="0" xfId="1" applyNumberFormat="1" applyFont="1" applyFill="1">
      <alignment vertical="center"/>
    </xf>
    <xf numFmtId="187" fontId="0" fillId="8" borderId="0" xfId="1" applyNumberFormat="1" applyFont="1" applyFill="1">
      <alignment vertical="center"/>
    </xf>
    <xf numFmtId="187" fontId="0" fillId="9" borderId="0" xfId="1" applyNumberFormat="1" applyFont="1" applyFill="1">
      <alignment vertical="center"/>
    </xf>
    <xf numFmtId="187" fontId="0" fillId="0" borderId="0" xfId="0" applyNumberFormat="1">
      <alignment vertical="center"/>
    </xf>
    <xf numFmtId="9" fontId="0" fillId="0" borderId="0" xfId="1" applyFont="1" applyBorder="1" applyProtection="1">
      <alignment vertical="center"/>
      <protection hidden="1"/>
    </xf>
    <xf numFmtId="187" fontId="0" fillId="0" borderId="7" xfId="1" applyNumberFormat="1" applyFont="1" applyBorder="1" applyProtection="1">
      <alignment vertical="center"/>
      <protection hidden="1"/>
    </xf>
    <xf numFmtId="0" fontId="0" fillId="0" borderId="15" xfId="0" applyBorder="1" applyProtection="1">
      <alignment vertical="center"/>
      <protection hidden="1"/>
    </xf>
    <xf numFmtId="0" fontId="0" fillId="0" borderId="14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7" fontId="0" fillId="0" borderId="0" xfId="0" applyNumberFormat="1" applyBorder="1" applyProtection="1">
      <alignment vertical="center"/>
      <protection hidden="1"/>
    </xf>
    <xf numFmtId="0" fontId="0" fillId="0" borderId="18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94" fontId="0" fillId="0" borderId="7" xfId="0" applyNumberFormat="1" applyBorder="1" applyProtection="1">
      <alignment vertical="center"/>
    </xf>
    <xf numFmtId="184" fontId="0" fillId="0" borderId="7" xfId="0" applyNumberFormat="1" applyBorder="1" applyProtection="1">
      <alignment vertical="center"/>
    </xf>
    <xf numFmtId="195" fontId="0" fillId="0" borderId="7" xfId="0" applyNumberFormat="1" applyBorder="1" applyProtection="1">
      <alignment vertical="center"/>
    </xf>
    <xf numFmtId="9" fontId="0" fillId="0" borderId="60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194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181" fontId="0" fillId="0" borderId="0" xfId="0" applyNumberFormat="1" applyBorder="1" applyProtection="1">
      <alignment vertical="center"/>
      <protection hidden="1"/>
    </xf>
    <xf numFmtId="38" fontId="7" fillId="0" borderId="0" xfId="2" applyFont="1" applyBorder="1" applyAlignment="1" applyProtection="1">
      <alignment vertical="center"/>
      <protection hidden="1"/>
    </xf>
    <xf numFmtId="196" fontId="7" fillId="0" borderId="0" xfId="2" applyNumberFormat="1" applyFont="1" applyBorder="1" applyAlignment="1" applyProtection="1">
      <alignment horizontal="right" vertical="center"/>
      <protection hidden="1"/>
    </xf>
    <xf numFmtId="0" fontId="11" fillId="0" borderId="45" xfId="0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Border="1" applyProtection="1">
      <alignment vertical="center"/>
      <protection hidden="1"/>
    </xf>
    <xf numFmtId="0" fontId="0" fillId="5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10" borderId="7" xfId="0" applyFill="1" applyBorder="1">
      <alignment vertical="center"/>
    </xf>
    <xf numFmtId="194" fontId="0" fillId="10" borderId="7" xfId="0" applyNumberFormat="1" applyFill="1" applyBorder="1">
      <alignment vertical="center"/>
    </xf>
    <xf numFmtId="2" fontId="0" fillId="10" borderId="7" xfId="0" applyNumberFormat="1" applyFill="1" applyBorder="1">
      <alignment vertical="center"/>
    </xf>
    <xf numFmtId="193" fontId="0" fillId="0" borderId="0" xfId="2" applyNumberFormat="1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0" fontId="8" fillId="0" borderId="0" xfId="0" applyFont="1" applyBorder="1" applyProtection="1">
      <alignment vertical="center"/>
      <protection hidden="1"/>
    </xf>
    <xf numFmtId="38" fontId="0" fillId="0" borderId="1" xfId="2" applyFont="1" applyBorder="1" applyAlignment="1" applyProtection="1">
      <alignment vertical="center" shrinkToFit="1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11" fillId="0" borderId="45" xfId="0" applyFont="1" applyBorder="1" applyAlignment="1" applyProtection="1">
      <alignment horizontal="center" vertical="center" wrapText="1" shrinkToFit="1"/>
      <protection hidden="1"/>
    </xf>
    <xf numFmtId="0" fontId="20" fillId="0" borderId="83" xfId="0" applyFont="1" applyBorder="1" applyAlignment="1" applyProtection="1">
      <alignment vertical="center" shrinkToFit="1"/>
      <protection hidden="1"/>
    </xf>
    <xf numFmtId="0" fontId="20" fillId="0" borderId="84" xfId="0" applyFont="1" applyBorder="1" applyAlignment="1" applyProtection="1">
      <alignment vertical="center" shrinkToFit="1"/>
      <protection hidden="1"/>
    </xf>
    <xf numFmtId="0" fontId="20" fillId="0" borderId="85" xfId="0" applyFont="1" applyBorder="1" applyAlignment="1" applyProtection="1">
      <alignment vertical="center" shrinkToFit="1"/>
      <protection hidden="1"/>
    </xf>
    <xf numFmtId="178" fontId="0" fillId="0" borderId="0" xfId="0" applyNumberFormat="1" applyFont="1" applyBorder="1" applyAlignment="1" applyProtection="1">
      <alignment vertical="center"/>
      <protection hidden="1"/>
    </xf>
    <xf numFmtId="0" fontId="20" fillId="0" borderId="1" xfId="0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 shrinkToFi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43" xfId="0" applyFont="1" applyBorder="1" applyAlignment="1" applyProtection="1">
      <alignment horizontal="center" vertical="center" wrapText="1" shrinkToFit="1"/>
      <protection locked="0"/>
    </xf>
    <xf numFmtId="0" fontId="7" fillId="0" borderId="1" xfId="2" applyNumberFormat="1" applyFont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center" vertical="center"/>
      <protection hidden="1"/>
    </xf>
    <xf numFmtId="187" fontId="0" fillId="0" borderId="7" xfId="0" applyNumberFormat="1" applyBorder="1" applyProtection="1">
      <alignment vertical="center"/>
      <protection hidden="1"/>
    </xf>
    <xf numFmtId="0" fontId="0" fillId="0" borderId="18" xfId="0" applyBorder="1" applyProtection="1">
      <alignment vertical="center"/>
      <protection hidden="1"/>
    </xf>
    <xf numFmtId="0" fontId="0" fillId="0" borderId="13" xfId="0" applyBorder="1" applyProtection="1">
      <alignment vertical="center"/>
      <protection hidden="1"/>
    </xf>
    <xf numFmtId="40" fontId="0" fillId="0" borderId="13" xfId="2" applyNumberFormat="1" applyFont="1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11" fillId="0" borderId="1" xfId="0" applyFont="1" applyBorder="1" applyAlignment="1" applyProtection="1">
      <alignment horizontal="right" vertical="center"/>
      <protection hidden="1"/>
    </xf>
    <xf numFmtId="0" fontId="7" fillId="0" borderId="42" xfId="0" applyFont="1" applyBorder="1" applyAlignment="1" applyProtection="1">
      <alignment horizontal="center" vertical="center"/>
      <protection hidden="1"/>
    </xf>
    <xf numFmtId="0" fontId="7" fillId="0" borderId="46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Border="1" applyProtection="1">
      <alignment vertical="center"/>
      <protection locked="0"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15" xfId="0" applyBorder="1" applyAlignment="1" applyProtection="1">
      <alignment horizontal="center" vertical="center" shrinkToFit="1"/>
      <protection hidden="1"/>
    </xf>
    <xf numFmtId="177" fontId="9" fillId="0" borderId="15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11" fillId="0" borderId="43" xfId="0" applyFont="1" applyBorder="1" applyAlignment="1" applyProtection="1">
      <alignment horizontal="center" vertical="center"/>
      <protection hidden="1"/>
    </xf>
    <xf numFmtId="0" fontId="7" fillId="0" borderId="77" xfId="0" applyFont="1" applyBorder="1" applyAlignment="1" applyProtection="1">
      <alignment horizontal="center" vertical="center" shrinkToFit="1"/>
      <protection hidden="1"/>
    </xf>
    <xf numFmtId="0" fontId="7" fillId="0" borderId="55" xfId="0" applyFont="1" applyBorder="1" applyAlignment="1" applyProtection="1">
      <alignment horizontal="center" vertical="center" shrinkToFit="1"/>
      <protection hidden="1"/>
    </xf>
    <xf numFmtId="0" fontId="7" fillId="0" borderId="47" xfId="0" applyFont="1" applyBorder="1" applyAlignment="1" applyProtection="1">
      <alignment horizontal="center" vertical="center" shrinkToFit="1"/>
      <protection hidden="1"/>
    </xf>
    <xf numFmtId="0" fontId="7" fillId="0" borderId="45" xfId="0" applyFont="1" applyBorder="1" applyAlignment="1" applyProtection="1">
      <alignment horizontal="center" vertical="center" shrinkToFit="1"/>
      <protection hidden="1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hidden="1"/>
    </xf>
    <xf numFmtId="0" fontId="7" fillId="0" borderId="43" xfId="0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7" fillId="0" borderId="55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 wrapText="1" shrinkToFit="1"/>
      <protection hidden="1"/>
    </xf>
    <xf numFmtId="0" fontId="11" fillId="0" borderId="39" xfId="0" applyFont="1" applyBorder="1" applyAlignment="1" applyProtection="1">
      <alignment horizontal="center" vertical="center" wrapText="1" shrinkToFit="1"/>
      <protection hidden="1"/>
    </xf>
    <xf numFmtId="0" fontId="11" fillId="0" borderId="40" xfId="0" applyFont="1" applyBorder="1" applyAlignment="1" applyProtection="1">
      <alignment horizontal="center" vertical="center" wrapText="1" shrinkToFit="1"/>
      <protection hidden="1"/>
    </xf>
    <xf numFmtId="0" fontId="11" fillId="0" borderId="41" xfId="0" applyFont="1" applyBorder="1" applyAlignment="1" applyProtection="1">
      <alignment horizontal="center" vertical="center" wrapText="1" shrinkToFit="1"/>
      <protection hidden="1"/>
    </xf>
    <xf numFmtId="0" fontId="7" fillId="0" borderId="39" xfId="0" applyFont="1" applyBorder="1" applyAlignment="1" applyProtection="1">
      <alignment horizontal="center" vertical="center" shrinkToFit="1"/>
      <protection hidden="1"/>
    </xf>
    <xf numFmtId="0" fontId="7" fillId="0" borderId="40" xfId="0" applyFont="1" applyBorder="1" applyAlignment="1" applyProtection="1">
      <alignment horizontal="center" vertical="center" shrinkToFit="1"/>
      <protection hidden="1"/>
    </xf>
    <xf numFmtId="0" fontId="7" fillId="0" borderId="41" xfId="0" applyFont="1" applyBorder="1" applyAlignment="1" applyProtection="1">
      <alignment horizontal="center" vertical="center" shrinkToFit="1"/>
      <protection hidden="1"/>
    </xf>
    <xf numFmtId="0" fontId="3" fillId="0" borderId="0" xfId="3" applyFont="1" applyFill="1" applyBorder="1" applyAlignment="1" applyProtection="1">
      <alignment horizontal="center" vertical="center" shrinkToFit="1"/>
      <protection hidden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8" fontId="0" fillId="0" borderId="15" xfId="2" applyFont="1" applyBorder="1" applyAlignment="1" applyProtection="1">
      <alignment horizontal="right" vertical="center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0" fontId="7" fillId="0" borderId="8" xfId="0" applyFont="1" applyBorder="1" applyAlignment="1" applyProtection="1">
      <alignment horizontal="center" vertical="center" wrapText="1" shrinkToFit="1"/>
      <protection hidden="1"/>
    </xf>
    <xf numFmtId="0" fontId="7" fillId="0" borderId="1" xfId="0" applyFont="1" applyBorder="1" applyAlignment="1" applyProtection="1">
      <alignment horizontal="center" vertical="center" wrapText="1" shrinkToFit="1"/>
      <protection hidden="1"/>
    </xf>
    <xf numFmtId="0" fontId="7" fillId="0" borderId="9" xfId="0" applyFont="1" applyBorder="1" applyAlignment="1" applyProtection="1">
      <alignment horizontal="center" vertical="center" wrapText="1" shrinkToFit="1"/>
      <protection hidden="1"/>
    </xf>
    <xf numFmtId="0" fontId="7" fillId="0" borderId="6" xfId="0" applyFont="1" applyBorder="1" applyAlignment="1" applyProtection="1">
      <alignment horizontal="center" vertical="center" wrapText="1" shrinkToFit="1"/>
      <protection hidden="1"/>
    </xf>
    <xf numFmtId="0" fontId="7" fillId="0" borderId="3" xfId="0" applyFont="1" applyBorder="1" applyAlignment="1" applyProtection="1">
      <alignment horizontal="center" vertical="center" wrapText="1" shrinkToFit="1"/>
      <protection hidden="1"/>
    </xf>
    <xf numFmtId="0" fontId="7" fillId="0" borderId="4" xfId="0" applyFont="1" applyBorder="1" applyAlignment="1" applyProtection="1">
      <alignment horizontal="center" vertical="center" wrapText="1" shrinkToFit="1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hidden="1"/>
    </xf>
    <xf numFmtId="0" fontId="12" fillId="0" borderId="4" xfId="0" applyFont="1" applyBorder="1" applyAlignment="1" applyProtection="1">
      <alignment horizontal="left" vertical="center" wrapTex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3" fillId="2" borderId="0" xfId="3" applyFont="1" applyFill="1" applyBorder="1" applyAlignment="1" applyProtection="1">
      <alignment horizontal="center" vertical="center" shrinkToFit="1"/>
      <protection hidden="1"/>
    </xf>
    <xf numFmtId="0" fontId="0" fillId="0" borderId="14" xfId="0" applyBorder="1" applyAlignment="1" applyProtection="1">
      <alignment horizontal="center" vertical="center" shrinkToFit="1"/>
      <protection hidden="1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0" fillId="0" borderId="15" xfId="1" applyNumberFormat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14" xfId="1" applyNumberFormat="1" applyFon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14" xfId="0" applyNumberForma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3" borderId="7" xfId="0" applyFill="1" applyBorder="1" applyAlignment="1" applyProtection="1">
      <alignment horizontal="center" vertical="center" shrinkToFit="1"/>
      <protection hidden="1"/>
    </xf>
    <xf numFmtId="0" fontId="0" fillId="3" borderId="15" xfId="0" applyFill="1" applyBorder="1" applyAlignment="1" applyProtection="1">
      <alignment horizontal="center" vertical="center" shrinkToFit="1"/>
      <protection hidden="1"/>
    </xf>
    <xf numFmtId="0" fontId="0" fillId="3" borderId="21" xfId="0" applyFill="1" applyBorder="1" applyAlignment="1" applyProtection="1">
      <alignment horizontal="center" vertical="center" shrinkToFit="1"/>
      <protection hidden="1"/>
    </xf>
    <xf numFmtId="0" fontId="0" fillId="3" borderId="14" xfId="0" applyFill="1" applyBorder="1" applyAlignment="1" applyProtection="1">
      <alignment horizontal="center" vertical="center" shrinkToFit="1"/>
      <protection hidden="1"/>
    </xf>
    <xf numFmtId="177" fontId="9" fillId="0" borderId="30" xfId="0" applyNumberFormat="1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88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left" vertical="center"/>
      <protection hidden="1"/>
    </xf>
    <xf numFmtId="0" fontId="0" fillId="0" borderId="32" xfId="0" applyBorder="1" applyAlignment="1" applyProtection="1">
      <alignment horizontal="left" vertical="center"/>
      <protection hidden="1"/>
    </xf>
    <xf numFmtId="0" fontId="0" fillId="0" borderId="34" xfId="0" applyBorder="1" applyAlignment="1" applyProtection="1">
      <alignment horizontal="left" vertical="center"/>
      <protection hidden="1"/>
    </xf>
    <xf numFmtId="177" fontId="9" fillId="0" borderId="16" xfId="0" applyNumberFormat="1" applyFont="1" applyBorder="1" applyAlignment="1" applyProtection="1">
      <alignment horizontal="center" vertical="center"/>
      <protection hidden="1"/>
    </xf>
    <xf numFmtId="177" fontId="9" fillId="0" borderId="21" xfId="0" applyNumberFormat="1" applyFont="1" applyBorder="1" applyAlignment="1" applyProtection="1">
      <alignment horizontal="center" vertical="center"/>
      <protection hidden="1"/>
    </xf>
    <xf numFmtId="177" fontId="9" fillId="0" borderId="91" xfId="0" applyNumberFormat="1" applyFont="1" applyBorder="1" applyAlignment="1" applyProtection="1">
      <alignment horizontal="center" vertical="center"/>
      <protection hidden="1"/>
    </xf>
    <xf numFmtId="177" fontId="9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77" fontId="9" fillId="0" borderId="87" xfId="0" applyNumberFormat="1" applyFont="1" applyBorder="1" applyAlignment="1" applyProtection="1">
      <alignment horizontal="center" vertical="center"/>
      <protection hidden="1"/>
    </xf>
    <xf numFmtId="177" fontId="9" fillId="0" borderId="1" xfId="0" applyNumberFormat="1" applyFont="1" applyBorder="1" applyAlignment="1" applyProtection="1">
      <alignment horizontal="center" vertical="center"/>
      <protection hidden="1"/>
    </xf>
    <xf numFmtId="177" fontId="9" fillId="0" borderId="22" xfId="0" applyNumberFormat="1" applyFont="1" applyBorder="1" applyAlignment="1" applyProtection="1">
      <alignment horizontal="center" vertical="center"/>
      <protection hidden="1"/>
    </xf>
    <xf numFmtId="177" fontId="9" fillId="0" borderId="10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left" vertical="center" wrapText="1"/>
      <protection hidden="1"/>
    </xf>
    <xf numFmtId="0" fontId="12" fillId="0" borderId="5" xfId="0" applyFont="1" applyBorder="1" applyAlignment="1" applyProtection="1">
      <alignment horizontal="left" vertical="center" wrapText="1"/>
      <protection hidden="1"/>
    </xf>
    <xf numFmtId="9" fontId="0" fillId="0" borderId="15" xfId="1" applyFont="1" applyBorder="1" applyAlignment="1" applyProtection="1">
      <alignment horizontal="center" vertical="center"/>
      <protection locked="0"/>
    </xf>
    <xf numFmtId="9" fontId="0" fillId="0" borderId="14" xfId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7" fillId="0" borderId="58" xfId="0" applyFont="1" applyBorder="1" applyAlignment="1" applyProtection="1">
      <alignment horizontal="center" vertical="center"/>
      <protection hidden="1"/>
    </xf>
    <xf numFmtId="0" fontId="7" fillId="0" borderId="59" xfId="0" applyFont="1" applyBorder="1" applyAlignment="1" applyProtection="1">
      <alignment horizontal="center" vertical="center"/>
      <protection hidden="1"/>
    </xf>
    <xf numFmtId="0" fontId="7" fillId="7" borderId="8" xfId="0" applyFont="1" applyFill="1" applyBorder="1" applyAlignment="1" applyProtection="1">
      <alignment horizontal="center" vertical="center"/>
      <protection hidden="1"/>
    </xf>
    <xf numFmtId="0" fontId="7" fillId="7" borderId="1" xfId="0" applyFont="1" applyFill="1" applyBorder="1" applyAlignment="1" applyProtection="1">
      <alignment horizontal="center" vertical="center"/>
      <protection hidden="1"/>
    </xf>
    <xf numFmtId="0" fontId="7" fillId="7" borderId="9" xfId="0" applyFont="1" applyFill="1" applyBorder="1" applyAlignment="1" applyProtection="1">
      <alignment horizontal="center" vertical="center"/>
      <protection hidden="1"/>
    </xf>
    <xf numFmtId="0" fontId="7" fillId="7" borderId="6" xfId="0" applyFont="1" applyFill="1" applyBorder="1" applyAlignment="1" applyProtection="1">
      <alignment horizontal="center" vertical="center"/>
      <protection hidden="1"/>
    </xf>
    <xf numFmtId="0" fontId="7" fillId="7" borderId="3" xfId="0" applyFont="1" applyFill="1" applyBorder="1" applyAlignment="1" applyProtection="1">
      <alignment horizontal="center" vertical="center"/>
      <protection hidden="1"/>
    </xf>
    <xf numFmtId="0" fontId="7" fillId="7" borderId="4" xfId="0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9" fontId="7" fillId="0" borderId="15" xfId="0" applyNumberFormat="1" applyFont="1" applyBorder="1" applyAlignment="1" applyProtection="1">
      <alignment horizontal="center" vertical="center"/>
      <protection locked="0"/>
    </xf>
    <xf numFmtId="9" fontId="7" fillId="0" borderId="14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 shrinkToFit="1"/>
      <protection hidden="1"/>
    </xf>
    <xf numFmtId="0" fontId="7" fillId="0" borderId="9" xfId="0" applyFont="1" applyFill="1" applyBorder="1" applyAlignment="1" applyProtection="1">
      <alignment horizontal="center" vertical="center" wrapText="1" shrinkToFit="1"/>
      <protection hidden="1"/>
    </xf>
    <xf numFmtId="0" fontId="7" fillId="0" borderId="6" xfId="0" applyFont="1" applyFill="1" applyBorder="1" applyAlignment="1" applyProtection="1">
      <alignment horizontal="center" vertical="center" wrapText="1" shrinkToFit="1"/>
      <protection hidden="1"/>
    </xf>
    <xf numFmtId="0" fontId="7" fillId="0" borderId="4" xfId="0" applyFont="1" applyFill="1" applyBorder="1" applyAlignment="1" applyProtection="1">
      <alignment horizontal="center" vertical="center" wrapText="1" shrinkToFit="1"/>
      <protection hidden="1"/>
    </xf>
    <xf numFmtId="38" fontId="7" fillId="0" borderId="15" xfId="2" applyFont="1" applyBorder="1" applyAlignment="1" applyProtection="1">
      <alignment horizontal="center" vertical="center"/>
      <protection hidden="1"/>
    </xf>
    <xf numFmtId="38" fontId="7" fillId="0" borderId="21" xfId="2" applyFont="1" applyBorder="1" applyAlignment="1" applyProtection="1">
      <alignment horizontal="center" vertical="center"/>
      <protection hidden="1"/>
    </xf>
    <xf numFmtId="38" fontId="7" fillId="0" borderId="14" xfId="2" applyFont="1" applyBorder="1" applyAlignment="1" applyProtection="1">
      <alignment horizontal="center" vertical="center"/>
      <protection hidden="1"/>
    </xf>
    <xf numFmtId="38" fontId="7" fillId="0" borderId="7" xfId="2" applyFont="1" applyBorder="1" applyAlignment="1" applyProtection="1">
      <alignment horizontal="right" vertical="center"/>
      <protection hidden="1"/>
    </xf>
    <xf numFmtId="0" fontId="7" fillId="0" borderId="14" xfId="2" applyNumberFormat="1" applyFont="1" applyBorder="1" applyAlignment="1" applyProtection="1">
      <alignment horizontal="center" vertical="center" shrinkToFit="1"/>
      <protection hidden="1"/>
    </xf>
    <xf numFmtId="0" fontId="7" fillId="0" borderId="7" xfId="2" applyNumberFormat="1" applyFont="1" applyBorder="1" applyAlignment="1" applyProtection="1">
      <alignment horizontal="center" vertical="center" shrinkToFit="1"/>
      <protection hidden="1"/>
    </xf>
    <xf numFmtId="0" fontId="7" fillId="0" borderId="7" xfId="2" applyNumberFormat="1" applyFont="1" applyBorder="1" applyAlignment="1" applyProtection="1">
      <alignment horizontal="right" vertical="center"/>
      <protection locked="0"/>
    </xf>
    <xf numFmtId="0" fontId="7" fillId="0" borderId="15" xfId="2" applyNumberFormat="1" applyFont="1" applyBorder="1" applyAlignment="1" applyProtection="1">
      <alignment horizontal="right" vertical="center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center" vertical="center" shrinkToFit="1"/>
      <protection hidden="1"/>
    </xf>
    <xf numFmtId="0" fontId="6" fillId="0" borderId="6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7" fillId="0" borderId="61" xfId="0" applyFont="1" applyBorder="1" applyAlignment="1" applyProtection="1">
      <alignment horizontal="center" vertical="center" wrapText="1"/>
      <protection hidden="1"/>
    </xf>
    <xf numFmtId="0" fontId="7" fillId="0" borderId="62" xfId="0" applyFont="1" applyBorder="1" applyAlignment="1" applyProtection="1">
      <alignment horizontal="center" vertical="center" wrapText="1"/>
      <protection hidden="1"/>
    </xf>
    <xf numFmtId="0" fontId="7" fillId="0" borderId="64" xfId="0" applyFont="1" applyBorder="1" applyAlignment="1" applyProtection="1">
      <alignment horizontal="center" vertical="center" wrapText="1"/>
      <protection hidden="1"/>
    </xf>
    <xf numFmtId="0" fontId="7" fillId="0" borderId="65" xfId="0" applyFont="1" applyBorder="1" applyAlignment="1" applyProtection="1">
      <alignment horizontal="center" vertical="center" wrapText="1"/>
      <protection hidden="1"/>
    </xf>
    <xf numFmtId="0" fontId="7" fillId="0" borderId="62" xfId="0" applyFont="1" applyBorder="1" applyAlignment="1" applyProtection="1">
      <alignment horizontal="center" vertical="center"/>
      <protection hidden="1"/>
    </xf>
    <xf numFmtId="0" fontId="7" fillId="0" borderId="63" xfId="0" applyFont="1" applyBorder="1" applyAlignment="1" applyProtection="1">
      <alignment horizontal="center" vertical="center"/>
      <protection hidden="1"/>
    </xf>
    <xf numFmtId="0" fontId="7" fillId="0" borderId="65" xfId="0" applyFont="1" applyBorder="1" applyAlignment="1" applyProtection="1">
      <alignment horizontal="center" vertical="center"/>
      <protection hidden="1"/>
    </xf>
    <xf numFmtId="0" fontId="7" fillId="0" borderId="66" xfId="0" applyFont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13" fillId="0" borderId="6" xfId="0" applyFont="1" applyFill="1" applyBorder="1" applyAlignment="1" applyProtection="1">
      <alignment horizontal="center" vertical="center"/>
      <protection hidden="1"/>
    </xf>
    <xf numFmtId="0" fontId="13" fillId="0" borderId="3" xfId="0" applyFont="1" applyFill="1" applyBorder="1" applyAlignment="1" applyProtection="1">
      <alignment horizontal="center" vertical="center"/>
      <protection hidden="1"/>
    </xf>
    <xf numFmtId="0" fontId="7" fillId="0" borderId="70" xfId="0" applyFont="1" applyBorder="1" applyAlignment="1" applyProtection="1">
      <alignment horizontal="center" vertical="center"/>
      <protection hidden="1"/>
    </xf>
    <xf numFmtId="0" fontId="7" fillId="0" borderId="71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 textRotation="255" wrapText="1"/>
      <protection hidden="1"/>
    </xf>
    <xf numFmtId="0" fontId="12" fillId="0" borderId="9" xfId="0" applyFont="1" applyBorder="1" applyAlignment="1" applyProtection="1">
      <alignment horizontal="center" vertical="center" textRotation="255" wrapText="1"/>
      <protection hidden="1"/>
    </xf>
    <xf numFmtId="0" fontId="12" fillId="0" borderId="6" xfId="0" applyFont="1" applyBorder="1" applyAlignment="1" applyProtection="1">
      <alignment horizontal="center" vertical="center" textRotation="255" wrapText="1"/>
      <protection hidden="1"/>
    </xf>
    <xf numFmtId="0" fontId="12" fillId="0" borderId="4" xfId="0" applyFont="1" applyBorder="1" applyAlignment="1" applyProtection="1">
      <alignment horizontal="center" vertical="center" textRotation="255" wrapText="1"/>
      <protection hidden="1"/>
    </xf>
    <xf numFmtId="0" fontId="13" fillId="4" borderId="8" xfId="0" applyFont="1" applyFill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6" xfId="0" applyFont="1" applyFill="1" applyBorder="1" applyAlignment="1" applyProtection="1">
      <alignment horizontal="center" vertical="center"/>
      <protection hidden="1"/>
    </xf>
    <xf numFmtId="0" fontId="13" fillId="4" borderId="3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13" fillId="0" borderId="7" xfId="0" applyFont="1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177" fontId="9" fillId="0" borderId="8" xfId="0" applyNumberFormat="1" applyFont="1" applyBorder="1" applyAlignment="1" applyProtection="1">
      <alignment horizontal="center" vertical="center"/>
      <protection hidden="1"/>
    </xf>
    <xf numFmtId="177" fontId="9" fillId="0" borderId="6" xfId="0" applyNumberFormat="1" applyFont="1" applyBorder="1" applyAlignment="1" applyProtection="1">
      <alignment horizontal="center" vertical="center"/>
      <protection hidden="1"/>
    </xf>
    <xf numFmtId="177" fontId="9" fillId="0" borderId="3" xfId="0" applyNumberFormat="1" applyFont="1" applyBorder="1" applyAlignment="1" applyProtection="1">
      <alignment horizontal="center" vertical="center"/>
      <protection hidden="1"/>
    </xf>
    <xf numFmtId="0" fontId="7" fillId="0" borderId="54" xfId="0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38" fontId="0" fillId="0" borderId="29" xfId="0" applyNumberFormat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7" fillId="0" borderId="54" xfId="0" applyFont="1" applyBorder="1" applyAlignment="1" applyProtection="1">
      <alignment horizontal="center" vertical="center" shrinkToFit="1"/>
      <protection hidden="1"/>
    </xf>
    <xf numFmtId="0" fontId="7" fillId="0" borderId="80" xfId="0" applyFont="1" applyBorder="1" applyAlignment="1" applyProtection="1">
      <alignment horizontal="center" vertical="center" shrinkToFit="1"/>
      <protection hidden="1"/>
    </xf>
    <xf numFmtId="38" fontId="7" fillId="0" borderId="54" xfId="2" applyFont="1" applyBorder="1" applyAlignment="1" applyProtection="1">
      <alignment horizontal="right" vertical="center" shrinkToFit="1"/>
      <protection hidden="1"/>
    </xf>
    <xf numFmtId="38" fontId="7" fillId="0" borderId="77" xfId="2" applyFont="1" applyBorder="1" applyAlignment="1" applyProtection="1">
      <alignment horizontal="right" vertical="center" shrinkToFit="1"/>
      <protection hidden="1"/>
    </xf>
    <xf numFmtId="38" fontId="7" fillId="0" borderId="55" xfId="2" applyFont="1" applyBorder="1" applyAlignment="1" applyProtection="1">
      <alignment horizontal="right" vertical="center" shrinkToFit="1"/>
      <protection hidden="1"/>
    </xf>
    <xf numFmtId="0" fontId="7" fillId="0" borderId="61" xfId="0" applyFont="1" applyBorder="1" applyAlignment="1" applyProtection="1">
      <alignment horizontal="center" vertical="center"/>
      <protection hidden="1"/>
    </xf>
    <xf numFmtId="0" fontId="7" fillId="0" borderId="64" xfId="0" applyFont="1" applyBorder="1" applyAlignment="1" applyProtection="1">
      <alignment horizontal="center" vertical="center"/>
      <protection hidden="1"/>
    </xf>
    <xf numFmtId="0" fontId="7" fillId="0" borderId="52" xfId="0" applyFont="1" applyBorder="1" applyAlignment="1" applyProtection="1">
      <alignment horizontal="center" vertical="center" shrinkToFit="1"/>
      <protection hidden="1"/>
    </xf>
    <xf numFmtId="0" fontId="7" fillId="0" borderId="53" xfId="0" applyFont="1" applyBorder="1" applyAlignment="1" applyProtection="1">
      <alignment horizontal="center" vertical="center" shrinkToFit="1"/>
      <protection hidden="1"/>
    </xf>
    <xf numFmtId="0" fontId="7" fillId="0" borderId="72" xfId="0" applyFont="1" applyBorder="1" applyAlignment="1" applyProtection="1">
      <alignment horizontal="center" vertical="center" shrinkToFit="1"/>
      <protection hidden="1"/>
    </xf>
    <xf numFmtId="0" fontId="7" fillId="0" borderId="73" xfId="0" applyFont="1" applyBorder="1" applyAlignment="1" applyProtection="1">
      <alignment horizontal="center" vertical="center" shrinkToFit="1"/>
      <protection hidden="1"/>
    </xf>
    <xf numFmtId="0" fontId="0" fillId="11" borderId="8" xfId="0" applyFill="1" applyBorder="1" applyAlignment="1" applyProtection="1">
      <alignment horizontal="center" vertical="center" wrapText="1"/>
      <protection hidden="1"/>
    </xf>
    <xf numFmtId="0" fontId="0" fillId="11" borderId="1" xfId="0" applyFill="1" applyBorder="1" applyAlignment="1" applyProtection="1">
      <alignment horizontal="center" vertical="center" wrapText="1"/>
      <protection hidden="1"/>
    </xf>
    <xf numFmtId="0" fontId="0" fillId="11" borderId="6" xfId="0" applyFill="1" applyBorder="1" applyAlignment="1" applyProtection="1">
      <alignment horizontal="center" vertical="center" wrapText="1"/>
      <protection hidden="1"/>
    </xf>
    <xf numFmtId="0" fontId="0" fillId="11" borderId="3" xfId="0" applyFill="1" applyBorder="1" applyAlignment="1" applyProtection="1">
      <alignment horizontal="center" vertical="center" wrapText="1"/>
      <protection hidden="1"/>
    </xf>
    <xf numFmtId="0" fontId="11" fillId="11" borderId="1" xfId="0" applyFont="1" applyFill="1" applyBorder="1" applyAlignment="1" applyProtection="1">
      <alignment horizontal="right" vertical="center"/>
      <protection hidden="1"/>
    </xf>
    <xf numFmtId="0" fontId="11" fillId="11" borderId="9" xfId="0" applyFont="1" applyFill="1" applyBorder="1" applyAlignment="1" applyProtection="1">
      <alignment horizontal="right" vertical="center"/>
      <protection hidden="1"/>
    </xf>
    <xf numFmtId="0" fontId="11" fillId="11" borderId="3" xfId="0" applyFont="1" applyFill="1" applyBorder="1" applyAlignment="1" applyProtection="1">
      <alignment horizontal="right" vertical="center"/>
      <protection hidden="1"/>
    </xf>
    <xf numFmtId="0" fontId="11" fillId="11" borderId="4" xfId="0" applyFont="1" applyFill="1" applyBorder="1" applyAlignment="1" applyProtection="1">
      <alignment horizontal="right" vertical="center"/>
      <protection hidden="1"/>
    </xf>
    <xf numFmtId="0" fontId="11" fillId="0" borderId="43" xfId="0" applyFont="1" applyBorder="1" applyAlignment="1" applyProtection="1">
      <alignment horizontal="center" vertical="center" shrinkToFit="1"/>
      <protection hidden="1"/>
    </xf>
    <xf numFmtId="0" fontId="7" fillId="0" borderId="52" xfId="0" applyFont="1" applyBorder="1" applyAlignment="1" applyProtection="1">
      <alignment horizontal="center" vertical="center"/>
      <protection hidden="1"/>
    </xf>
    <xf numFmtId="0" fontId="7" fillId="0" borderId="72" xfId="0" applyFont="1" applyBorder="1" applyAlignment="1" applyProtection="1">
      <alignment horizontal="center" vertical="center"/>
      <protection hidden="1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8" fillId="0" borderId="62" xfId="0" applyFont="1" applyBorder="1" applyAlignment="1" applyProtection="1">
      <alignment horizontal="center" vertical="center" textRotation="255" wrapText="1"/>
      <protection hidden="1"/>
    </xf>
    <xf numFmtId="0" fontId="8" fillId="0" borderId="65" xfId="0" applyFont="1" applyBorder="1" applyAlignment="1" applyProtection="1">
      <alignment horizontal="center" vertical="center" textRotation="255" wrapText="1"/>
      <protection hidden="1"/>
    </xf>
    <xf numFmtId="0" fontId="12" fillId="0" borderId="18" xfId="0" applyFont="1" applyBorder="1" applyAlignment="1" applyProtection="1">
      <alignment horizontal="center" vertical="center" textRotation="255" wrapText="1" shrinkToFit="1"/>
      <protection hidden="1"/>
    </xf>
    <xf numFmtId="0" fontId="12" fillId="0" borderId="20" xfId="0" applyFont="1" applyBorder="1" applyAlignment="1" applyProtection="1">
      <alignment horizontal="center" vertical="center" textRotation="255" wrapText="1" shrinkToFit="1"/>
      <protection hidden="1"/>
    </xf>
    <xf numFmtId="0" fontId="11" fillId="0" borderId="50" xfId="0" applyFont="1" applyBorder="1" applyAlignment="1" applyProtection="1">
      <alignment horizontal="center" vertical="center"/>
      <protection hidden="1"/>
    </xf>
    <xf numFmtId="0" fontId="11" fillId="0" borderId="51" xfId="0" applyFont="1" applyBorder="1" applyAlignment="1" applyProtection="1">
      <alignment horizontal="center" vertical="center"/>
      <protection hidden="1"/>
    </xf>
    <xf numFmtId="0" fontId="12" fillId="0" borderId="39" xfId="0" applyFont="1" applyBorder="1" applyAlignment="1" applyProtection="1">
      <alignment horizontal="center" vertical="center" wrapText="1" shrinkToFit="1"/>
      <protection hidden="1"/>
    </xf>
    <xf numFmtId="0" fontId="12" fillId="0" borderId="41" xfId="0" applyFont="1" applyBorder="1" applyAlignment="1" applyProtection="1">
      <alignment horizontal="center" vertical="center" wrapText="1" shrinkToFit="1"/>
      <protection hidden="1"/>
    </xf>
    <xf numFmtId="38" fontId="7" fillId="0" borderId="45" xfId="2" applyFont="1" applyBorder="1" applyAlignment="1" applyProtection="1">
      <alignment horizontal="right" vertical="center" shrinkToFit="1"/>
      <protection hidden="1"/>
    </xf>
    <xf numFmtId="9" fontId="7" fillId="0" borderId="52" xfId="1" applyFont="1" applyBorder="1" applyAlignment="1" applyProtection="1">
      <alignment horizontal="center" vertical="center" shrinkToFit="1"/>
      <protection locked="0"/>
    </xf>
    <xf numFmtId="9" fontId="7" fillId="0" borderId="53" xfId="1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9" fontId="7" fillId="0" borderId="54" xfId="1" applyFont="1" applyBorder="1" applyAlignment="1" applyProtection="1">
      <alignment horizontal="center" vertical="center" shrinkToFit="1"/>
      <protection locked="0"/>
    </xf>
    <xf numFmtId="9" fontId="7" fillId="0" borderId="55" xfId="1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9" fontId="7" fillId="0" borderId="54" xfId="1" applyFont="1" applyBorder="1" applyAlignment="1" applyProtection="1">
      <alignment horizontal="center" vertical="center" shrinkToFit="1"/>
      <protection hidden="1"/>
    </xf>
    <xf numFmtId="9" fontId="7" fillId="0" borderId="55" xfId="1" applyFont="1" applyBorder="1" applyAlignment="1" applyProtection="1">
      <alignment horizontal="center" vertical="center" shrinkToFit="1"/>
      <protection hidden="1"/>
    </xf>
    <xf numFmtId="0" fontId="7" fillId="0" borderId="89" xfId="0" applyFont="1" applyBorder="1" applyAlignment="1" applyProtection="1">
      <alignment horizontal="center" vertical="center" shrinkToFit="1"/>
      <protection hidden="1"/>
    </xf>
    <xf numFmtId="0" fontId="7" fillId="0" borderId="90" xfId="0" applyFont="1" applyBorder="1" applyAlignment="1" applyProtection="1">
      <alignment horizontal="center" vertical="center" shrinkToFit="1"/>
      <protection hidden="1"/>
    </xf>
    <xf numFmtId="38" fontId="9" fillId="0" borderId="28" xfId="2" applyFont="1" applyBorder="1" applyAlignment="1" applyProtection="1">
      <alignment horizontal="center" vertical="center" shrinkToFit="1"/>
      <protection hidden="1"/>
    </xf>
    <xf numFmtId="38" fontId="9" fillId="0" borderId="0" xfId="2" applyFont="1" applyBorder="1" applyAlignment="1" applyProtection="1">
      <alignment horizontal="center" vertical="center" shrinkToFit="1"/>
      <protection hidden="1"/>
    </xf>
    <xf numFmtId="38" fontId="9" fillId="0" borderId="22" xfId="2" applyFont="1" applyBorder="1" applyAlignment="1" applyProtection="1">
      <alignment horizontal="center" vertical="center" shrinkToFit="1"/>
      <protection hidden="1"/>
    </xf>
    <xf numFmtId="38" fontId="9" fillId="0" borderId="10" xfId="2" applyFont="1" applyBorder="1" applyAlignment="1" applyProtection="1">
      <alignment horizontal="center" vertical="center" shrinkToFit="1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92" xfId="0" applyBorder="1" applyAlignment="1" applyProtection="1">
      <alignment horizontal="center" vertical="center"/>
      <protection hidden="1"/>
    </xf>
    <xf numFmtId="38" fontId="9" fillId="0" borderId="87" xfId="2" applyFont="1" applyBorder="1" applyAlignment="1" applyProtection="1">
      <alignment horizontal="center" vertical="center"/>
      <protection hidden="1"/>
    </xf>
    <xf numFmtId="38" fontId="9" fillId="0" borderId="1" xfId="2" applyFont="1" applyBorder="1" applyAlignment="1" applyProtection="1">
      <alignment horizontal="center" vertical="center"/>
      <protection hidden="1"/>
    </xf>
    <xf numFmtId="38" fontId="9" fillId="0" borderId="22" xfId="2" applyFont="1" applyBorder="1" applyAlignment="1" applyProtection="1">
      <alignment horizontal="center" vertical="center"/>
      <protection hidden="1"/>
    </xf>
    <xf numFmtId="38" fontId="9" fillId="0" borderId="10" xfId="2" applyFont="1" applyBorder="1" applyAlignment="1" applyProtection="1">
      <alignment horizontal="center" vertical="center"/>
      <protection hidden="1"/>
    </xf>
    <xf numFmtId="0" fontId="7" fillId="0" borderId="48" xfId="0" applyFont="1" applyBorder="1" applyAlignment="1" applyProtection="1">
      <alignment horizontal="center" vertical="center" shrinkToFit="1"/>
      <protection hidden="1"/>
    </xf>
    <xf numFmtId="38" fontId="7" fillId="0" borderId="86" xfId="2" applyFont="1" applyBorder="1" applyAlignment="1" applyProtection="1">
      <alignment horizontal="center" vertical="center" shrinkToFit="1"/>
      <protection hidden="1"/>
    </xf>
    <xf numFmtId="38" fontId="7" fillId="0" borderId="23" xfId="2" applyFont="1" applyBorder="1" applyAlignment="1" applyProtection="1">
      <alignment horizontal="center" vertical="center" shrinkToFit="1"/>
      <protection hidden="1"/>
    </xf>
    <xf numFmtId="38" fontId="7" fillId="0" borderId="78" xfId="2" applyFont="1" applyBorder="1" applyAlignment="1" applyProtection="1">
      <alignment horizontal="center" vertical="center" shrinkToFit="1"/>
      <protection hidden="1"/>
    </xf>
    <xf numFmtId="0" fontId="7" fillId="0" borderId="86" xfId="0" applyFont="1" applyBorder="1" applyAlignment="1" applyProtection="1">
      <alignment horizontal="center" vertical="center" shrinkToFit="1"/>
      <protection hidden="1"/>
    </xf>
    <xf numFmtId="0" fontId="7" fillId="0" borderId="78" xfId="0" applyFont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33" xfId="0" applyBorder="1" applyAlignment="1" applyProtection="1">
      <alignment horizontal="center" vertical="center" shrinkToFit="1"/>
      <protection hidden="1"/>
    </xf>
    <xf numFmtId="0" fontId="0" fillId="0" borderId="32" xfId="0" applyBorder="1" applyAlignment="1" applyProtection="1">
      <alignment horizontal="center" vertical="center" shrinkToFit="1"/>
      <protection hidden="1"/>
    </xf>
    <xf numFmtId="0" fontId="0" fillId="0" borderId="34" xfId="0" applyBorder="1" applyAlignment="1" applyProtection="1">
      <alignment horizontal="center" vertical="center" shrinkToFit="1"/>
      <protection hidden="1"/>
    </xf>
    <xf numFmtId="0" fontId="0" fillId="0" borderId="49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0" fillId="0" borderId="92" xfId="0" applyBorder="1" applyAlignment="1" applyProtection="1">
      <alignment horizontal="center" vertical="center" shrinkToFit="1"/>
      <protection hidden="1"/>
    </xf>
    <xf numFmtId="0" fontId="0" fillId="0" borderId="88" xfId="0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25" xfId="0" applyBorder="1" applyAlignment="1" applyProtection="1">
      <alignment horizontal="center" vertical="center" shrinkToFit="1"/>
      <protection hidden="1"/>
    </xf>
    <xf numFmtId="38" fontId="9" fillId="0" borderId="30" xfId="2" applyFont="1" applyBorder="1" applyAlignment="1" applyProtection="1">
      <alignment horizontal="center" vertical="center"/>
      <protection hidden="1"/>
    </xf>
    <xf numFmtId="38" fontId="9" fillId="0" borderId="31" xfId="2" applyFont="1" applyBorder="1" applyAlignment="1" applyProtection="1">
      <alignment horizontal="center" vertical="center"/>
      <protection hidden="1"/>
    </xf>
    <xf numFmtId="38" fontId="9" fillId="0" borderId="32" xfId="2" applyFont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9" fontId="7" fillId="0" borderId="50" xfId="1" applyFont="1" applyBorder="1" applyAlignment="1" applyProtection="1">
      <alignment horizontal="center" vertical="center" shrinkToFit="1"/>
      <protection hidden="1"/>
    </xf>
    <xf numFmtId="9" fontId="7" fillId="0" borderId="51" xfId="1" applyFont="1" applyBorder="1" applyAlignment="1" applyProtection="1">
      <alignment horizontal="center" vertical="center" shrinkToFit="1"/>
      <protection hidden="1"/>
    </xf>
    <xf numFmtId="0" fontId="7" fillId="0" borderId="74" xfId="0" applyFont="1" applyBorder="1" applyAlignment="1" applyProtection="1">
      <alignment horizontal="center" vertical="center" shrinkToFit="1"/>
      <protection hidden="1"/>
    </xf>
    <xf numFmtId="0" fontId="7" fillId="0" borderId="75" xfId="0" applyFont="1" applyBorder="1" applyAlignment="1" applyProtection="1">
      <alignment horizontal="center" vertical="center" shrinkToFit="1"/>
      <protection hidden="1"/>
    </xf>
    <xf numFmtId="0" fontId="7" fillId="0" borderId="50" xfId="0" applyFont="1" applyBorder="1" applyAlignment="1" applyProtection="1">
      <alignment horizontal="center" vertical="center" shrinkToFit="1"/>
      <protection hidden="1"/>
    </xf>
    <xf numFmtId="0" fontId="7" fillId="0" borderId="82" xfId="0" applyFont="1" applyBorder="1" applyAlignment="1" applyProtection="1">
      <alignment horizontal="center" vertical="center" shrinkToFit="1"/>
      <protection hidden="1"/>
    </xf>
    <xf numFmtId="177" fontId="9" fillId="0" borderId="17" xfId="0" applyNumberFormat="1" applyFont="1" applyBorder="1" applyAlignment="1" applyProtection="1">
      <alignment horizontal="center" vertical="center"/>
      <protection hidden="1"/>
    </xf>
    <xf numFmtId="38" fontId="0" fillId="0" borderId="1" xfId="2" applyFont="1" applyBorder="1" applyAlignment="1" applyProtection="1">
      <alignment horizontal="right" vertical="center" shrinkToFit="1"/>
      <protection hidden="1"/>
    </xf>
    <xf numFmtId="9" fontId="7" fillId="0" borderId="89" xfId="1" applyFont="1" applyBorder="1" applyAlignment="1" applyProtection="1">
      <alignment horizontal="center" vertical="center" shrinkToFit="1"/>
      <protection hidden="1"/>
    </xf>
    <xf numFmtId="9" fontId="7" fillId="0" borderId="90" xfId="1" applyFont="1" applyBorder="1" applyAlignment="1" applyProtection="1">
      <alignment horizontal="center" vertical="center" shrinkToFit="1"/>
      <protection hidden="1"/>
    </xf>
    <xf numFmtId="38" fontId="7" fillId="0" borderId="89" xfId="2" applyFont="1" applyBorder="1" applyAlignment="1" applyProtection="1">
      <alignment horizontal="right" vertical="center" shrinkToFit="1"/>
      <protection hidden="1"/>
    </xf>
    <xf numFmtId="38" fontId="7" fillId="0" borderId="24" xfId="2" applyFont="1" applyBorder="1" applyAlignment="1" applyProtection="1">
      <alignment horizontal="right" vertical="center" shrinkToFit="1"/>
      <protection hidden="1"/>
    </xf>
    <xf numFmtId="38" fontId="7" fillId="0" borderId="90" xfId="2" applyFont="1" applyBorder="1" applyAlignment="1" applyProtection="1">
      <alignment horizontal="right" vertical="center" shrinkToFit="1"/>
      <protection hidden="1"/>
    </xf>
    <xf numFmtId="9" fontId="7" fillId="0" borderId="50" xfId="1" applyFont="1" applyBorder="1" applyAlignment="1" applyProtection="1">
      <alignment horizontal="center" vertical="center" shrinkToFit="1"/>
      <protection locked="0"/>
    </xf>
    <xf numFmtId="9" fontId="7" fillId="0" borderId="51" xfId="1" applyFont="1" applyBorder="1" applyAlignment="1" applyProtection="1">
      <alignment horizontal="center" vertical="center" shrinkToFit="1"/>
      <protection locked="0"/>
    </xf>
    <xf numFmtId="38" fontId="7" fillId="0" borderId="50" xfId="2" applyFont="1" applyBorder="1" applyAlignment="1" applyProtection="1">
      <alignment horizontal="right" vertical="center" shrinkToFit="1"/>
      <protection hidden="1"/>
    </xf>
    <xf numFmtId="38" fontId="7" fillId="0" borderId="81" xfId="2" applyFont="1" applyBorder="1" applyAlignment="1" applyProtection="1">
      <alignment horizontal="right" vertical="center" shrinkToFit="1"/>
      <protection hidden="1"/>
    </xf>
    <xf numFmtId="38" fontId="7" fillId="0" borderId="51" xfId="2" applyFont="1" applyBorder="1" applyAlignment="1" applyProtection="1">
      <alignment horizontal="right" vertical="center" shrinkToFit="1"/>
      <protection hidden="1"/>
    </xf>
    <xf numFmtId="9" fontId="7" fillId="0" borderId="39" xfId="1" applyFont="1" applyBorder="1" applyAlignment="1" applyProtection="1">
      <alignment horizontal="center" vertical="center" shrinkToFit="1"/>
      <protection locked="0"/>
    </xf>
    <xf numFmtId="9" fontId="7" fillId="0" borderId="41" xfId="1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13" fillId="0" borderId="4" xfId="0" applyFont="1" applyFill="1" applyBorder="1" applyAlignment="1" applyProtection="1">
      <alignment horizontal="center" vertical="center"/>
      <protection hidden="1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4"/>
    <cellStyle name="標準_負荷チェックシート（水谷修正）" xfId="3"/>
  </cellStyles>
  <dxfs count="46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ill>
        <patternFill patternType="solid"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ill>
        <patternFill patternType="solid"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66"/>
      <color rgb="FF99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AQ$7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AQ$7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B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B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0</xdr:row>
          <xdr:rowOff>47625</xdr:rowOff>
        </xdr:from>
        <xdr:to>
          <xdr:col>21</xdr:col>
          <xdr:colOff>133350</xdr:colOff>
          <xdr:row>1</xdr:row>
          <xdr:rowOff>123825</xdr:rowOff>
        </xdr:to>
        <xdr:sp macro="" textlink="">
          <xdr:nvSpPr>
            <xdr:cNvPr id="90113" name="Option Button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C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0</xdr:row>
          <xdr:rowOff>47625</xdr:rowOff>
        </xdr:from>
        <xdr:to>
          <xdr:col>28</xdr:col>
          <xdr:colOff>76200</xdr:colOff>
          <xdr:row>1</xdr:row>
          <xdr:rowOff>123825</xdr:rowOff>
        </xdr:to>
        <xdr:sp macro="" textlink="">
          <xdr:nvSpPr>
            <xdr:cNvPr id="90114" name="Option Button 2" hidden="1">
              <a:extLst>
                <a:ext uri="{63B3BB69-23CF-44E3-9099-C40C66FF867C}">
                  <a14:compatExt spid="_x0000_s90114"/>
                </a:ext>
                <a:ext uri="{FF2B5EF4-FFF2-40B4-BE49-F238E27FC236}">
                  <a16:creationId xmlns:a16="http://schemas.microsoft.com/office/drawing/2014/main" id="{00000000-0008-0000-0C00-000002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152400</xdr:colOff>
      <xdr:row>0</xdr:row>
      <xdr:rowOff>57150</xdr:rowOff>
    </xdr:from>
    <xdr:ext cx="1104900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5095875" y="57150"/>
          <a:ext cx="11049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手動選択</a:t>
          </a:r>
        </a:p>
      </xdr:txBody>
    </xdr:sp>
    <xdr:clientData/>
  </xdr:oneCellAnchor>
  <xdr:oneCellAnchor>
    <xdr:from>
      <xdr:col>21</xdr:col>
      <xdr:colOff>0</xdr:colOff>
      <xdr:row>0</xdr:row>
      <xdr:rowOff>57150</xdr:rowOff>
    </xdr:from>
    <xdr:ext cx="876300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3857625" y="57150"/>
          <a:ext cx="8763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自動選択</a:t>
          </a:r>
        </a:p>
      </xdr:txBody>
    </xdr:sp>
    <xdr:clientData/>
  </xdr:oneCellAnchor>
  <xdr:oneCellAnchor>
    <xdr:from>
      <xdr:col>71</xdr:col>
      <xdr:colOff>476250</xdr:colOff>
      <xdr:row>6</xdr:row>
      <xdr:rowOff>171450</xdr:rowOff>
    </xdr:from>
    <xdr:ext cx="2162175" cy="592470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781925" y="1219200"/>
          <a:ext cx="2162175" cy="592470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  <xdr:oneCellAnchor>
    <xdr:from>
      <xdr:col>71</xdr:col>
      <xdr:colOff>161925</xdr:colOff>
      <xdr:row>1</xdr:row>
      <xdr:rowOff>66675</xdr:rowOff>
    </xdr:from>
    <xdr:ext cx="2162175" cy="425758"/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467600" y="238125"/>
          <a:ext cx="2162175" cy="425758"/>
        </a:xfrm>
        <a:prstGeom prst="wedgeRectCallout">
          <a:avLst>
            <a:gd name="adj1" fmla="val -54785"/>
            <a:gd name="adj2" fmla="val -41983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負荷率を様式の標準値で計算するか、手記入するかを選択します。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0</xdr:row>
          <xdr:rowOff>47625</xdr:rowOff>
        </xdr:from>
        <xdr:to>
          <xdr:col>21</xdr:col>
          <xdr:colOff>133350</xdr:colOff>
          <xdr:row>1</xdr:row>
          <xdr:rowOff>123825</xdr:rowOff>
        </xdr:to>
        <xdr:sp macro="" textlink="">
          <xdr:nvSpPr>
            <xdr:cNvPr id="108545" name="Option Button 1" hidden="1">
              <a:extLst>
                <a:ext uri="{63B3BB69-23CF-44E3-9099-C40C66FF867C}">
                  <a14:compatExt spid="_x0000_s108545"/>
                </a:ext>
                <a:ext uri="{FF2B5EF4-FFF2-40B4-BE49-F238E27FC236}">
                  <a16:creationId xmlns:a16="http://schemas.microsoft.com/office/drawing/2014/main" id="{00000000-0008-0000-0D00-000001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0</xdr:row>
          <xdr:rowOff>47625</xdr:rowOff>
        </xdr:from>
        <xdr:to>
          <xdr:col>28</xdr:col>
          <xdr:colOff>76200</xdr:colOff>
          <xdr:row>1</xdr:row>
          <xdr:rowOff>123825</xdr:rowOff>
        </xdr:to>
        <xdr:sp macro="" textlink="">
          <xdr:nvSpPr>
            <xdr:cNvPr id="108546" name="Option Button 2" hidden="1">
              <a:extLst>
                <a:ext uri="{63B3BB69-23CF-44E3-9099-C40C66FF867C}">
                  <a14:compatExt spid="_x0000_s108546"/>
                </a:ext>
                <a:ext uri="{FF2B5EF4-FFF2-40B4-BE49-F238E27FC236}">
                  <a16:creationId xmlns:a16="http://schemas.microsoft.com/office/drawing/2014/main" id="{00000000-0008-0000-0D00-000002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152400</xdr:colOff>
      <xdr:row>0</xdr:row>
      <xdr:rowOff>57150</xdr:rowOff>
    </xdr:from>
    <xdr:ext cx="1104900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5095875" y="57150"/>
          <a:ext cx="11049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手動選択</a:t>
          </a:r>
        </a:p>
      </xdr:txBody>
    </xdr:sp>
    <xdr:clientData/>
  </xdr:oneCellAnchor>
  <xdr:oneCellAnchor>
    <xdr:from>
      <xdr:col>21</xdr:col>
      <xdr:colOff>0</xdr:colOff>
      <xdr:row>0</xdr:row>
      <xdr:rowOff>57150</xdr:rowOff>
    </xdr:from>
    <xdr:ext cx="8763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3857625" y="57150"/>
          <a:ext cx="8763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自動選択</a:t>
          </a:r>
        </a:p>
      </xdr:txBody>
    </xdr:sp>
    <xdr:clientData/>
  </xdr:oneCellAnchor>
  <xdr:oneCellAnchor>
    <xdr:from>
      <xdr:col>71</xdr:col>
      <xdr:colOff>276225</xdr:colOff>
      <xdr:row>8</xdr:row>
      <xdr:rowOff>38100</xdr:rowOff>
    </xdr:from>
    <xdr:ext cx="2162175" cy="592470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7258050" y="1495425"/>
          <a:ext cx="2162175" cy="592470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  <xdr:oneCellAnchor>
    <xdr:from>
      <xdr:col>71</xdr:col>
      <xdr:colOff>152400</xdr:colOff>
      <xdr:row>1</xdr:row>
      <xdr:rowOff>47625</xdr:rowOff>
    </xdr:from>
    <xdr:ext cx="2162175" cy="425758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7134225" y="219075"/>
          <a:ext cx="2162175" cy="425758"/>
        </a:xfrm>
        <a:prstGeom prst="wedgeRectCallout">
          <a:avLst>
            <a:gd name="adj1" fmla="val -54344"/>
            <a:gd name="adj2" fmla="val -31946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負荷率の選択の方式は導入前シートと同じにします。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RowHeight="13.5"/>
  <cols>
    <col min="1" max="35" width="2.625" style="5" customWidth="1"/>
    <col min="36" max="40" width="2.625" style="5" hidden="1" customWidth="1"/>
    <col min="41" max="52" width="9" style="5" hidden="1" customWidth="1"/>
    <col min="53" max="16384" width="9" style="5"/>
  </cols>
  <sheetData>
    <row r="1" spans="1:49">
      <c r="A1" s="365" t="s">
        <v>145</v>
      </c>
      <c r="B1" s="366"/>
      <c r="C1" s="366"/>
      <c r="D1" s="366"/>
      <c r="E1" s="366"/>
      <c r="F1" s="366"/>
      <c r="G1" s="366"/>
      <c r="H1" s="366"/>
      <c r="I1" s="366"/>
      <c r="J1" s="366"/>
      <c r="K1" s="367"/>
      <c r="L1" s="371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372"/>
      <c r="AB1" s="361" t="s">
        <v>15</v>
      </c>
      <c r="AC1" s="362"/>
      <c r="AD1" s="335" t="str">
        <f ca="1">RIGHT(CELL("filename",AI1),LEN(CELL("filename",AI1))-FIND("]",CELL("filename",AI1)))</f>
        <v>ボイラ排出量算定（追加)</v>
      </c>
      <c r="AE1" s="336"/>
      <c r="AF1" s="336"/>
      <c r="AG1" s="336"/>
      <c r="AH1" s="336"/>
      <c r="AI1" s="337"/>
      <c r="AU1" s="5" t="s">
        <v>47</v>
      </c>
      <c r="AV1" s="5">
        <v>1</v>
      </c>
      <c r="AW1" s="39" t="s">
        <v>48</v>
      </c>
    </row>
    <row r="2" spans="1:49">
      <c r="A2" s="368"/>
      <c r="B2" s="369"/>
      <c r="C2" s="369"/>
      <c r="D2" s="369"/>
      <c r="E2" s="369"/>
      <c r="F2" s="369"/>
      <c r="G2" s="369"/>
      <c r="H2" s="369"/>
      <c r="I2" s="369"/>
      <c r="J2" s="369"/>
      <c r="K2" s="370"/>
      <c r="L2" s="193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94"/>
      <c r="AB2" s="363"/>
      <c r="AC2" s="364"/>
      <c r="AD2" s="338"/>
      <c r="AE2" s="339"/>
      <c r="AF2" s="339"/>
      <c r="AG2" s="339"/>
      <c r="AH2" s="339"/>
      <c r="AI2" s="340"/>
      <c r="AU2" s="5" t="s">
        <v>49</v>
      </c>
      <c r="AV2" s="5">
        <v>0.995</v>
      </c>
      <c r="AW2" s="39" t="s">
        <v>50</v>
      </c>
    </row>
    <row r="3" spans="1:49" ht="13.5" customHeight="1">
      <c r="A3" s="355" t="s">
        <v>243</v>
      </c>
      <c r="B3" s="356"/>
      <c r="C3" s="356"/>
      <c r="D3" s="356"/>
      <c r="E3" s="356"/>
      <c r="F3" s="356"/>
      <c r="G3" s="356"/>
      <c r="H3" s="356"/>
      <c r="I3" s="373"/>
      <c r="J3" s="373"/>
      <c r="K3" s="373"/>
      <c r="L3" s="164" t="s">
        <v>134</v>
      </c>
      <c r="M3" s="187"/>
      <c r="N3" s="187"/>
      <c r="O3" s="187"/>
      <c r="P3" s="187"/>
      <c r="Q3" s="187"/>
      <c r="R3" s="187"/>
      <c r="S3" s="187"/>
      <c r="T3" s="187"/>
      <c r="U3" s="187"/>
      <c r="V3" s="188"/>
      <c r="W3" s="218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214"/>
      <c r="AU3" s="5" t="s">
        <v>51</v>
      </c>
      <c r="AV3" s="5">
        <v>0.99</v>
      </c>
      <c r="AW3" s="39" t="s">
        <v>52</v>
      </c>
    </row>
    <row r="4" spans="1:49" ht="13.5" customHeight="1">
      <c r="A4" s="357"/>
      <c r="B4" s="358"/>
      <c r="C4" s="358"/>
      <c r="D4" s="358"/>
      <c r="E4" s="358"/>
      <c r="F4" s="358"/>
      <c r="G4" s="358"/>
      <c r="H4" s="358"/>
      <c r="I4" s="373"/>
      <c r="J4" s="373"/>
      <c r="K4" s="373"/>
      <c r="L4" s="189"/>
      <c r="M4" s="190"/>
      <c r="N4" s="190"/>
      <c r="O4" s="190"/>
      <c r="P4" s="190"/>
      <c r="Q4" s="190"/>
      <c r="R4" s="190"/>
      <c r="S4" s="190"/>
      <c r="T4" s="190"/>
      <c r="U4" s="190"/>
      <c r="V4" s="191"/>
      <c r="W4" s="215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216"/>
      <c r="AJ4" s="6"/>
      <c r="AK4" s="9"/>
      <c r="AU4" s="5" t="s">
        <v>53</v>
      </c>
      <c r="AV4" s="5">
        <v>0.98499999999999999</v>
      </c>
      <c r="AW4" s="39" t="s">
        <v>54</v>
      </c>
    </row>
    <row r="5" spans="1:49" ht="13.5" customHeight="1">
      <c r="A5" s="150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2"/>
      <c r="AJ5" s="6"/>
      <c r="AU5" s="5" t="s">
        <v>61</v>
      </c>
      <c r="AV5" s="5">
        <v>0.98</v>
      </c>
      <c r="AW5" s="39" t="s">
        <v>62</v>
      </c>
    </row>
    <row r="6" spans="1:49" ht="13.5" customHeight="1">
      <c r="A6" s="40" t="s">
        <v>132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132" t="str">
        <f>IF(AQ7=1,"",AO25)</f>
        <v/>
      </c>
      <c r="AJ6" s="6"/>
      <c r="AK6" s="9"/>
      <c r="AU6" s="5" t="s">
        <v>63</v>
      </c>
      <c r="AV6" s="5">
        <v>0.97499999999999998</v>
      </c>
      <c r="AW6" s="39" t="s">
        <v>64</v>
      </c>
    </row>
    <row r="7" spans="1:49" ht="13.5" customHeight="1">
      <c r="A7" s="8"/>
      <c r="B7" s="9" t="s">
        <v>140</v>
      </c>
      <c r="C7" s="9"/>
      <c r="D7" s="9"/>
      <c r="E7" s="9"/>
      <c r="F7" s="42"/>
      <c r="G7" s="42"/>
      <c r="H7" s="42"/>
      <c r="I7" s="10"/>
      <c r="J7" s="9"/>
      <c r="K7" s="10"/>
      <c r="L7" s="10"/>
      <c r="M7" s="42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74">
        <v>1</v>
      </c>
      <c r="AU7" s="5" t="s">
        <v>65</v>
      </c>
      <c r="AV7" s="5">
        <v>0.97</v>
      </c>
      <c r="AW7" s="39" t="s">
        <v>66</v>
      </c>
    </row>
    <row r="8" spans="1:49" ht="13.5" customHeight="1">
      <c r="A8" s="8"/>
      <c r="B8" s="9" t="s">
        <v>139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249"/>
      <c r="AP8" s="249"/>
      <c r="AQ8" s="249"/>
      <c r="AU8" s="5" t="s">
        <v>67</v>
      </c>
      <c r="AV8" s="5">
        <v>0.96499999999999997</v>
      </c>
      <c r="AW8" s="39" t="s">
        <v>68</v>
      </c>
    </row>
    <row r="9" spans="1:49" ht="13.5" customHeight="1">
      <c r="A9" s="8"/>
      <c r="B9" s="303"/>
      <c r="C9" s="174" t="s">
        <v>135</v>
      </c>
      <c r="D9" s="174"/>
      <c r="E9" s="174"/>
      <c r="F9" s="174"/>
      <c r="G9" s="174"/>
      <c r="H9" s="174"/>
      <c r="I9" s="175"/>
      <c r="J9" s="347" t="s">
        <v>136</v>
      </c>
      <c r="K9" s="348"/>
      <c r="L9" s="348"/>
      <c r="M9" s="351" t="s">
        <v>138</v>
      </c>
      <c r="N9" s="352"/>
      <c r="O9" s="345" t="s">
        <v>137</v>
      </c>
      <c r="P9" s="345"/>
      <c r="Q9" s="345"/>
      <c r="R9" s="303"/>
      <c r="S9" s="173" t="s">
        <v>135</v>
      </c>
      <c r="T9" s="174"/>
      <c r="U9" s="174"/>
      <c r="V9" s="174"/>
      <c r="W9" s="174"/>
      <c r="X9" s="174"/>
      <c r="Y9" s="175"/>
      <c r="Z9" s="347" t="s">
        <v>136</v>
      </c>
      <c r="AA9" s="348"/>
      <c r="AB9" s="348"/>
      <c r="AC9" s="351" t="s">
        <v>138</v>
      </c>
      <c r="AD9" s="352"/>
      <c r="AE9" s="345" t="s">
        <v>137</v>
      </c>
      <c r="AF9" s="345"/>
      <c r="AG9" s="345"/>
      <c r="AH9" s="43"/>
      <c r="AI9" s="11"/>
      <c r="AU9" s="5" t="s">
        <v>69</v>
      </c>
      <c r="AV9" s="5">
        <v>0.96</v>
      </c>
      <c r="AW9" s="39" t="s">
        <v>24</v>
      </c>
    </row>
    <row r="10" spans="1:49" ht="13.5" customHeight="1">
      <c r="A10" s="8"/>
      <c r="B10" s="304"/>
      <c r="C10" s="177"/>
      <c r="D10" s="177"/>
      <c r="E10" s="177"/>
      <c r="F10" s="177"/>
      <c r="G10" s="177"/>
      <c r="H10" s="177"/>
      <c r="I10" s="178"/>
      <c r="J10" s="349"/>
      <c r="K10" s="350"/>
      <c r="L10" s="350"/>
      <c r="M10" s="353"/>
      <c r="N10" s="354"/>
      <c r="O10" s="346"/>
      <c r="P10" s="346"/>
      <c r="Q10" s="346"/>
      <c r="R10" s="304"/>
      <c r="S10" s="176"/>
      <c r="T10" s="177"/>
      <c r="U10" s="177"/>
      <c r="V10" s="177"/>
      <c r="W10" s="177"/>
      <c r="X10" s="177"/>
      <c r="Y10" s="178"/>
      <c r="Z10" s="349"/>
      <c r="AA10" s="350"/>
      <c r="AB10" s="350"/>
      <c r="AC10" s="359"/>
      <c r="AD10" s="360"/>
      <c r="AE10" s="346"/>
      <c r="AF10" s="346"/>
      <c r="AG10" s="346"/>
      <c r="AH10" s="43"/>
      <c r="AI10" s="11"/>
      <c r="AU10" s="5" t="s">
        <v>70</v>
      </c>
      <c r="AV10" s="5">
        <v>0.95499999999999996</v>
      </c>
    </row>
    <row r="11" spans="1:49" ht="13.5" customHeight="1">
      <c r="A11" s="8"/>
      <c r="B11" s="34">
        <v>1</v>
      </c>
      <c r="C11" s="227"/>
      <c r="D11" s="247"/>
      <c r="E11" s="247"/>
      <c r="F11" s="247"/>
      <c r="G11" s="247"/>
      <c r="H11" s="247"/>
      <c r="I11" s="228"/>
      <c r="J11" s="248"/>
      <c r="K11" s="245"/>
      <c r="L11" s="245"/>
      <c r="M11" s="245"/>
      <c r="N11" s="246"/>
      <c r="O11" s="227"/>
      <c r="P11" s="247"/>
      <c r="Q11" s="228"/>
      <c r="R11" s="33">
        <v>5</v>
      </c>
      <c r="S11" s="227"/>
      <c r="T11" s="247"/>
      <c r="U11" s="247"/>
      <c r="V11" s="247"/>
      <c r="W11" s="247"/>
      <c r="X11" s="247"/>
      <c r="Y11" s="228"/>
      <c r="Z11" s="248"/>
      <c r="AA11" s="245"/>
      <c r="AB11" s="245"/>
      <c r="AC11" s="245"/>
      <c r="AD11" s="246"/>
      <c r="AE11" s="227"/>
      <c r="AF11" s="247"/>
      <c r="AG11" s="228"/>
      <c r="AH11" s="44"/>
      <c r="AI11" s="11"/>
      <c r="AU11" s="5" t="s">
        <v>71</v>
      </c>
      <c r="AV11" s="5">
        <v>0.95</v>
      </c>
    </row>
    <row r="12" spans="1:49" ht="13.5" customHeight="1">
      <c r="A12" s="8"/>
      <c r="B12" s="34">
        <v>2</v>
      </c>
      <c r="C12" s="227"/>
      <c r="D12" s="247"/>
      <c r="E12" s="247"/>
      <c r="F12" s="247"/>
      <c r="G12" s="247"/>
      <c r="H12" s="247"/>
      <c r="I12" s="228"/>
      <c r="J12" s="248"/>
      <c r="K12" s="245"/>
      <c r="L12" s="245"/>
      <c r="M12" s="245"/>
      <c r="N12" s="246"/>
      <c r="O12" s="227"/>
      <c r="P12" s="247"/>
      <c r="Q12" s="228"/>
      <c r="R12" s="33">
        <v>6</v>
      </c>
      <c r="S12" s="227"/>
      <c r="T12" s="247"/>
      <c r="U12" s="247"/>
      <c r="V12" s="247"/>
      <c r="W12" s="247"/>
      <c r="X12" s="247"/>
      <c r="Y12" s="228"/>
      <c r="Z12" s="248"/>
      <c r="AA12" s="245"/>
      <c r="AB12" s="245"/>
      <c r="AC12" s="245"/>
      <c r="AD12" s="246"/>
      <c r="AE12" s="227"/>
      <c r="AF12" s="247"/>
      <c r="AG12" s="228"/>
      <c r="AH12" s="44"/>
      <c r="AI12" s="11"/>
      <c r="AU12" s="5" t="s">
        <v>72</v>
      </c>
      <c r="AV12" s="5">
        <v>0.94499999999999995</v>
      </c>
    </row>
    <row r="13" spans="1:49" ht="13.5" customHeight="1">
      <c r="A13" s="8"/>
      <c r="B13" s="34">
        <v>3</v>
      </c>
      <c r="C13" s="227"/>
      <c r="D13" s="247"/>
      <c r="E13" s="247"/>
      <c r="F13" s="247"/>
      <c r="G13" s="247"/>
      <c r="H13" s="247"/>
      <c r="I13" s="228"/>
      <c r="J13" s="248"/>
      <c r="K13" s="245"/>
      <c r="L13" s="245"/>
      <c r="M13" s="245"/>
      <c r="N13" s="246"/>
      <c r="O13" s="227"/>
      <c r="P13" s="247"/>
      <c r="Q13" s="228"/>
      <c r="R13" s="33">
        <v>7</v>
      </c>
      <c r="S13" s="227"/>
      <c r="T13" s="247"/>
      <c r="U13" s="247"/>
      <c r="V13" s="247"/>
      <c r="W13" s="247"/>
      <c r="X13" s="247"/>
      <c r="Y13" s="228"/>
      <c r="Z13" s="248"/>
      <c r="AA13" s="245"/>
      <c r="AB13" s="245"/>
      <c r="AC13" s="245"/>
      <c r="AD13" s="246"/>
      <c r="AE13" s="227"/>
      <c r="AF13" s="247"/>
      <c r="AG13" s="228"/>
      <c r="AH13" s="44"/>
      <c r="AI13" s="11"/>
      <c r="AU13" s="5" t="s">
        <v>73</v>
      </c>
      <c r="AV13" s="5">
        <v>0.94</v>
      </c>
    </row>
    <row r="14" spans="1:49" ht="13.5" customHeight="1">
      <c r="A14" s="8"/>
      <c r="B14" s="34">
        <v>4</v>
      </c>
      <c r="C14" s="227"/>
      <c r="D14" s="247"/>
      <c r="E14" s="247"/>
      <c r="F14" s="247"/>
      <c r="G14" s="247"/>
      <c r="H14" s="247"/>
      <c r="I14" s="228"/>
      <c r="J14" s="248"/>
      <c r="K14" s="245"/>
      <c r="L14" s="245"/>
      <c r="M14" s="245"/>
      <c r="N14" s="246"/>
      <c r="O14" s="227"/>
      <c r="P14" s="247"/>
      <c r="Q14" s="228"/>
      <c r="R14" s="33">
        <v>8</v>
      </c>
      <c r="S14" s="227"/>
      <c r="T14" s="247"/>
      <c r="U14" s="247"/>
      <c r="V14" s="247"/>
      <c r="W14" s="247"/>
      <c r="X14" s="247"/>
      <c r="Y14" s="228"/>
      <c r="Z14" s="248"/>
      <c r="AA14" s="245"/>
      <c r="AB14" s="245"/>
      <c r="AC14" s="245"/>
      <c r="AD14" s="246"/>
      <c r="AE14" s="227"/>
      <c r="AF14" s="247"/>
      <c r="AG14" s="228"/>
      <c r="AH14" s="44"/>
      <c r="AI14" s="11"/>
      <c r="AU14" s="5" t="s">
        <v>74</v>
      </c>
      <c r="AV14" s="5">
        <v>0.93500000000000005</v>
      </c>
    </row>
    <row r="15" spans="1:49">
      <c r="A15" s="8"/>
      <c r="B15" s="32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20"/>
      <c r="AK15" s="9"/>
      <c r="AL15" s="9"/>
      <c r="AU15" s="5" t="s">
        <v>75</v>
      </c>
      <c r="AV15" s="5">
        <v>0.93</v>
      </c>
    </row>
    <row r="16" spans="1:49">
      <c r="A16" s="8"/>
      <c r="B16" s="9" t="s">
        <v>141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76</v>
      </c>
      <c r="AV16" s="5">
        <v>0.92500000000000004</v>
      </c>
    </row>
    <row r="17" spans="1:48">
      <c r="A17" s="8"/>
      <c r="B17" s="303"/>
      <c r="C17" s="158" t="s">
        <v>55</v>
      </c>
      <c r="D17" s="159"/>
      <c r="E17" s="159"/>
      <c r="F17" s="159"/>
      <c r="G17" s="159"/>
      <c r="H17" s="159"/>
      <c r="I17" s="159"/>
      <c r="J17" s="160"/>
      <c r="K17" s="158" t="s">
        <v>56</v>
      </c>
      <c r="L17" s="159"/>
      <c r="M17" s="159"/>
      <c r="N17" s="160"/>
      <c r="O17" s="341" t="s">
        <v>57</v>
      </c>
      <c r="P17" s="342"/>
      <c r="Q17" s="173" t="s">
        <v>25</v>
      </c>
      <c r="R17" s="174"/>
      <c r="S17" s="174"/>
      <c r="T17" s="175"/>
      <c r="U17" s="158" t="s">
        <v>26</v>
      </c>
      <c r="V17" s="160"/>
      <c r="W17" s="231" t="s">
        <v>58</v>
      </c>
      <c r="X17" s="232"/>
      <c r="Y17" s="232"/>
      <c r="Z17" s="232"/>
      <c r="AA17" s="232"/>
      <c r="AB17" s="233"/>
      <c r="AC17" s="318" t="s">
        <v>59</v>
      </c>
      <c r="AD17" s="319"/>
      <c r="AE17" s="157" t="s">
        <v>60</v>
      </c>
      <c r="AF17" s="157"/>
      <c r="AG17" s="157"/>
      <c r="AH17" s="157"/>
      <c r="AI17" s="12"/>
      <c r="AJ17" s="20"/>
      <c r="AK17" s="9"/>
      <c r="AU17" s="5" t="s">
        <v>77</v>
      </c>
      <c r="AV17" s="5">
        <v>0.92</v>
      </c>
    </row>
    <row r="18" spans="1:48">
      <c r="A18" s="8"/>
      <c r="B18" s="304"/>
      <c r="C18" s="161"/>
      <c r="D18" s="162"/>
      <c r="E18" s="162"/>
      <c r="F18" s="162"/>
      <c r="G18" s="162"/>
      <c r="H18" s="162"/>
      <c r="I18" s="162"/>
      <c r="J18" s="163"/>
      <c r="K18" s="161"/>
      <c r="L18" s="162"/>
      <c r="M18" s="162"/>
      <c r="N18" s="163"/>
      <c r="O18" s="343"/>
      <c r="P18" s="344"/>
      <c r="Q18" s="176"/>
      <c r="R18" s="177"/>
      <c r="S18" s="177"/>
      <c r="T18" s="178"/>
      <c r="U18" s="161"/>
      <c r="V18" s="163"/>
      <c r="W18" s="234"/>
      <c r="X18" s="235"/>
      <c r="Y18" s="235"/>
      <c r="Z18" s="235"/>
      <c r="AA18" s="235"/>
      <c r="AB18" s="236"/>
      <c r="AC18" s="320"/>
      <c r="AD18" s="321"/>
      <c r="AE18" s="157"/>
      <c r="AF18" s="157"/>
      <c r="AG18" s="157"/>
      <c r="AH18" s="157"/>
      <c r="AI18" s="12"/>
      <c r="AJ18" s="20"/>
      <c r="AK18" s="9"/>
      <c r="AR18" s="5" t="s">
        <v>131</v>
      </c>
      <c r="AU18" s="5" t="s">
        <v>78</v>
      </c>
      <c r="AV18" s="5">
        <v>0.91500000000000004</v>
      </c>
    </row>
    <row r="19" spans="1:48" ht="13.5" customHeight="1">
      <c r="A19" s="44"/>
      <c r="B19" s="33">
        <v>1</v>
      </c>
      <c r="C19" s="227"/>
      <c r="D19" s="247"/>
      <c r="E19" s="247"/>
      <c r="F19" s="247"/>
      <c r="G19" s="247"/>
      <c r="H19" s="247"/>
      <c r="I19" s="247"/>
      <c r="J19" s="228"/>
      <c r="K19" s="300"/>
      <c r="L19" s="301"/>
      <c r="M19" s="301"/>
      <c r="N19" s="302"/>
      <c r="O19" s="311"/>
      <c r="P19" s="312"/>
      <c r="Q19" s="313"/>
      <c r="R19" s="314"/>
      <c r="S19" s="314"/>
      <c r="T19" s="315"/>
      <c r="U19" s="153"/>
      <c r="V19" s="154"/>
      <c r="W19" s="328"/>
      <c r="X19" s="328"/>
      <c r="Y19" s="328"/>
      <c r="Z19" s="329"/>
      <c r="AA19" s="326" t="str">
        <f>IF(Q19="","",VLOOKUP(Q19,$B$71:$Y$80,10,FALSE))</f>
        <v/>
      </c>
      <c r="AB19" s="327"/>
      <c r="AC19" s="316"/>
      <c r="AD19" s="317"/>
      <c r="AE19" s="325" t="str">
        <f>IF(Q19="","",W19*AL19*AP19*44/12)</f>
        <v/>
      </c>
      <c r="AF19" s="325"/>
      <c r="AG19" s="325"/>
      <c r="AH19" s="325"/>
      <c r="AI19" s="45"/>
      <c r="AJ19" s="20"/>
      <c r="AK19" s="9"/>
      <c r="AL19" s="5" t="e">
        <f>VLOOKUP(Q19,$B$71:$Y$80,13,FALSE)</f>
        <v>#N/A</v>
      </c>
      <c r="AM19" s="226" t="e">
        <f>VLOOKUP(Q19,$B$71:$Y$80,17,FALSE)</f>
        <v>#N/A</v>
      </c>
      <c r="AN19" s="226"/>
      <c r="AO19" s="226"/>
      <c r="AP19" s="46" t="e">
        <f>VLOOKUP(Q19,$B$71:$Y$80,21,FALSE)</f>
        <v>#N/A</v>
      </c>
      <c r="AQ19" s="46">
        <f>Q19</f>
        <v>0</v>
      </c>
      <c r="AR19" s="47" t="e">
        <f>IF(W19="","",W19*AM19)*AC19</f>
        <v>#VALUE!</v>
      </c>
      <c r="AT19" s="5" t="e">
        <f>VLOOKUP(O19,$AU$1:$AV$60,2,FALSE)</f>
        <v>#N/A</v>
      </c>
      <c r="AU19" s="5" t="s">
        <v>79</v>
      </c>
      <c r="AV19" s="5">
        <v>0.91</v>
      </c>
    </row>
    <row r="20" spans="1:48" ht="13.5" customHeight="1">
      <c r="A20" s="8"/>
      <c r="B20" s="33">
        <v>2</v>
      </c>
      <c r="C20" s="227"/>
      <c r="D20" s="247"/>
      <c r="E20" s="247"/>
      <c r="F20" s="247"/>
      <c r="G20" s="247"/>
      <c r="H20" s="247"/>
      <c r="I20" s="247"/>
      <c r="J20" s="228"/>
      <c r="K20" s="300"/>
      <c r="L20" s="301"/>
      <c r="M20" s="301"/>
      <c r="N20" s="302"/>
      <c r="O20" s="311"/>
      <c r="P20" s="312"/>
      <c r="Q20" s="313"/>
      <c r="R20" s="314"/>
      <c r="S20" s="314"/>
      <c r="T20" s="315"/>
      <c r="U20" s="153"/>
      <c r="V20" s="154"/>
      <c r="W20" s="328"/>
      <c r="X20" s="328"/>
      <c r="Y20" s="328"/>
      <c r="Z20" s="329"/>
      <c r="AA20" s="326" t="str">
        <f>IF(Q20="","",VLOOKUP(Q20,$B$71:$Y$80,10,FALSE))</f>
        <v/>
      </c>
      <c r="AB20" s="327"/>
      <c r="AC20" s="316"/>
      <c r="AD20" s="317"/>
      <c r="AE20" s="325" t="str">
        <f t="shared" ref="AE20:AE22" si="0">IF(Q20="","",W20*AL20*AP20*44/12)</f>
        <v/>
      </c>
      <c r="AF20" s="325"/>
      <c r="AG20" s="325"/>
      <c r="AH20" s="325"/>
      <c r="AI20" s="45"/>
      <c r="AL20" s="5" t="e">
        <f t="shared" ref="AL20:AL22" si="1">VLOOKUP(Q20,$B$71:$Y$80,13,FALSE)</f>
        <v>#N/A</v>
      </c>
      <c r="AM20" s="226" t="e">
        <f>VLOOKUP(Q20,$B$71:$Y$80,17,FALSE)</f>
        <v>#N/A</v>
      </c>
      <c r="AN20" s="226"/>
      <c r="AO20" s="226"/>
      <c r="AP20" s="46" t="e">
        <f>VLOOKUP(Q20,$B$71:$Y$80,21,FALSE)</f>
        <v>#N/A</v>
      </c>
      <c r="AR20" s="47" t="e">
        <f t="shared" ref="AR20:AR22" si="2">IF(W20="","",W20*AM20)*AC20</f>
        <v>#VALUE!</v>
      </c>
      <c r="AT20" s="5" t="e">
        <f t="shared" ref="AT20:AT22" si="3">VLOOKUP(O20,$AU$1:$AV$60,2,FALSE)</f>
        <v>#N/A</v>
      </c>
      <c r="AU20" s="5" t="s">
        <v>80</v>
      </c>
      <c r="AV20" s="5">
        <v>0.90500000000000003</v>
      </c>
    </row>
    <row r="21" spans="1:48" ht="13.5" customHeight="1">
      <c r="A21" s="8"/>
      <c r="B21" s="33">
        <v>3</v>
      </c>
      <c r="C21" s="227"/>
      <c r="D21" s="247"/>
      <c r="E21" s="247"/>
      <c r="F21" s="247"/>
      <c r="G21" s="247"/>
      <c r="H21" s="247"/>
      <c r="I21" s="247"/>
      <c r="J21" s="228"/>
      <c r="K21" s="330"/>
      <c r="L21" s="331"/>
      <c r="M21" s="331"/>
      <c r="N21" s="332"/>
      <c r="O21" s="311"/>
      <c r="P21" s="312"/>
      <c r="Q21" s="313"/>
      <c r="R21" s="314"/>
      <c r="S21" s="314"/>
      <c r="T21" s="315"/>
      <c r="U21" s="153"/>
      <c r="V21" s="154"/>
      <c r="W21" s="328"/>
      <c r="X21" s="328"/>
      <c r="Y21" s="328"/>
      <c r="Z21" s="329"/>
      <c r="AA21" s="326" t="str">
        <f>IF(Q21="","",VLOOKUP(Q21,$B$71:$Y$80,10,FALSE))</f>
        <v/>
      </c>
      <c r="AB21" s="327"/>
      <c r="AC21" s="316"/>
      <c r="AD21" s="317"/>
      <c r="AE21" s="325" t="str">
        <f t="shared" si="0"/>
        <v/>
      </c>
      <c r="AF21" s="325"/>
      <c r="AG21" s="325"/>
      <c r="AH21" s="325"/>
      <c r="AI21" s="45"/>
      <c r="AL21" s="5" t="e">
        <f t="shared" si="1"/>
        <v>#N/A</v>
      </c>
      <c r="AM21" s="226" t="e">
        <f>VLOOKUP(Q21,$B$71:$Y$80,17,FALSE)</f>
        <v>#N/A</v>
      </c>
      <c r="AN21" s="226"/>
      <c r="AO21" s="226"/>
      <c r="AP21" s="46" t="e">
        <f>VLOOKUP(Q21,$B$71:$Y$80,21,FALSE)</f>
        <v>#N/A</v>
      </c>
      <c r="AR21" s="47" t="e">
        <f t="shared" si="2"/>
        <v>#VALUE!</v>
      </c>
      <c r="AT21" s="5" t="e">
        <f t="shared" si="3"/>
        <v>#N/A</v>
      </c>
      <c r="AU21" s="5" t="s">
        <v>81</v>
      </c>
      <c r="AV21" s="5">
        <v>0.9</v>
      </c>
    </row>
    <row r="22" spans="1:48" ht="13.5" customHeight="1" thickBot="1">
      <c r="A22" s="8"/>
      <c r="B22" s="33">
        <v>4</v>
      </c>
      <c r="C22" s="227"/>
      <c r="D22" s="247"/>
      <c r="E22" s="247"/>
      <c r="F22" s="247"/>
      <c r="G22" s="247"/>
      <c r="H22" s="247"/>
      <c r="I22" s="247"/>
      <c r="J22" s="228"/>
      <c r="K22" s="300"/>
      <c r="L22" s="301"/>
      <c r="M22" s="301"/>
      <c r="N22" s="302"/>
      <c r="O22" s="311"/>
      <c r="P22" s="312"/>
      <c r="Q22" s="313"/>
      <c r="R22" s="314"/>
      <c r="S22" s="314"/>
      <c r="T22" s="315"/>
      <c r="U22" s="153"/>
      <c r="V22" s="154"/>
      <c r="W22" s="328"/>
      <c r="X22" s="328"/>
      <c r="Y22" s="328"/>
      <c r="Z22" s="329"/>
      <c r="AA22" s="326" t="str">
        <f>IF(Q22="","",VLOOKUP(Q22,$B$71:$Y$80,10,FALSE))</f>
        <v/>
      </c>
      <c r="AB22" s="327"/>
      <c r="AC22" s="316"/>
      <c r="AD22" s="317"/>
      <c r="AE22" s="325" t="str">
        <f t="shared" si="0"/>
        <v/>
      </c>
      <c r="AF22" s="325"/>
      <c r="AG22" s="325"/>
      <c r="AH22" s="325"/>
      <c r="AI22" s="45"/>
      <c r="AL22" s="5" t="e">
        <f t="shared" si="1"/>
        <v>#N/A</v>
      </c>
      <c r="AM22" s="226" t="e">
        <f>VLOOKUP(Q22,$B$71:$Y$80,17,FALSE)</f>
        <v>#N/A</v>
      </c>
      <c r="AN22" s="226"/>
      <c r="AO22" s="226"/>
      <c r="AP22" s="46" t="e">
        <f>VLOOKUP(Q22,$B$71:$Y$80,21,FALSE)</f>
        <v>#N/A</v>
      </c>
      <c r="AR22" s="47" t="e">
        <f t="shared" si="2"/>
        <v>#VALUE!</v>
      </c>
      <c r="AT22" s="5" t="e">
        <f t="shared" si="3"/>
        <v>#N/A</v>
      </c>
      <c r="AU22" s="5" t="s">
        <v>82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48"/>
      <c r="R23" s="48"/>
      <c r="S23" s="48"/>
      <c r="T23" s="48"/>
      <c r="U23" s="137"/>
      <c r="V23" s="41"/>
      <c r="W23" s="137"/>
      <c r="X23" s="137"/>
      <c r="Y23" s="137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9">
        <f>_xlfn.AGGREGATE(9,7,AR19:AR22)</f>
        <v>0</v>
      </c>
      <c r="AU23" s="5" t="s">
        <v>83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50" t="str">
        <f>IF(COUNTIF(K19:K22,"その他")&gt;=1,"ボイラ方式がその他の場合の説明を記載→","")</f>
        <v/>
      </c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84</v>
      </c>
      <c r="AV24" s="5">
        <v>0.88500000000000001</v>
      </c>
    </row>
    <row r="25" spans="1:48" ht="13.5" customHeight="1">
      <c r="A25" s="8"/>
      <c r="B25" s="20"/>
      <c r="C25" s="20"/>
      <c r="D25" s="9"/>
      <c r="E25" s="9"/>
      <c r="F25" s="6"/>
      <c r="G25" s="20"/>
      <c r="H25" s="9"/>
      <c r="I25" s="9"/>
      <c r="J25" s="6"/>
      <c r="K25" s="20"/>
      <c r="L25" s="9"/>
      <c r="M25" s="9"/>
      <c r="N25" s="9"/>
      <c r="O25" s="9"/>
      <c r="P25" s="6"/>
      <c r="Q25" s="20"/>
      <c r="R25" s="51" t="s">
        <v>10</v>
      </c>
      <c r="S25" s="237" t="s">
        <v>14</v>
      </c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8"/>
      <c r="AO25" s="5" t="s">
        <v>231</v>
      </c>
      <c r="AU25" s="5" t="s">
        <v>85</v>
      </c>
      <c r="AV25" s="5">
        <v>0.88</v>
      </c>
    </row>
    <row r="26" spans="1:48" ht="13.5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52" t="str">
        <f>IF(AQ7=1,"",AO26)</f>
        <v/>
      </c>
      <c r="Q26" s="15"/>
      <c r="R26" s="16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40"/>
      <c r="AO26" s="5" t="s">
        <v>230</v>
      </c>
      <c r="AU26" s="5" t="s">
        <v>86</v>
      </c>
      <c r="AV26" s="5">
        <v>0.875</v>
      </c>
    </row>
    <row r="27" spans="1:48" ht="13.5" customHeight="1">
      <c r="A27" s="53"/>
      <c r="B27" s="22"/>
      <c r="C27" s="23"/>
      <c r="D27" s="23"/>
      <c r="F27" s="23"/>
      <c r="G27" s="23"/>
      <c r="H27" s="374" t="s">
        <v>7</v>
      </c>
      <c r="I27" s="374"/>
      <c r="J27" s="374"/>
      <c r="K27" s="374"/>
      <c r="L27" s="374"/>
      <c r="M27" s="374"/>
      <c r="N27" s="374"/>
      <c r="O27" s="374"/>
      <c r="P27" s="376"/>
      <c r="Q27" s="377"/>
      <c r="R27" s="377"/>
      <c r="S27" s="377"/>
      <c r="T27" s="377"/>
      <c r="U27" s="377"/>
      <c r="V27" s="165" t="s">
        <v>4</v>
      </c>
      <c r="W27" s="165"/>
      <c r="X27" s="165"/>
      <c r="Y27" s="166"/>
      <c r="Z27" s="241">
        <f>SUM(AE19:AG22)</f>
        <v>0</v>
      </c>
      <c r="AA27" s="242"/>
      <c r="AB27" s="242"/>
      <c r="AC27" s="242"/>
      <c r="AD27" s="242"/>
      <c r="AE27" s="242"/>
      <c r="AF27" s="182" t="s">
        <v>4</v>
      </c>
      <c r="AG27" s="182"/>
      <c r="AH27" s="182"/>
      <c r="AI27" s="183"/>
      <c r="AU27" s="5" t="s">
        <v>87</v>
      </c>
      <c r="AV27" s="5">
        <v>0.87</v>
      </c>
    </row>
    <row r="28" spans="1:48" ht="13.5" customHeight="1">
      <c r="A28" s="53"/>
      <c r="B28" s="22"/>
      <c r="C28" s="23"/>
      <c r="D28" s="23"/>
      <c r="F28" s="23"/>
      <c r="G28" s="23"/>
      <c r="H28" s="375"/>
      <c r="I28" s="375"/>
      <c r="J28" s="375"/>
      <c r="K28" s="375"/>
      <c r="L28" s="375"/>
      <c r="M28" s="375"/>
      <c r="N28" s="375"/>
      <c r="O28" s="375"/>
      <c r="P28" s="378"/>
      <c r="Q28" s="379"/>
      <c r="R28" s="379"/>
      <c r="S28" s="379"/>
      <c r="T28" s="379"/>
      <c r="U28" s="379"/>
      <c r="V28" s="168"/>
      <c r="W28" s="168"/>
      <c r="X28" s="168"/>
      <c r="Y28" s="169"/>
      <c r="Z28" s="243"/>
      <c r="AA28" s="244"/>
      <c r="AB28" s="244"/>
      <c r="AC28" s="244"/>
      <c r="AD28" s="244"/>
      <c r="AE28" s="244"/>
      <c r="AF28" s="168"/>
      <c r="AG28" s="168"/>
      <c r="AH28" s="168"/>
      <c r="AI28" s="169"/>
      <c r="AU28" s="5" t="s">
        <v>88</v>
      </c>
      <c r="AV28" s="5">
        <v>0.86499999999999999</v>
      </c>
    </row>
    <row r="29" spans="1:48" ht="13.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U29" s="5" t="s">
        <v>89</v>
      </c>
      <c r="AV29" s="5">
        <v>0.86</v>
      </c>
    </row>
    <row r="30" spans="1:48" ht="13.5" customHeight="1">
      <c r="A30" s="150" t="s">
        <v>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2"/>
      <c r="AU30" s="5" t="s">
        <v>90</v>
      </c>
      <c r="AV30" s="5">
        <v>0.85499999999999998</v>
      </c>
    </row>
    <row r="31" spans="1:48" ht="13.5" customHeight="1">
      <c r="A31" s="54" t="s">
        <v>133</v>
      </c>
      <c r="B31" s="41"/>
      <c r="C31" s="55"/>
      <c r="D31" s="55"/>
      <c r="E31" s="55"/>
      <c r="F31" s="5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56"/>
      <c r="AU31" s="5" t="s">
        <v>91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92</v>
      </c>
      <c r="AV32" s="5">
        <v>0.84499999999999997</v>
      </c>
    </row>
    <row r="33" spans="1:48" ht="13.5" customHeight="1">
      <c r="A33" s="8"/>
      <c r="B33" s="9" t="s">
        <v>28</v>
      </c>
      <c r="C33" s="9"/>
      <c r="D33" s="9"/>
      <c r="E33" s="9"/>
      <c r="F33" s="9"/>
      <c r="G33" s="9"/>
      <c r="H33" s="9"/>
      <c r="I33" s="170"/>
      <c r="J33" s="171"/>
      <c r="K33" s="171"/>
      <c r="L33" s="171"/>
      <c r="M33" s="171"/>
      <c r="N33" s="171"/>
      <c r="O33" s="171"/>
      <c r="P33" s="172"/>
      <c r="Q33" s="6"/>
      <c r="R33" s="9"/>
      <c r="S33" s="57"/>
      <c r="T33" s="57"/>
      <c r="U33" s="9"/>
      <c r="V33" s="9"/>
      <c r="W33" s="9"/>
      <c r="X33" s="9"/>
      <c r="Y33" s="58"/>
      <c r="Z33" s="58"/>
      <c r="AA33" s="58"/>
      <c r="AB33" s="58"/>
      <c r="AC33" s="9"/>
      <c r="AD33" s="9"/>
      <c r="AE33" s="9"/>
      <c r="AF33" s="9"/>
      <c r="AG33" s="42"/>
      <c r="AH33" s="10"/>
      <c r="AI33" s="11"/>
      <c r="AU33" s="5" t="s">
        <v>93</v>
      </c>
      <c r="AV33" s="5">
        <v>0.84</v>
      </c>
    </row>
    <row r="34" spans="1:48" ht="13.5" customHeight="1">
      <c r="A34" s="8"/>
      <c r="B34" s="9" t="s">
        <v>0</v>
      </c>
      <c r="C34" s="9"/>
      <c r="D34" s="9"/>
      <c r="E34" s="9"/>
      <c r="F34" s="9"/>
      <c r="G34" s="9"/>
      <c r="H34" s="9"/>
      <c r="I34" s="251"/>
      <c r="J34" s="252"/>
      <c r="K34" s="252"/>
      <c r="L34" s="252"/>
      <c r="M34" s="252"/>
      <c r="N34" s="252"/>
      <c r="O34" s="252"/>
      <c r="P34" s="253"/>
      <c r="Q34" s="9" t="s">
        <v>142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94</v>
      </c>
      <c r="AV34" s="5">
        <v>0.83499999999999996</v>
      </c>
    </row>
    <row r="35" spans="1:48" ht="13.5" customHeight="1">
      <c r="A35" s="8"/>
      <c r="B35" s="9" t="s">
        <v>25</v>
      </c>
      <c r="C35" s="9"/>
      <c r="D35" s="9"/>
      <c r="E35" s="9"/>
      <c r="F35" s="9"/>
      <c r="G35" s="9"/>
      <c r="H35" s="9"/>
      <c r="I35" s="313"/>
      <c r="J35" s="314"/>
      <c r="K35" s="314"/>
      <c r="L35" s="314"/>
      <c r="M35" s="314"/>
      <c r="N35" s="314"/>
      <c r="O35" s="314"/>
      <c r="P35" s="315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95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96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97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9"/>
      <c r="J38" s="59"/>
      <c r="K38" s="59"/>
      <c r="L38" s="59"/>
      <c r="M38" s="59"/>
      <c r="N38" s="9" t="s">
        <v>143</v>
      </c>
      <c r="O38" s="59"/>
      <c r="P38" s="5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98</v>
      </c>
      <c r="AV38" s="5">
        <v>0.81499999999999995</v>
      </c>
    </row>
    <row r="39" spans="1:48" ht="13.5" customHeight="1">
      <c r="A39" s="8"/>
      <c r="B39" s="303"/>
      <c r="C39" s="305" t="s">
        <v>55</v>
      </c>
      <c r="D39" s="306"/>
      <c r="E39" s="306"/>
      <c r="F39" s="306"/>
      <c r="G39" s="306"/>
      <c r="H39" s="306"/>
      <c r="I39" s="306"/>
      <c r="J39" s="306"/>
      <c r="K39" s="307"/>
      <c r="L39" s="158" t="s">
        <v>56</v>
      </c>
      <c r="M39" s="159"/>
      <c r="N39" s="159"/>
      <c r="O39" s="160"/>
      <c r="P39" s="196" t="s">
        <v>125</v>
      </c>
      <c r="Q39" s="166"/>
      <c r="R39" s="318" t="s">
        <v>59</v>
      </c>
      <c r="S39" s="319"/>
      <c r="T39" s="173" t="s">
        <v>128</v>
      </c>
      <c r="U39" s="174"/>
      <c r="V39" s="175"/>
      <c r="W39" s="231" t="s">
        <v>130</v>
      </c>
      <c r="X39" s="232"/>
      <c r="Y39" s="232"/>
      <c r="Z39" s="232"/>
      <c r="AA39" s="232"/>
      <c r="AB39" s="233"/>
      <c r="AC39" s="157" t="s">
        <v>60</v>
      </c>
      <c r="AD39" s="157"/>
      <c r="AE39" s="157"/>
      <c r="AF39" s="157"/>
      <c r="AG39" s="6"/>
      <c r="AH39" s="9"/>
      <c r="AI39" s="11"/>
      <c r="AU39" s="5" t="s">
        <v>99</v>
      </c>
      <c r="AV39" s="5">
        <v>0.81</v>
      </c>
    </row>
    <row r="40" spans="1:48" ht="13.5" customHeight="1">
      <c r="A40" s="8"/>
      <c r="B40" s="304"/>
      <c r="C40" s="308"/>
      <c r="D40" s="309"/>
      <c r="E40" s="309"/>
      <c r="F40" s="309"/>
      <c r="G40" s="309"/>
      <c r="H40" s="309"/>
      <c r="I40" s="309"/>
      <c r="J40" s="309"/>
      <c r="K40" s="310"/>
      <c r="L40" s="161"/>
      <c r="M40" s="162"/>
      <c r="N40" s="162"/>
      <c r="O40" s="163"/>
      <c r="P40" s="167"/>
      <c r="Q40" s="169"/>
      <c r="R40" s="320"/>
      <c r="S40" s="321"/>
      <c r="T40" s="176"/>
      <c r="U40" s="177"/>
      <c r="V40" s="178"/>
      <c r="W40" s="234"/>
      <c r="X40" s="235"/>
      <c r="Y40" s="235"/>
      <c r="Z40" s="235"/>
      <c r="AA40" s="235"/>
      <c r="AB40" s="236"/>
      <c r="AC40" s="157"/>
      <c r="AD40" s="157"/>
      <c r="AE40" s="157"/>
      <c r="AF40" s="157"/>
      <c r="AG40" s="6"/>
      <c r="AH40" s="10"/>
      <c r="AI40" s="60"/>
      <c r="AU40" s="5" t="s">
        <v>100</v>
      </c>
      <c r="AV40" s="5">
        <v>0.80500000000000005</v>
      </c>
    </row>
    <row r="41" spans="1:48" ht="13.5" customHeight="1">
      <c r="A41" s="8"/>
      <c r="B41" s="61">
        <v>1</v>
      </c>
      <c r="C41" s="227"/>
      <c r="D41" s="247"/>
      <c r="E41" s="247"/>
      <c r="F41" s="247"/>
      <c r="G41" s="247"/>
      <c r="H41" s="247"/>
      <c r="I41" s="247"/>
      <c r="J41" s="247"/>
      <c r="K41" s="228"/>
      <c r="L41" s="300"/>
      <c r="M41" s="301"/>
      <c r="N41" s="301"/>
      <c r="O41" s="302"/>
      <c r="P41" s="227"/>
      <c r="Q41" s="228"/>
      <c r="R41" s="298"/>
      <c r="S41" s="299"/>
      <c r="T41" s="254"/>
      <c r="U41" s="255"/>
      <c r="V41" s="256"/>
      <c r="W41" s="229">
        <f>AR45</f>
        <v>0</v>
      </c>
      <c r="X41" s="230"/>
      <c r="Y41" s="230"/>
      <c r="Z41" s="230"/>
      <c r="AA41" s="250" t="str">
        <f>IF(I35="","",VLOOKUP(I35,$B$71:$Y$80,10,FALSE))</f>
        <v/>
      </c>
      <c r="AB41" s="184"/>
      <c r="AC41" s="322" t="str">
        <f>IF(I35="","",W41*AL41*AP41*44/12)</f>
        <v/>
      </c>
      <c r="AD41" s="323"/>
      <c r="AE41" s="323"/>
      <c r="AF41" s="324"/>
      <c r="AG41" s="20"/>
      <c r="AH41" s="10"/>
      <c r="AI41" s="11"/>
      <c r="AL41" s="5" t="e">
        <f>VLOOKUP(I35,$B$71:$Y$80,13,FALSE)</f>
        <v>#N/A</v>
      </c>
      <c r="AM41" s="226" t="e">
        <f>VLOOKUP(I35,$B$71:$Y$80,17,FALSE)</f>
        <v>#N/A</v>
      </c>
      <c r="AN41" s="226"/>
      <c r="AO41" s="226"/>
      <c r="AP41" s="46" t="e">
        <f>VLOOKUP(I35,$B$71:$Y$80,21,FALSE)</f>
        <v>#N/A</v>
      </c>
      <c r="AR41" s="5" t="e">
        <f>$AR$23*T41/R41/AM41</f>
        <v>#DIV/0!</v>
      </c>
      <c r="AU41" s="5" t="s">
        <v>101</v>
      </c>
      <c r="AV41" s="5">
        <v>0.8</v>
      </c>
    </row>
    <row r="42" spans="1:48" ht="13.5" customHeight="1">
      <c r="A42" s="8"/>
      <c r="B42" s="61">
        <v>2</v>
      </c>
      <c r="C42" s="227"/>
      <c r="D42" s="247"/>
      <c r="E42" s="247"/>
      <c r="F42" s="247"/>
      <c r="G42" s="247"/>
      <c r="H42" s="247"/>
      <c r="I42" s="247"/>
      <c r="J42" s="247"/>
      <c r="K42" s="228"/>
      <c r="L42" s="300"/>
      <c r="M42" s="301"/>
      <c r="N42" s="301"/>
      <c r="O42" s="302"/>
      <c r="P42" s="227"/>
      <c r="Q42" s="228"/>
      <c r="R42" s="298"/>
      <c r="S42" s="299"/>
      <c r="T42" s="254"/>
      <c r="U42" s="255"/>
      <c r="V42" s="256"/>
      <c r="W42" s="295" t="s">
        <v>152</v>
      </c>
      <c r="X42" s="296"/>
      <c r="Y42" s="296"/>
      <c r="Z42" s="296"/>
      <c r="AA42" s="296"/>
      <c r="AB42" s="296"/>
      <c r="AC42" s="296"/>
      <c r="AD42" s="296"/>
      <c r="AE42" s="296"/>
      <c r="AF42" s="296"/>
      <c r="AG42" s="20"/>
      <c r="AH42" s="9"/>
      <c r="AI42" s="11"/>
      <c r="AM42" s="226" t="e">
        <f>VLOOKUP(IF(C42="","",I$35),$B$71:$Y$80,17,FALSE)</f>
        <v>#N/A</v>
      </c>
      <c r="AN42" s="226"/>
      <c r="AO42" s="226"/>
      <c r="AP42" s="46" t="e">
        <f>VLOOKUP(IF(C42="","",I$35),$B$71:$Y$80,21,FALSE)</f>
        <v>#N/A</v>
      </c>
      <c r="AR42" s="5" t="e">
        <f>$AR$23*T42/R42/AM42</f>
        <v>#DIV/0!</v>
      </c>
      <c r="AU42" s="5" t="s">
        <v>102</v>
      </c>
      <c r="AV42" s="5">
        <v>0.79500000000000004</v>
      </c>
    </row>
    <row r="43" spans="1:48" ht="13.5" customHeight="1">
      <c r="A43" s="8"/>
      <c r="B43" s="61">
        <v>3</v>
      </c>
      <c r="C43" s="227"/>
      <c r="D43" s="247"/>
      <c r="E43" s="247"/>
      <c r="F43" s="247"/>
      <c r="G43" s="247"/>
      <c r="H43" s="247"/>
      <c r="I43" s="247"/>
      <c r="J43" s="247"/>
      <c r="K43" s="228"/>
      <c r="L43" s="300"/>
      <c r="M43" s="301"/>
      <c r="N43" s="301"/>
      <c r="O43" s="302"/>
      <c r="P43" s="227"/>
      <c r="Q43" s="228"/>
      <c r="R43" s="298"/>
      <c r="S43" s="299"/>
      <c r="T43" s="254"/>
      <c r="U43" s="255"/>
      <c r="V43" s="256"/>
      <c r="W43" s="297"/>
      <c r="X43" s="237"/>
      <c r="Y43" s="237"/>
      <c r="Z43" s="237"/>
      <c r="AA43" s="237"/>
      <c r="AB43" s="237"/>
      <c r="AC43" s="237"/>
      <c r="AD43" s="237"/>
      <c r="AE43" s="237"/>
      <c r="AF43" s="237"/>
      <c r="AG43" s="20"/>
      <c r="AH43" s="9"/>
      <c r="AI43" s="11"/>
      <c r="AM43" s="226" t="e">
        <f>VLOOKUP(IF(C43="","",I$35),$B$71:$Y$80,17,FALSE)</f>
        <v>#N/A</v>
      </c>
      <c r="AN43" s="226"/>
      <c r="AO43" s="226"/>
      <c r="AP43" s="46" t="e">
        <f>VLOOKUP(IF(C43="","",I$35),$B$71:$Y$80,21,FALSE)</f>
        <v>#N/A</v>
      </c>
      <c r="AR43" s="5" t="e">
        <f>$AR$23*T43/R43/AM43</f>
        <v>#DIV/0!</v>
      </c>
      <c r="AU43" s="5" t="s">
        <v>103</v>
      </c>
      <c r="AV43" s="5">
        <v>0.79</v>
      </c>
    </row>
    <row r="44" spans="1:48" ht="13.5" customHeight="1" thickBot="1">
      <c r="A44" s="8"/>
      <c r="B44" s="61">
        <v>4</v>
      </c>
      <c r="C44" s="227"/>
      <c r="D44" s="247"/>
      <c r="E44" s="247"/>
      <c r="F44" s="247"/>
      <c r="G44" s="247"/>
      <c r="H44" s="247"/>
      <c r="I44" s="247"/>
      <c r="J44" s="247"/>
      <c r="K44" s="228"/>
      <c r="L44" s="300"/>
      <c r="M44" s="301"/>
      <c r="N44" s="301"/>
      <c r="O44" s="302"/>
      <c r="P44" s="227"/>
      <c r="Q44" s="228"/>
      <c r="R44" s="298"/>
      <c r="S44" s="299"/>
      <c r="T44" s="254"/>
      <c r="U44" s="255"/>
      <c r="V44" s="256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20"/>
      <c r="AH44" s="9"/>
      <c r="AI44" s="11"/>
      <c r="AM44" s="226" t="e">
        <f>VLOOKUP(IF(C44="","",I$35),$B$71:$Y$80,17,FALSE)</f>
        <v>#N/A</v>
      </c>
      <c r="AN44" s="226"/>
      <c r="AO44" s="226"/>
      <c r="AP44" s="46" t="e">
        <f>VLOOKUP(IF(C44="","",I$35),$B$71:$Y$80,21,FALSE)</f>
        <v>#N/A</v>
      </c>
      <c r="AR44" s="5" t="e">
        <f>$AR$23*T44/R44/AM44</f>
        <v>#DIV/0!</v>
      </c>
      <c r="AU44" s="5" t="s">
        <v>104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9"/>
      <c r="J45" s="59"/>
      <c r="K45" s="59"/>
      <c r="L45" s="59"/>
      <c r="M45" s="59"/>
      <c r="N45" s="59"/>
      <c r="O45" s="59"/>
      <c r="P45" s="59"/>
      <c r="Q45" s="9"/>
      <c r="R45" s="9"/>
      <c r="S45" s="62" t="s">
        <v>129</v>
      </c>
      <c r="T45" s="150">
        <f>SUM(T41:U44)</f>
        <v>0</v>
      </c>
      <c r="U45" s="151"/>
      <c r="V45" s="152"/>
      <c r="W45" s="63" t="s">
        <v>144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9">
        <f>_xlfn.AGGREGATE(9,7,AR41:AR44)</f>
        <v>0</v>
      </c>
      <c r="AU45" s="5" t="s">
        <v>105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106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64"/>
      <c r="AC47" s="64"/>
      <c r="AD47" s="64"/>
      <c r="AE47" s="64"/>
      <c r="AF47" s="9"/>
      <c r="AG47" s="42"/>
      <c r="AH47" s="9"/>
      <c r="AI47" s="11"/>
      <c r="AU47" s="5" t="s">
        <v>107</v>
      </c>
      <c r="AV47" s="5">
        <v>0.77</v>
      </c>
    </row>
    <row r="48" spans="1:48" ht="13.5" customHeight="1">
      <c r="A48" s="8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6"/>
      <c r="Q48" s="20"/>
      <c r="R48" s="51" t="s">
        <v>10</v>
      </c>
      <c r="S48" s="237" t="s">
        <v>14</v>
      </c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8"/>
      <c r="AU48" s="5" t="s">
        <v>85</v>
      </c>
      <c r="AV48" s="5">
        <v>0.88</v>
      </c>
    </row>
    <row r="49" spans="1:48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52" t="str">
        <f>IF(AQ7=1,"",AO49)</f>
        <v/>
      </c>
      <c r="Q49" s="15"/>
      <c r="R49" s="16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40"/>
      <c r="AO49" s="5" t="s">
        <v>230</v>
      </c>
      <c r="AU49" s="5" t="s">
        <v>86</v>
      </c>
      <c r="AV49" s="5">
        <v>0.875</v>
      </c>
    </row>
    <row r="50" spans="1:48">
      <c r="A50" s="53"/>
      <c r="C50" s="23"/>
      <c r="D50" s="23"/>
      <c r="E50" s="23"/>
      <c r="F50" s="23"/>
      <c r="G50" s="23"/>
      <c r="H50" s="374" t="s">
        <v>8</v>
      </c>
      <c r="I50" s="374"/>
      <c r="J50" s="374"/>
      <c r="K50" s="374"/>
      <c r="L50" s="374"/>
      <c r="M50" s="374"/>
      <c r="N50" s="374"/>
      <c r="O50" s="374"/>
      <c r="P50" s="376"/>
      <c r="Q50" s="377"/>
      <c r="R50" s="377"/>
      <c r="S50" s="377"/>
      <c r="T50" s="377"/>
      <c r="U50" s="377"/>
      <c r="V50" s="165" t="s">
        <v>4</v>
      </c>
      <c r="W50" s="165"/>
      <c r="X50" s="165"/>
      <c r="Y50" s="166"/>
      <c r="Z50" s="290" t="str">
        <f>AC41</f>
        <v/>
      </c>
      <c r="AA50" s="291"/>
      <c r="AB50" s="291"/>
      <c r="AC50" s="291"/>
      <c r="AD50" s="291"/>
      <c r="AE50" s="291"/>
      <c r="AF50" s="165" t="s">
        <v>4</v>
      </c>
      <c r="AG50" s="165"/>
      <c r="AH50" s="165"/>
      <c r="AI50" s="166"/>
      <c r="AU50" s="5" t="s">
        <v>110</v>
      </c>
      <c r="AV50" s="5">
        <v>0.755</v>
      </c>
    </row>
    <row r="51" spans="1:48">
      <c r="A51" s="53"/>
      <c r="B51" s="22"/>
      <c r="C51" s="23"/>
      <c r="D51" s="23"/>
      <c r="E51" s="23"/>
      <c r="F51" s="23"/>
      <c r="G51" s="23"/>
      <c r="H51" s="375"/>
      <c r="I51" s="375"/>
      <c r="J51" s="375"/>
      <c r="K51" s="375"/>
      <c r="L51" s="375"/>
      <c r="M51" s="375"/>
      <c r="N51" s="375"/>
      <c r="O51" s="375"/>
      <c r="P51" s="378"/>
      <c r="Q51" s="379"/>
      <c r="R51" s="379"/>
      <c r="S51" s="379"/>
      <c r="T51" s="379"/>
      <c r="U51" s="379"/>
      <c r="V51" s="168"/>
      <c r="W51" s="168"/>
      <c r="X51" s="168"/>
      <c r="Y51" s="169"/>
      <c r="Z51" s="243"/>
      <c r="AA51" s="244"/>
      <c r="AB51" s="244"/>
      <c r="AC51" s="244"/>
      <c r="AD51" s="244"/>
      <c r="AE51" s="244"/>
      <c r="AF51" s="168"/>
      <c r="AG51" s="168"/>
      <c r="AH51" s="168"/>
      <c r="AI51" s="169"/>
      <c r="AU51" s="5" t="s">
        <v>111</v>
      </c>
      <c r="AV51" s="5">
        <v>0.75</v>
      </c>
    </row>
    <row r="52" spans="1:48" ht="14.25" thickBo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U52" s="5" t="s">
        <v>112</v>
      </c>
      <c r="AV52" s="5">
        <v>0.745</v>
      </c>
    </row>
    <row r="53" spans="1:48" ht="14.25" thickTop="1">
      <c r="A53" s="10"/>
      <c r="B53" s="179" t="s">
        <v>7</v>
      </c>
      <c r="C53" s="155"/>
      <c r="D53" s="155"/>
      <c r="E53" s="155"/>
      <c r="F53" s="155"/>
      <c r="G53" s="155"/>
      <c r="H53" s="155"/>
      <c r="I53" s="155"/>
      <c r="J53" s="155"/>
      <c r="K53" s="180"/>
      <c r="N53" s="179" t="s">
        <v>8</v>
      </c>
      <c r="O53" s="155"/>
      <c r="P53" s="155"/>
      <c r="Q53" s="155"/>
      <c r="R53" s="155"/>
      <c r="S53" s="155"/>
      <c r="T53" s="155"/>
      <c r="U53" s="155"/>
      <c r="V53" s="155"/>
      <c r="W53" s="180"/>
      <c r="Z53" s="272" t="s">
        <v>5</v>
      </c>
      <c r="AA53" s="273"/>
      <c r="AB53" s="273"/>
      <c r="AC53" s="273"/>
      <c r="AD53" s="273"/>
      <c r="AE53" s="273"/>
      <c r="AF53" s="273"/>
      <c r="AG53" s="273"/>
      <c r="AH53" s="273"/>
      <c r="AI53" s="274"/>
      <c r="AU53" s="5" t="s">
        <v>113</v>
      </c>
      <c r="AV53" s="5">
        <v>0.74</v>
      </c>
    </row>
    <row r="54" spans="1:48" ht="13.5" customHeight="1">
      <c r="A54" s="10"/>
      <c r="B54" s="186">
        <f>IF($AQ$7=2,P27,Z27)</f>
        <v>0</v>
      </c>
      <c r="C54" s="281"/>
      <c r="D54" s="281"/>
      <c r="E54" s="281"/>
      <c r="F54" s="281"/>
      <c r="G54" s="281"/>
      <c r="H54" s="165" t="s">
        <v>4</v>
      </c>
      <c r="I54" s="165"/>
      <c r="J54" s="165"/>
      <c r="K54" s="166"/>
      <c r="L54" s="197" t="s">
        <v>9</v>
      </c>
      <c r="M54" s="183"/>
      <c r="N54" s="387" t="str">
        <f>IF(AQ7=2,P50,Z50)</f>
        <v/>
      </c>
      <c r="O54" s="286"/>
      <c r="P54" s="286"/>
      <c r="Q54" s="286"/>
      <c r="R54" s="286"/>
      <c r="S54" s="286"/>
      <c r="T54" s="165" t="s">
        <v>4</v>
      </c>
      <c r="U54" s="165"/>
      <c r="V54" s="165"/>
      <c r="W54" s="166"/>
      <c r="X54" s="197" t="s">
        <v>6</v>
      </c>
      <c r="Y54" s="182"/>
      <c r="Z54" s="265" t="str">
        <f>IFERROR(B54-N54,"")</f>
        <v/>
      </c>
      <c r="AA54" s="266"/>
      <c r="AB54" s="266"/>
      <c r="AC54" s="266"/>
      <c r="AD54" s="266"/>
      <c r="AE54" s="266"/>
      <c r="AF54" s="165" t="s">
        <v>4</v>
      </c>
      <c r="AG54" s="165"/>
      <c r="AH54" s="165"/>
      <c r="AI54" s="269"/>
      <c r="AU54" s="5" t="s">
        <v>114</v>
      </c>
      <c r="AV54" s="5">
        <v>0.73499999999999999</v>
      </c>
    </row>
    <row r="55" spans="1:48" ht="14.25" customHeight="1" thickBot="1">
      <c r="A55" s="24"/>
      <c r="B55" s="186"/>
      <c r="C55" s="281"/>
      <c r="D55" s="281"/>
      <c r="E55" s="281"/>
      <c r="F55" s="281"/>
      <c r="G55" s="281"/>
      <c r="H55" s="168"/>
      <c r="I55" s="168"/>
      <c r="J55" s="168"/>
      <c r="K55" s="169"/>
      <c r="L55" s="197"/>
      <c r="M55" s="183"/>
      <c r="N55" s="388"/>
      <c r="O55" s="389"/>
      <c r="P55" s="389"/>
      <c r="Q55" s="389"/>
      <c r="R55" s="389"/>
      <c r="S55" s="389"/>
      <c r="T55" s="168"/>
      <c r="U55" s="168"/>
      <c r="V55" s="168"/>
      <c r="W55" s="169"/>
      <c r="X55" s="197"/>
      <c r="Y55" s="182"/>
      <c r="Z55" s="267"/>
      <c r="AA55" s="268"/>
      <c r="AB55" s="268"/>
      <c r="AC55" s="268"/>
      <c r="AD55" s="268"/>
      <c r="AE55" s="268"/>
      <c r="AF55" s="270"/>
      <c r="AG55" s="270"/>
      <c r="AH55" s="270"/>
      <c r="AI55" s="271"/>
      <c r="AU55" s="5" t="s">
        <v>115</v>
      </c>
      <c r="AV55" s="5">
        <v>0.73</v>
      </c>
    </row>
    <row r="56" spans="1:48" ht="15" thickTop="1" thickBot="1">
      <c r="AU56" s="5" t="s">
        <v>116</v>
      </c>
      <c r="AV56" s="5">
        <v>0.72499999999999998</v>
      </c>
    </row>
    <row r="57" spans="1:48" ht="13.5" customHeight="1" thickTop="1">
      <c r="N57" s="380" t="s">
        <v>239</v>
      </c>
      <c r="O57" s="381"/>
      <c r="P57" s="381"/>
      <c r="Q57" s="381"/>
      <c r="R57" s="381"/>
      <c r="S57" s="381"/>
      <c r="T57" s="382"/>
      <c r="Z57" s="272" t="s">
        <v>246</v>
      </c>
      <c r="AA57" s="273"/>
      <c r="AB57" s="273"/>
      <c r="AC57" s="273"/>
      <c r="AD57" s="273"/>
      <c r="AE57" s="273"/>
      <c r="AF57" s="273"/>
      <c r="AG57" s="273"/>
      <c r="AH57" s="273"/>
      <c r="AI57" s="274"/>
      <c r="AU57" s="5" t="s">
        <v>117</v>
      </c>
      <c r="AV57" s="5">
        <v>0.72</v>
      </c>
    </row>
    <row r="58" spans="1:48" ht="13.5" customHeight="1">
      <c r="N58" s="383">
        <f>I3</f>
        <v>0</v>
      </c>
      <c r="O58" s="266"/>
      <c r="P58" s="266"/>
      <c r="Q58" s="266"/>
      <c r="R58" s="289"/>
      <c r="S58" s="196" t="s">
        <v>1</v>
      </c>
      <c r="T58" s="166"/>
      <c r="Z58" s="265" t="str">
        <f>IFERROR(Z54*N58,"")</f>
        <v/>
      </c>
      <c r="AA58" s="266"/>
      <c r="AB58" s="266"/>
      <c r="AC58" s="266"/>
      <c r="AD58" s="266"/>
      <c r="AE58" s="266"/>
      <c r="AF58" s="181" t="s">
        <v>240</v>
      </c>
      <c r="AG58" s="192"/>
      <c r="AH58" s="192"/>
      <c r="AI58" s="277"/>
      <c r="AU58" s="5" t="s">
        <v>118</v>
      </c>
      <c r="AV58" s="5">
        <v>0.71499999999999997</v>
      </c>
    </row>
    <row r="59" spans="1:48" ht="14.25" customHeight="1" thickBot="1">
      <c r="N59" s="384"/>
      <c r="O59" s="385"/>
      <c r="P59" s="385"/>
      <c r="Q59" s="385"/>
      <c r="R59" s="386"/>
      <c r="S59" s="167"/>
      <c r="T59" s="169"/>
      <c r="Z59" s="267"/>
      <c r="AA59" s="268"/>
      <c r="AB59" s="268"/>
      <c r="AC59" s="268"/>
      <c r="AD59" s="268"/>
      <c r="AE59" s="268"/>
      <c r="AF59" s="278"/>
      <c r="AG59" s="278"/>
      <c r="AH59" s="278"/>
      <c r="AI59" s="279"/>
      <c r="AU59" s="5" t="s">
        <v>119</v>
      </c>
      <c r="AV59" s="5">
        <v>0.71</v>
      </c>
    </row>
    <row r="60" spans="1:48" ht="15" thickTop="1">
      <c r="P60" s="25"/>
      <c r="AU60" s="5" t="s">
        <v>120</v>
      </c>
      <c r="AV60" s="5">
        <v>0.70499999999999996</v>
      </c>
    </row>
    <row r="61" spans="1:48" ht="13.5" customHeight="1"/>
    <row r="62" spans="1:48" ht="14.25" customHeight="1">
      <c r="B62" s="5" t="s">
        <v>244</v>
      </c>
      <c r="C62" s="5" t="s">
        <v>245</v>
      </c>
    </row>
    <row r="66" spans="2:36" hidden="1"/>
    <row r="67" spans="2:36" hidden="1"/>
    <row r="68" spans="2:36" hidden="1"/>
    <row r="69" spans="2:36" hidden="1"/>
    <row r="70" spans="2:36" hidden="1">
      <c r="B70" s="261" t="s">
        <v>25</v>
      </c>
      <c r="C70" s="261"/>
      <c r="D70" s="261"/>
      <c r="E70" s="261"/>
      <c r="F70" s="261"/>
      <c r="G70" s="261"/>
      <c r="H70" s="261"/>
      <c r="I70" s="261"/>
      <c r="J70" s="261"/>
      <c r="K70" s="261" t="s">
        <v>11</v>
      </c>
      <c r="L70" s="261"/>
      <c r="M70" s="261"/>
      <c r="N70" s="67" t="s">
        <v>126</v>
      </c>
      <c r="O70" s="68"/>
      <c r="P70" s="68"/>
      <c r="Q70" s="69"/>
      <c r="R70" s="262" t="s">
        <v>127</v>
      </c>
      <c r="S70" s="263"/>
      <c r="T70" s="263"/>
      <c r="U70" s="264"/>
      <c r="V70" s="261" t="s">
        <v>27</v>
      </c>
      <c r="W70" s="261"/>
      <c r="X70" s="261"/>
      <c r="Y70" s="261"/>
      <c r="AA70" s="70" t="s">
        <v>28</v>
      </c>
      <c r="AB70" s="70"/>
      <c r="AC70" s="70"/>
      <c r="AD70" s="70"/>
      <c r="AE70" s="70"/>
      <c r="AF70" s="70"/>
      <c r="AG70" s="70"/>
      <c r="AH70" s="70"/>
      <c r="AI70" s="70"/>
      <c r="AJ70" s="70"/>
    </row>
    <row r="71" spans="2:36" hidden="1">
      <c r="B71" s="184" t="s">
        <v>13</v>
      </c>
      <c r="C71" s="184"/>
      <c r="D71" s="184"/>
      <c r="E71" s="184"/>
      <c r="F71" s="184"/>
      <c r="G71" s="184"/>
      <c r="H71" s="184"/>
      <c r="I71" s="184"/>
      <c r="J71" s="184"/>
      <c r="K71" s="184" t="s">
        <v>12</v>
      </c>
      <c r="L71" s="184"/>
      <c r="M71" s="184"/>
      <c r="N71" s="71">
        <v>36.700000000000003</v>
      </c>
      <c r="O71" s="71"/>
      <c r="P71" s="71"/>
      <c r="Q71" s="71"/>
      <c r="R71" s="185">
        <v>34.200000000000003</v>
      </c>
      <c r="S71" s="260"/>
      <c r="T71" s="260"/>
      <c r="U71" s="250"/>
      <c r="V71" s="184">
        <v>1.8499999999999999E-2</v>
      </c>
      <c r="W71" s="184"/>
      <c r="X71" s="184"/>
      <c r="Y71" s="184"/>
      <c r="AA71" s="71" t="s">
        <v>29</v>
      </c>
      <c r="AB71" s="71"/>
      <c r="AC71" s="71"/>
      <c r="AD71" s="71"/>
      <c r="AE71" s="71"/>
      <c r="AF71" s="71"/>
      <c r="AG71" s="71"/>
      <c r="AH71" s="71"/>
      <c r="AI71" s="71"/>
      <c r="AJ71" s="71"/>
    </row>
    <row r="72" spans="2:36" hidden="1">
      <c r="B72" s="184" t="s">
        <v>30</v>
      </c>
      <c r="C72" s="184"/>
      <c r="D72" s="184"/>
      <c r="E72" s="184"/>
      <c r="F72" s="184"/>
      <c r="G72" s="184"/>
      <c r="H72" s="184"/>
      <c r="I72" s="184"/>
      <c r="J72" s="184"/>
      <c r="K72" s="184" t="s">
        <v>12</v>
      </c>
      <c r="L72" s="184"/>
      <c r="M72" s="184"/>
      <c r="N72" s="71">
        <v>39.1</v>
      </c>
      <c r="O72" s="71"/>
      <c r="P72" s="71"/>
      <c r="Q72" s="71"/>
      <c r="R72" s="185">
        <v>36.6</v>
      </c>
      <c r="S72" s="260"/>
      <c r="T72" s="260"/>
      <c r="U72" s="250"/>
      <c r="V72" s="184">
        <v>1.89E-2</v>
      </c>
      <c r="W72" s="184"/>
      <c r="X72" s="184"/>
      <c r="Y72" s="184"/>
      <c r="AA72" s="71" t="s">
        <v>31</v>
      </c>
      <c r="AB72" s="71"/>
      <c r="AC72" s="71"/>
      <c r="AD72" s="71"/>
      <c r="AE72" s="71"/>
      <c r="AF72" s="71"/>
      <c r="AG72" s="71"/>
      <c r="AH72" s="71"/>
      <c r="AI72" s="71"/>
      <c r="AJ72" s="71"/>
    </row>
    <row r="73" spans="2:36" hidden="1">
      <c r="B73" s="184" t="s">
        <v>32</v>
      </c>
      <c r="C73" s="184"/>
      <c r="D73" s="184"/>
      <c r="E73" s="184"/>
      <c r="F73" s="184"/>
      <c r="G73" s="184"/>
      <c r="H73" s="184"/>
      <c r="I73" s="184"/>
      <c r="J73" s="184"/>
      <c r="K73" s="184" t="s">
        <v>12</v>
      </c>
      <c r="L73" s="184"/>
      <c r="M73" s="184"/>
      <c r="N73" s="71">
        <v>41.9</v>
      </c>
      <c r="O73" s="71"/>
      <c r="P73" s="71"/>
      <c r="Q73" s="71"/>
      <c r="R73" s="185">
        <v>39.4</v>
      </c>
      <c r="S73" s="260"/>
      <c r="T73" s="260"/>
      <c r="U73" s="250"/>
      <c r="V73" s="184">
        <v>1.95E-2</v>
      </c>
      <c r="W73" s="184"/>
      <c r="X73" s="184"/>
      <c r="Y73" s="184"/>
      <c r="AA73" s="71" t="s">
        <v>33</v>
      </c>
      <c r="AB73" s="71"/>
      <c r="AC73" s="71"/>
      <c r="AD73" s="71"/>
      <c r="AE73" s="71"/>
      <c r="AF73" s="71"/>
      <c r="AG73" s="71"/>
      <c r="AH73" s="71"/>
      <c r="AI73" s="71"/>
      <c r="AJ73" s="71"/>
    </row>
    <row r="74" spans="2:36" hidden="1">
      <c r="B74" s="184" t="s">
        <v>34</v>
      </c>
      <c r="C74" s="184"/>
      <c r="D74" s="184"/>
      <c r="E74" s="184"/>
      <c r="F74" s="184"/>
      <c r="G74" s="184"/>
      <c r="H74" s="184"/>
      <c r="I74" s="184"/>
      <c r="J74" s="184"/>
      <c r="K74" s="184" t="s">
        <v>35</v>
      </c>
      <c r="L74" s="184"/>
      <c r="M74" s="184"/>
      <c r="N74" s="71">
        <v>50.8</v>
      </c>
      <c r="O74" s="71"/>
      <c r="P74" s="71"/>
      <c r="Q74" s="71"/>
      <c r="R74" s="185">
        <v>45.8</v>
      </c>
      <c r="S74" s="260"/>
      <c r="T74" s="260"/>
      <c r="U74" s="250"/>
      <c r="V74" s="184">
        <v>1.61E-2</v>
      </c>
      <c r="W74" s="184"/>
      <c r="X74" s="184"/>
      <c r="Y74" s="184"/>
      <c r="AA74" s="72"/>
      <c r="AB74" s="72"/>
      <c r="AC74" s="72"/>
      <c r="AD74" s="72"/>
      <c r="AE74" s="72"/>
      <c r="AF74" s="72"/>
      <c r="AG74" s="72"/>
      <c r="AH74" s="72"/>
      <c r="AI74" s="72"/>
      <c r="AJ74" s="72"/>
    </row>
    <row r="75" spans="2:36" hidden="1">
      <c r="B75" s="184" t="s">
        <v>36</v>
      </c>
      <c r="C75" s="184"/>
      <c r="D75" s="184"/>
      <c r="E75" s="184"/>
      <c r="F75" s="184"/>
      <c r="G75" s="184"/>
      <c r="H75" s="184"/>
      <c r="I75" s="184"/>
      <c r="J75" s="184"/>
      <c r="K75" s="184" t="s">
        <v>35</v>
      </c>
      <c r="L75" s="184"/>
      <c r="M75" s="184"/>
      <c r="N75" s="71">
        <v>54.6</v>
      </c>
      <c r="O75" s="71"/>
      <c r="P75" s="71"/>
      <c r="Q75" s="71"/>
      <c r="R75" s="185">
        <v>49.2</v>
      </c>
      <c r="S75" s="260"/>
      <c r="T75" s="260"/>
      <c r="U75" s="250"/>
      <c r="V75" s="184">
        <v>1.35E-2</v>
      </c>
      <c r="W75" s="184"/>
      <c r="X75" s="184"/>
      <c r="Y75" s="184"/>
      <c r="AA75" s="70" t="s">
        <v>0</v>
      </c>
      <c r="AB75" s="70"/>
      <c r="AC75" s="70"/>
      <c r="AD75" s="70"/>
      <c r="AE75" s="70"/>
      <c r="AF75" s="70"/>
      <c r="AG75" s="70"/>
      <c r="AH75" s="70"/>
      <c r="AI75" s="70"/>
      <c r="AJ75" s="70"/>
    </row>
    <row r="76" spans="2:36" hidden="1">
      <c r="B76" s="184" t="s">
        <v>37</v>
      </c>
      <c r="C76" s="184"/>
      <c r="D76" s="184"/>
      <c r="E76" s="184"/>
      <c r="F76" s="184"/>
      <c r="G76" s="184"/>
      <c r="H76" s="184"/>
      <c r="I76" s="184"/>
      <c r="J76" s="184"/>
      <c r="K76" s="184" t="s">
        <v>38</v>
      </c>
      <c r="L76" s="184"/>
      <c r="M76" s="184"/>
      <c r="N76" s="71">
        <v>45</v>
      </c>
      <c r="O76" s="71"/>
      <c r="P76" s="71"/>
      <c r="Q76" s="71"/>
      <c r="R76" s="185">
        <v>40.6</v>
      </c>
      <c r="S76" s="260"/>
      <c r="T76" s="260"/>
      <c r="U76" s="250"/>
      <c r="V76" s="184">
        <v>1.3599999999999999E-2</v>
      </c>
      <c r="W76" s="184"/>
      <c r="X76" s="184"/>
      <c r="Y76" s="184"/>
      <c r="AA76" s="71" t="s">
        <v>39</v>
      </c>
      <c r="AB76" s="71"/>
      <c r="AC76" s="71"/>
      <c r="AD76" s="71"/>
      <c r="AE76" s="71"/>
      <c r="AF76" s="71"/>
      <c r="AG76" s="71"/>
      <c r="AH76" s="71"/>
      <c r="AI76" s="71"/>
      <c r="AJ76" s="71"/>
    </row>
    <row r="77" spans="2:36" hidden="1">
      <c r="B77" s="184" t="s">
        <v>40</v>
      </c>
      <c r="C77" s="184"/>
      <c r="D77" s="184"/>
      <c r="E77" s="184"/>
      <c r="F77" s="184"/>
      <c r="G77" s="184"/>
      <c r="H77" s="184"/>
      <c r="I77" s="184"/>
      <c r="J77" s="184"/>
      <c r="K77" s="184" t="s">
        <v>38</v>
      </c>
      <c r="L77" s="184"/>
      <c r="M77" s="184"/>
      <c r="N77" s="71">
        <v>43.12</v>
      </c>
      <c r="O77" s="71"/>
      <c r="P77" s="71"/>
      <c r="Q77" s="71"/>
      <c r="R77" s="257">
        <f>N77*0.902</f>
        <v>38.894239999999996</v>
      </c>
      <c r="S77" s="258"/>
      <c r="T77" s="258"/>
      <c r="U77" s="259"/>
      <c r="V77" s="184">
        <v>1.3599999999999999E-2</v>
      </c>
      <c r="W77" s="184"/>
      <c r="X77" s="184"/>
      <c r="Y77" s="184"/>
      <c r="AA77" s="71" t="s">
        <v>41</v>
      </c>
      <c r="AB77" s="71"/>
      <c r="AC77" s="71"/>
      <c r="AD77" s="71"/>
      <c r="AE77" s="71"/>
      <c r="AF77" s="71"/>
      <c r="AG77" s="71"/>
      <c r="AH77" s="71"/>
      <c r="AI77" s="71"/>
      <c r="AJ77" s="71"/>
    </row>
    <row r="78" spans="2:36" hidden="1">
      <c r="B78" s="184" t="s">
        <v>42</v>
      </c>
      <c r="C78" s="184"/>
      <c r="D78" s="184"/>
      <c r="E78" s="184"/>
      <c r="F78" s="184"/>
      <c r="G78" s="184"/>
      <c r="H78" s="184"/>
      <c r="I78" s="184"/>
      <c r="J78" s="184"/>
      <c r="K78" s="184" t="s">
        <v>38</v>
      </c>
      <c r="L78" s="184"/>
      <c r="M78" s="184"/>
      <c r="N78" s="71">
        <v>46.04</v>
      </c>
      <c r="O78" s="71"/>
      <c r="P78" s="71"/>
      <c r="Q78" s="71"/>
      <c r="R78" s="257">
        <f t="shared" ref="R78:R80" si="4">N78*0.902</f>
        <v>41.528080000000003</v>
      </c>
      <c r="S78" s="258"/>
      <c r="T78" s="258"/>
      <c r="U78" s="259"/>
      <c r="V78" s="184">
        <v>1.3599999999999999E-2</v>
      </c>
      <c r="W78" s="184"/>
      <c r="X78" s="184"/>
      <c r="Y78" s="184"/>
      <c r="AA78" s="71" t="s">
        <v>43</v>
      </c>
      <c r="AB78" s="71"/>
      <c r="AC78" s="71"/>
      <c r="AD78" s="71"/>
      <c r="AE78" s="71"/>
      <c r="AF78" s="71"/>
      <c r="AG78" s="71"/>
      <c r="AH78" s="71"/>
      <c r="AI78" s="71"/>
      <c r="AJ78" s="71"/>
    </row>
    <row r="79" spans="2:36" hidden="1">
      <c r="B79" s="184" t="s">
        <v>44</v>
      </c>
      <c r="C79" s="184"/>
      <c r="D79" s="184"/>
      <c r="E79" s="184"/>
      <c r="F79" s="184"/>
      <c r="G79" s="184"/>
      <c r="H79" s="184"/>
      <c r="I79" s="184"/>
      <c r="J79" s="184"/>
      <c r="K79" s="184" t="s">
        <v>38</v>
      </c>
      <c r="L79" s="184"/>
      <c r="M79" s="184"/>
      <c r="N79" s="71">
        <v>41.86</v>
      </c>
      <c r="O79" s="71"/>
      <c r="P79" s="71"/>
      <c r="Q79" s="71"/>
      <c r="R79" s="257">
        <f t="shared" si="4"/>
        <v>37.757719999999999</v>
      </c>
      <c r="S79" s="258"/>
      <c r="T79" s="258"/>
      <c r="U79" s="259"/>
      <c r="V79" s="184">
        <v>1.3599999999999999E-2</v>
      </c>
      <c r="W79" s="184"/>
      <c r="X79" s="184"/>
      <c r="Y79" s="184"/>
      <c r="AA79" s="73" t="s">
        <v>45</v>
      </c>
      <c r="AB79" s="73"/>
      <c r="AC79" s="73"/>
      <c r="AD79" s="73"/>
      <c r="AE79" s="73"/>
      <c r="AF79" s="73"/>
      <c r="AG79" s="73"/>
      <c r="AH79" s="73"/>
      <c r="AI79" s="73"/>
      <c r="AJ79" s="73"/>
    </row>
    <row r="80" spans="2:36" hidden="1">
      <c r="B80" s="184" t="s">
        <v>46</v>
      </c>
      <c r="C80" s="184"/>
      <c r="D80" s="184"/>
      <c r="E80" s="184"/>
      <c r="F80" s="184"/>
      <c r="G80" s="184"/>
      <c r="H80" s="184"/>
      <c r="I80" s="184"/>
      <c r="J80" s="184"/>
      <c r="K80" s="184" t="s">
        <v>38</v>
      </c>
      <c r="L80" s="184"/>
      <c r="M80" s="184"/>
      <c r="N80" s="71">
        <v>29.3</v>
      </c>
      <c r="O80" s="71"/>
      <c r="P80" s="71"/>
      <c r="Q80" s="71"/>
      <c r="R80" s="257">
        <f t="shared" si="4"/>
        <v>26.428600000000003</v>
      </c>
      <c r="S80" s="258"/>
      <c r="T80" s="258"/>
      <c r="U80" s="259"/>
      <c r="V80" s="184">
        <v>1.3599999999999999E-2</v>
      </c>
      <c r="W80" s="184"/>
      <c r="X80" s="184"/>
      <c r="Y80" s="184"/>
    </row>
    <row r="81" hidden="1"/>
  </sheetData>
  <sheetProtection formatCells="0"/>
  <mergeCells count="215"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A1:K2"/>
    <mergeCell ref="L1:AA2"/>
    <mergeCell ref="AB1:AC2"/>
    <mergeCell ref="AD1:AI2"/>
    <mergeCell ref="A3:H4"/>
    <mergeCell ref="I3:K4"/>
    <mergeCell ref="L3:V4"/>
    <mergeCell ref="W3:AI4"/>
    <mergeCell ref="A5:AI5"/>
  </mergeCells>
  <phoneticPr fontId="14"/>
  <conditionalFormatting sqref="Q19:V20 Q21:T22 O19:O22 I35">
    <cfRule type="containsBlanks" dxfId="45" priority="21">
      <formula>LEN(TRIM(I19))=0</formula>
    </cfRule>
  </conditionalFormatting>
  <conditionalFormatting sqref="C41:C44">
    <cfRule type="containsBlanks" dxfId="44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43" priority="18">
      <formula>LEN(TRIM(K19))=0</formula>
    </cfRule>
  </conditionalFormatting>
  <conditionalFormatting sqref="C19:C22">
    <cfRule type="containsBlanks" dxfId="42" priority="17">
      <formula>LEN(TRIM(C19))=0</formula>
    </cfRule>
  </conditionalFormatting>
  <conditionalFormatting sqref="I33:P33">
    <cfRule type="containsBlanks" dxfId="41" priority="22">
      <formula>LEN(TRIM(I33))=0</formula>
    </cfRule>
  </conditionalFormatting>
  <conditionalFormatting sqref="I34:P34">
    <cfRule type="containsBlanks" dxfId="40" priority="16">
      <formula>LEN(TRIM(I34))=0</formula>
    </cfRule>
  </conditionalFormatting>
  <conditionalFormatting sqref="R41:R44">
    <cfRule type="containsBlanks" dxfId="39" priority="15">
      <formula>LEN(TRIM(R41))=0</formula>
    </cfRule>
  </conditionalFormatting>
  <conditionalFormatting sqref="P41:Q44">
    <cfRule type="containsBlanks" dxfId="38" priority="14">
      <formula>LEN(TRIM(P41))=0</formula>
    </cfRule>
  </conditionalFormatting>
  <conditionalFormatting sqref="T41:T44">
    <cfRule type="containsBlanks" dxfId="37" priority="13">
      <formula>LEN(TRIM(T41))=0</formula>
    </cfRule>
  </conditionalFormatting>
  <conditionalFormatting sqref="U19:Z22">
    <cfRule type="containsBlanks" dxfId="36" priority="12">
      <formula>LEN(TRIM(U19))=0</formula>
    </cfRule>
  </conditionalFormatting>
  <conditionalFormatting sqref="AC19:AD22">
    <cfRule type="containsBlanks" dxfId="35" priority="11">
      <formula>LEN(TRIM(AC19))=0</formula>
    </cfRule>
  </conditionalFormatting>
  <conditionalFormatting sqref="L24:Z24">
    <cfRule type="expression" dxfId="34" priority="23">
      <formula>($K$24="")</formula>
    </cfRule>
  </conditionalFormatting>
  <conditionalFormatting sqref="C11:Q14">
    <cfRule type="containsBlanks" dxfId="33" priority="10">
      <formula>LEN(TRIM(C11))=0</formula>
    </cfRule>
  </conditionalFormatting>
  <conditionalFormatting sqref="S11:AG14">
    <cfRule type="containsBlanks" dxfId="32" priority="9">
      <formula>LEN(TRIM(S11))=0</formula>
    </cfRule>
  </conditionalFormatting>
  <conditionalFormatting sqref="W45">
    <cfRule type="expression" dxfId="31" priority="24">
      <formula>$T$45=1</formula>
    </cfRule>
  </conditionalFormatting>
  <conditionalFormatting sqref="P27:U28">
    <cfRule type="notContainsBlanks" dxfId="30" priority="8">
      <formula>LEN(TRIM(P27))&gt;0</formula>
    </cfRule>
    <cfRule type="expression" dxfId="29" priority="25">
      <formula>AQ7=2</formula>
    </cfRule>
  </conditionalFormatting>
  <conditionalFormatting sqref="P50:U51">
    <cfRule type="notContainsBlanks" dxfId="28" priority="5">
      <formula>LEN(TRIM(P50))&gt;0</formula>
    </cfRule>
    <cfRule type="expression" dxfId="27" priority="6">
      <formula>AQ7=2</formula>
    </cfRule>
  </conditionalFormatting>
  <conditionalFormatting sqref="L41:L44">
    <cfRule type="containsBlanks" dxfId="26" priority="2">
      <formula>LEN(TRIM(L41))=0</formula>
    </cfRule>
  </conditionalFormatting>
  <conditionalFormatting sqref="I3:K4">
    <cfRule type="containsBlanks" dxfId="25" priority="1">
      <formula>LEN(TRIM(I3))=0</formula>
    </cfRule>
  </conditionalFormatting>
  <dataValidations count="6">
    <dataValidation type="list" allowBlank="1" showInputMessage="1" showErrorMessage="1" sqref="O19:O22">
      <formula1>$AU$1:$AU$60</formula1>
    </dataValidation>
    <dataValidation type="list" allowBlank="1" showInputMessage="1" showErrorMessage="1" sqref="K19:K22 L41:L44">
      <formula1>$AW$1:$AW$9</formula1>
    </dataValidation>
    <dataValidation type="list" allowBlank="1" showInputMessage="1" showErrorMessage="1" sqref="E33">
      <formula1>"ｋL，ｔ"</formula1>
    </dataValidation>
    <dataValidation type="list" allowBlank="1" showInputMessage="1" sqref="I33:P33">
      <formula1>$AA$71:$AA$73</formula1>
    </dataValidation>
    <dataValidation type="list" allowBlank="1" showInputMessage="1" sqref="I45:P45 N16:P16 I34:P34 N8:P8 I38:M38">
      <formula1>$AA$76:$AA$79</formula1>
    </dataValidation>
    <dataValidation type="list" allowBlank="1" showInputMessage="1" sqref="Q19:Q22 I35 I16 I8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FFFF66"/>
    <pageSetUpPr fitToPage="1"/>
  </sheetPr>
  <dimension ref="A1:BS72"/>
  <sheetViews>
    <sheetView view="pageBreakPreview" zoomScaleNormal="100" zoomScaleSheetLayoutView="100" workbookViewId="0">
      <selection activeCell="Q67" sqref="Q67"/>
    </sheetView>
  </sheetViews>
  <sheetFormatPr defaultRowHeight="13.5"/>
  <cols>
    <col min="1" max="1" width="1.125" style="5" customWidth="1"/>
    <col min="2" max="13" width="2.625" style="5" customWidth="1"/>
    <col min="14" max="14" width="4.125" style="5" customWidth="1"/>
    <col min="15" max="15" width="2.625" style="5" customWidth="1"/>
    <col min="16" max="16" width="3.25" style="5" customWidth="1"/>
    <col min="17" max="24" width="2.125" style="5" customWidth="1"/>
    <col min="25" max="25" width="2.25" style="5" customWidth="1"/>
    <col min="26" max="36" width="2.625" style="5" customWidth="1"/>
    <col min="37" max="38" width="3.875" style="5" customWidth="1"/>
    <col min="39" max="39" width="1.375" style="5" hidden="1" customWidth="1"/>
    <col min="40" max="43" width="2.625" style="5" hidden="1" customWidth="1"/>
    <col min="44" max="46" width="9" style="5" hidden="1" customWidth="1"/>
    <col min="47" max="47" width="9.5" style="5" hidden="1" customWidth="1"/>
    <col min="48" max="71" width="9" style="5" hidden="1" customWidth="1"/>
    <col min="72" max="16384" width="9" style="5"/>
  </cols>
  <sheetData>
    <row r="1" spans="1:64" ht="13.5" customHeight="1">
      <c r="A1" s="365" t="s">
        <v>228</v>
      </c>
      <c r="B1" s="366"/>
      <c r="C1" s="366"/>
      <c r="D1" s="366"/>
      <c r="E1" s="366"/>
      <c r="F1" s="366"/>
      <c r="G1" s="366"/>
      <c r="H1" s="366"/>
      <c r="I1" s="366"/>
      <c r="J1" s="366"/>
      <c r="K1" s="367"/>
      <c r="L1" s="406" t="s">
        <v>222</v>
      </c>
      <c r="M1" s="407"/>
      <c r="N1" s="407"/>
      <c r="O1" s="407"/>
      <c r="P1" s="407"/>
      <c r="Q1" s="407"/>
      <c r="R1" s="407"/>
      <c r="S1" s="407"/>
      <c r="T1" s="407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1"/>
      <c r="AG1" s="361" t="s">
        <v>15</v>
      </c>
      <c r="AH1" s="362"/>
      <c r="AI1" s="198" t="str">
        <f ca="1">RIGHT(CELL("filename",AI1),LEN(CELL("filename",AI1))-FIND("]",CELL("filename",AI1)))</f>
        <v>空調算定(導入前）</v>
      </c>
      <c r="AJ1" s="199"/>
      <c r="AK1" s="199"/>
      <c r="AL1" s="200"/>
      <c r="AX1" s="5" t="s">
        <v>119</v>
      </c>
      <c r="AY1" s="5">
        <v>0.71</v>
      </c>
    </row>
    <row r="2" spans="1:64">
      <c r="A2" s="368"/>
      <c r="B2" s="369"/>
      <c r="C2" s="369"/>
      <c r="D2" s="369"/>
      <c r="E2" s="369"/>
      <c r="F2" s="369"/>
      <c r="G2" s="369"/>
      <c r="H2" s="369"/>
      <c r="I2" s="369"/>
      <c r="J2" s="369"/>
      <c r="K2" s="370"/>
      <c r="L2" s="408"/>
      <c r="M2" s="409"/>
      <c r="N2" s="409"/>
      <c r="O2" s="409"/>
      <c r="P2" s="409"/>
      <c r="Q2" s="409"/>
      <c r="R2" s="409"/>
      <c r="S2" s="409"/>
      <c r="T2" s="409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3"/>
      <c r="AG2" s="363"/>
      <c r="AH2" s="364"/>
      <c r="AI2" s="201"/>
      <c r="AJ2" s="202"/>
      <c r="AK2" s="202"/>
      <c r="AL2" s="203"/>
      <c r="AX2" s="5" t="s">
        <v>118</v>
      </c>
      <c r="AY2" s="5">
        <v>0.71499999999999997</v>
      </c>
    </row>
    <row r="3" spans="1:64" ht="13.5" customHeight="1">
      <c r="A3" s="173" t="s">
        <v>226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5"/>
      <c r="AK3" s="31"/>
      <c r="AL3" s="28"/>
      <c r="AX3" s="5" t="s">
        <v>117</v>
      </c>
      <c r="AY3" s="5">
        <v>0.72</v>
      </c>
    </row>
    <row r="4" spans="1:64" ht="9.75" customHeight="1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8"/>
      <c r="AK4" s="29"/>
      <c r="AL4" s="30"/>
      <c r="AO4" s="7"/>
      <c r="AX4" s="5" t="s">
        <v>116</v>
      </c>
      <c r="AY4" s="5">
        <v>0.72499999999999998</v>
      </c>
    </row>
    <row r="5" spans="1:64" ht="8.25" customHeight="1">
      <c r="A5" s="9"/>
      <c r="B5" s="9"/>
      <c r="C5" s="9"/>
      <c r="D5" s="9"/>
      <c r="E5" s="9"/>
      <c r="F5" s="10"/>
      <c r="G5" s="9"/>
      <c r="H5" s="9"/>
      <c r="I5" s="9"/>
      <c r="J5" s="9"/>
      <c r="K5" s="10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Q5" s="9"/>
      <c r="AX5" s="10" t="s">
        <v>115</v>
      </c>
      <c r="AY5" s="10">
        <v>0.73</v>
      </c>
    </row>
    <row r="6" spans="1:64" s="10" customFormat="1" ht="24" customHeight="1">
      <c r="A6" s="9"/>
      <c r="B6" s="400" t="s">
        <v>16</v>
      </c>
      <c r="C6" s="204" t="s">
        <v>242</v>
      </c>
      <c r="D6" s="204"/>
      <c r="E6" s="204"/>
      <c r="F6" s="204"/>
      <c r="G6" s="204"/>
      <c r="H6" s="204"/>
      <c r="I6" s="204"/>
      <c r="J6" s="204"/>
      <c r="K6" s="204"/>
      <c r="L6" s="402" t="s">
        <v>57</v>
      </c>
      <c r="M6" s="403"/>
      <c r="N6" s="420" t="s">
        <v>247</v>
      </c>
      <c r="O6" s="426" t="s">
        <v>241</v>
      </c>
      <c r="P6" s="427"/>
      <c r="Q6" s="219" t="s">
        <v>150</v>
      </c>
      <c r="R6" s="219"/>
      <c r="S6" s="219"/>
      <c r="T6" s="220" t="s">
        <v>147</v>
      </c>
      <c r="U6" s="221"/>
      <c r="V6" s="222"/>
      <c r="W6" s="220" t="s">
        <v>17</v>
      </c>
      <c r="X6" s="221"/>
      <c r="Y6" s="222"/>
      <c r="Z6" s="223" t="s">
        <v>148</v>
      </c>
      <c r="AA6" s="225"/>
      <c r="AB6" s="223" t="s">
        <v>18</v>
      </c>
      <c r="AC6" s="224"/>
      <c r="AD6" s="224"/>
      <c r="AE6" s="225"/>
      <c r="AF6" s="415" t="s">
        <v>19</v>
      </c>
      <c r="AG6" s="159"/>
      <c r="AH6" s="159"/>
      <c r="AI6" s="159"/>
      <c r="AJ6" s="159"/>
      <c r="AK6" s="160"/>
      <c r="AL6" s="422" t="s">
        <v>224</v>
      </c>
      <c r="AM6" s="9"/>
      <c r="AX6" s="10" t="s">
        <v>114</v>
      </c>
      <c r="AY6" s="10">
        <v>0.73499999999999999</v>
      </c>
    </row>
    <row r="7" spans="1:64" s="10" customFormat="1" ht="17.25" customHeight="1">
      <c r="A7" s="9"/>
      <c r="B7" s="401"/>
      <c r="C7" s="205"/>
      <c r="D7" s="205"/>
      <c r="E7" s="205"/>
      <c r="F7" s="205"/>
      <c r="G7" s="205"/>
      <c r="H7" s="205"/>
      <c r="I7" s="205"/>
      <c r="J7" s="205"/>
      <c r="K7" s="205"/>
      <c r="L7" s="404"/>
      <c r="M7" s="405"/>
      <c r="N7" s="421"/>
      <c r="O7" s="424" t="s">
        <v>146</v>
      </c>
      <c r="P7" s="425"/>
      <c r="Q7" s="414" t="s">
        <v>151</v>
      </c>
      <c r="R7" s="414"/>
      <c r="S7" s="414"/>
      <c r="T7" s="206" t="s">
        <v>20</v>
      </c>
      <c r="U7" s="206"/>
      <c r="V7" s="206"/>
      <c r="W7" s="206" t="s">
        <v>21</v>
      </c>
      <c r="X7" s="206"/>
      <c r="Y7" s="206"/>
      <c r="Z7" s="424" t="s">
        <v>149</v>
      </c>
      <c r="AA7" s="425"/>
      <c r="AB7" s="206" t="s">
        <v>22</v>
      </c>
      <c r="AC7" s="206"/>
      <c r="AD7" s="206"/>
      <c r="AE7" s="206"/>
      <c r="AF7" s="416"/>
      <c r="AG7" s="162"/>
      <c r="AH7" s="162"/>
      <c r="AI7" s="162"/>
      <c r="AJ7" s="162"/>
      <c r="AK7" s="163"/>
      <c r="AL7" s="423"/>
      <c r="AM7" s="9"/>
      <c r="AO7" s="149"/>
      <c r="AQ7" s="149">
        <v>1</v>
      </c>
      <c r="AR7" s="10" t="s">
        <v>217</v>
      </c>
      <c r="AS7" s="10" t="s">
        <v>214</v>
      </c>
      <c r="AX7" s="10" t="s">
        <v>113</v>
      </c>
      <c r="AY7" s="10">
        <v>0.74</v>
      </c>
      <c r="BB7" s="10" t="s">
        <v>190</v>
      </c>
    </row>
    <row r="8" spans="1:64" s="10" customFormat="1" ht="15" customHeight="1">
      <c r="A8" s="9"/>
      <c r="B8" s="126">
        <v>1</v>
      </c>
      <c r="C8" s="431"/>
      <c r="D8" s="431"/>
      <c r="E8" s="431"/>
      <c r="F8" s="431"/>
      <c r="G8" s="431"/>
      <c r="H8" s="431"/>
      <c r="I8" s="431"/>
      <c r="J8" s="431"/>
      <c r="K8" s="431"/>
      <c r="L8" s="417"/>
      <c r="M8" s="432"/>
      <c r="N8" s="115"/>
      <c r="O8" s="417"/>
      <c r="P8" s="432"/>
      <c r="Q8" s="431"/>
      <c r="R8" s="431"/>
      <c r="S8" s="431"/>
      <c r="T8" s="211"/>
      <c r="U8" s="211"/>
      <c r="V8" s="211"/>
      <c r="W8" s="211"/>
      <c r="X8" s="211"/>
      <c r="Y8" s="211"/>
      <c r="Z8" s="429"/>
      <c r="AA8" s="430"/>
      <c r="AB8" s="428" t="str">
        <f t="shared" ref="AB8:AB11" si="0">IF(O8="","",IF($AQ$7=1,O8*Q8*T8*W8*AR8/AS8,O8*Q8*T8*W8*Z8))</f>
        <v/>
      </c>
      <c r="AC8" s="428"/>
      <c r="AD8" s="428"/>
      <c r="AE8" s="428"/>
      <c r="AF8" s="417"/>
      <c r="AG8" s="418"/>
      <c r="AH8" s="418"/>
      <c r="AI8" s="418"/>
      <c r="AJ8" s="418"/>
      <c r="AK8" s="419"/>
      <c r="AL8" s="128" t="str">
        <f>IFERROR(IF(O8="","",IF(Z8-AR8&gt;0,"超過","")),"?")</f>
        <v/>
      </c>
      <c r="AM8" s="13"/>
      <c r="AN8" s="13"/>
      <c r="AO8" s="13"/>
      <c r="AP8" s="113" t="str">
        <f>IF(N8="◎",1,"")</f>
        <v/>
      </c>
      <c r="AQ8" s="113" t="e">
        <f>INDEX($BI$10:$BI$21,MATCH(W8,$BI$10:$BI$21,1),1)</f>
        <v>#N/A</v>
      </c>
      <c r="AR8" s="114" t="e">
        <f>VLOOKUP(INDEX($BI$10:$BI$21,MATCH(W8,$BI$10:$BI$21,1),1),$BI$10:$BL$21,3,FALSE)</f>
        <v>#N/A</v>
      </c>
      <c r="AS8" s="112" t="e">
        <f t="shared" ref="AS8:AS39" si="1">IF(AP8=1,VLOOKUP(L8,inv補正COP,7,FALSE)*AR8+VLOOKUP(L8,inv補正COP,12,FALSE),$BO$29*AR8+$BQ$29)</f>
        <v>#N/A</v>
      </c>
      <c r="AX8" s="10" t="s">
        <v>112</v>
      </c>
      <c r="AY8" s="10">
        <v>0.745</v>
      </c>
      <c r="BB8" s="88" t="s">
        <v>179</v>
      </c>
      <c r="BC8" s="89"/>
      <c r="BD8" s="89"/>
      <c r="BJ8" s="10" t="s">
        <v>187</v>
      </c>
    </row>
    <row r="9" spans="1:64" s="10" customFormat="1" ht="15" customHeight="1">
      <c r="A9" s="9"/>
      <c r="B9" s="146">
        <f>IF(B8="","",B8+1)</f>
        <v>2</v>
      </c>
      <c r="C9" s="211"/>
      <c r="D9" s="211"/>
      <c r="E9" s="211"/>
      <c r="F9" s="211"/>
      <c r="G9" s="211"/>
      <c r="H9" s="211"/>
      <c r="I9" s="211"/>
      <c r="J9" s="211"/>
      <c r="K9" s="211"/>
      <c r="L9" s="390"/>
      <c r="M9" s="217"/>
      <c r="N9" s="115"/>
      <c r="O9" s="390"/>
      <c r="P9" s="217"/>
      <c r="Q9" s="211"/>
      <c r="R9" s="211"/>
      <c r="S9" s="211"/>
      <c r="T9" s="211"/>
      <c r="U9" s="211"/>
      <c r="V9" s="211"/>
      <c r="W9" s="211"/>
      <c r="X9" s="211"/>
      <c r="Y9" s="211"/>
      <c r="Z9" s="433"/>
      <c r="AA9" s="434"/>
      <c r="AB9" s="428" t="str">
        <f t="shared" si="0"/>
        <v/>
      </c>
      <c r="AC9" s="428"/>
      <c r="AD9" s="428"/>
      <c r="AE9" s="428"/>
      <c r="AF9" s="390"/>
      <c r="AG9" s="391"/>
      <c r="AH9" s="391"/>
      <c r="AI9" s="391"/>
      <c r="AJ9" s="391"/>
      <c r="AK9" s="392"/>
      <c r="AL9" s="129" t="str">
        <f t="shared" ref="AL9:AL57" si="2">IFERROR(IF(O9="","",IF(Z9-AR9&gt;0,"超過","")),"?")</f>
        <v/>
      </c>
      <c r="AM9" s="9"/>
      <c r="AN9" s="9"/>
      <c r="AO9" s="9"/>
      <c r="AP9" s="113" t="str">
        <f t="shared" ref="AP9:AP57" si="3">IF(N9="◎",1,"")</f>
        <v/>
      </c>
      <c r="AQ9" s="113" t="e">
        <f t="shared" ref="AQ9:AQ57" si="4">INDEX($BI$10:$BI$21,MATCH(W9,$BI$10:$BI$21,1),1)</f>
        <v>#N/A</v>
      </c>
      <c r="AR9" s="114" t="e">
        <f>VLOOKUP(INDEX($BI$10:$BI$21,MATCH(W9,$BI$10:$BI$21,1),1),$BI$10:$BL$21,3,FALSE)</f>
        <v>#N/A</v>
      </c>
      <c r="AS9" s="112" t="e">
        <f t="shared" si="1"/>
        <v>#N/A</v>
      </c>
      <c r="AV9" s="86">
        <v>0.5</v>
      </c>
      <c r="AX9" s="10" t="s">
        <v>111</v>
      </c>
      <c r="AY9" s="10">
        <v>0.75</v>
      </c>
      <c r="BB9" s="61" t="s">
        <v>156</v>
      </c>
      <c r="BC9" s="61" t="s">
        <v>158</v>
      </c>
      <c r="BD9" s="61" t="s">
        <v>188</v>
      </c>
      <c r="BE9" s="89" t="s">
        <v>219</v>
      </c>
      <c r="BJ9" s="61" t="s">
        <v>189</v>
      </c>
      <c r="BK9" s="89" t="s">
        <v>219</v>
      </c>
    </row>
    <row r="10" spans="1:64" s="10" customFormat="1" ht="15" customHeight="1">
      <c r="A10" s="9"/>
      <c r="B10" s="146">
        <f t="shared" ref="B10:B37" si="5">IF(B9="","",B9+1)</f>
        <v>3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90"/>
      <c r="M10" s="217"/>
      <c r="N10" s="115"/>
      <c r="O10" s="390"/>
      <c r="P10" s="217"/>
      <c r="Q10" s="211"/>
      <c r="R10" s="211"/>
      <c r="S10" s="211"/>
      <c r="T10" s="211"/>
      <c r="U10" s="211"/>
      <c r="V10" s="211"/>
      <c r="W10" s="211"/>
      <c r="X10" s="211"/>
      <c r="Y10" s="211"/>
      <c r="Z10" s="433"/>
      <c r="AA10" s="434"/>
      <c r="AB10" s="428" t="str">
        <f t="shared" si="0"/>
        <v/>
      </c>
      <c r="AC10" s="428"/>
      <c r="AD10" s="428"/>
      <c r="AE10" s="428"/>
      <c r="AF10" s="390"/>
      <c r="AG10" s="391"/>
      <c r="AH10" s="391"/>
      <c r="AI10" s="391"/>
      <c r="AJ10" s="391"/>
      <c r="AK10" s="392"/>
      <c r="AL10" s="129" t="str">
        <f t="shared" si="2"/>
        <v/>
      </c>
      <c r="AM10" s="13"/>
      <c r="AN10" s="13"/>
      <c r="AO10" s="13"/>
      <c r="AP10" s="113" t="str">
        <f t="shared" si="3"/>
        <v/>
      </c>
      <c r="AQ10" s="113" t="e">
        <f t="shared" si="4"/>
        <v>#N/A</v>
      </c>
      <c r="AR10" s="114" t="e">
        <f>VLOOKUP(INDEX($BI$10:$BI$21,MATCH(W10,$BI$10:$BI$21,1),1),$BI$10:$BL$21,3,FALSE)</f>
        <v>#N/A</v>
      </c>
      <c r="AS10" s="112" t="e">
        <f t="shared" si="1"/>
        <v>#N/A</v>
      </c>
      <c r="AV10" s="86">
        <v>0.4</v>
      </c>
      <c r="AX10" s="10" t="s">
        <v>110</v>
      </c>
      <c r="AY10" s="10">
        <v>0.755</v>
      </c>
      <c r="BA10" s="148" t="s">
        <v>165</v>
      </c>
      <c r="BB10" s="87">
        <v>0.59050000000000002</v>
      </c>
      <c r="BC10" s="87">
        <v>0</v>
      </c>
      <c r="BD10" s="87">
        <v>0.59050000000000002</v>
      </c>
      <c r="BE10" s="91">
        <f>AVERAGE(BD$10:BD10)</f>
        <v>0.59050000000000002</v>
      </c>
      <c r="BG10" s="148" t="s">
        <v>165</v>
      </c>
      <c r="BH10" s="148" t="s">
        <v>220</v>
      </c>
      <c r="BI10" s="10">
        <v>24</v>
      </c>
      <c r="BJ10" s="87">
        <v>0.57830912500000009</v>
      </c>
      <c r="BK10" s="91">
        <f>AVERAGE(BJ$10:BJ10)</f>
        <v>0.57830912500000009</v>
      </c>
      <c r="BL10" s="10">
        <v>22</v>
      </c>
    </row>
    <row r="11" spans="1:64" s="10" customFormat="1" ht="15" customHeight="1">
      <c r="A11" s="9"/>
      <c r="B11" s="146">
        <f t="shared" si="5"/>
        <v>4</v>
      </c>
      <c r="C11" s="211"/>
      <c r="D11" s="211"/>
      <c r="E11" s="211"/>
      <c r="F11" s="211"/>
      <c r="G11" s="211"/>
      <c r="H11" s="211"/>
      <c r="I11" s="211"/>
      <c r="J11" s="211"/>
      <c r="K11" s="211"/>
      <c r="L11" s="390"/>
      <c r="M11" s="217"/>
      <c r="N11" s="115"/>
      <c r="O11" s="390"/>
      <c r="P11" s="217"/>
      <c r="Q11" s="211"/>
      <c r="R11" s="211"/>
      <c r="S11" s="211"/>
      <c r="T11" s="211"/>
      <c r="U11" s="211"/>
      <c r="V11" s="211"/>
      <c r="W11" s="211"/>
      <c r="X11" s="211"/>
      <c r="Y11" s="211"/>
      <c r="Z11" s="433"/>
      <c r="AA11" s="434"/>
      <c r="AB11" s="428" t="str">
        <f t="shared" si="0"/>
        <v/>
      </c>
      <c r="AC11" s="428"/>
      <c r="AD11" s="428"/>
      <c r="AE11" s="428"/>
      <c r="AF11" s="390"/>
      <c r="AG11" s="391"/>
      <c r="AH11" s="391"/>
      <c r="AI11" s="391"/>
      <c r="AJ11" s="391"/>
      <c r="AK11" s="392"/>
      <c r="AL11" s="129" t="str">
        <f t="shared" si="2"/>
        <v/>
      </c>
      <c r="AM11" s="9"/>
      <c r="AN11" s="9"/>
      <c r="AO11" s="9"/>
      <c r="AP11" s="113" t="str">
        <f t="shared" si="3"/>
        <v/>
      </c>
      <c r="AQ11" s="113" t="e">
        <f t="shared" si="4"/>
        <v>#N/A</v>
      </c>
      <c r="AR11" s="114" t="e">
        <f>VLOOKUP(INDEX($BI$10:$BI$21,MATCH(W11,$BI$10:$BI$21,1),1),$BI$10:$BL$21,3,FALSE)</f>
        <v>#N/A</v>
      </c>
      <c r="AS11" s="112" t="e">
        <f t="shared" si="1"/>
        <v>#N/A</v>
      </c>
      <c r="AV11" s="86">
        <v>0.3</v>
      </c>
      <c r="AX11" s="10" t="s">
        <v>109</v>
      </c>
      <c r="AY11" s="10">
        <v>0.76</v>
      </c>
      <c r="BA11" s="148" t="s">
        <v>164</v>
      </c>
      <c r="BB11" s="87">
        <v>0.5625</v>
      </c>
      <c r="BC11" s="87">
        <v>0</v>
      </c>
      <c r="BD11" s="87">
        <v>0.5625</v>
      </c>
      <c r="BE11" s="91">
        <f>AVERAGE(BD$10:BD11)</f>
        <v>0.57650000000000001</v>
      </c>
      <c r="BG11" s="148" t="s">
        <v>164</v>
      </c>
      <c r="BH11" s="148" t="s">
        <v>220</v>
      </c>
      <c r="BI11" s="10">
        <f>BI10+24</f>
        <v>48</v>
      </c>
      <c r="BJ11" s="87">
        <v>0.53148375000000003</v>
      </c>
      <c r="BK11" s="91">
        <f>AVERAGE(BJ$10:BJ11)</f>
        <v>0.55489643750000006</v>
      </c>
      <c r="BL11" s="10">
        <v>26</v>
      </c>
    </row>
    <row r="12" spans="1:64" s="10" customFormat="1" ht="15" customHeight="1">
      <c r="A12" s="9"/>
      <c r="B12" s="146">
        <f t="shared" si="5"/>
        <v>5</v>
      </c>
      <c r="C12" s="211"/>
      <c r="D12" s="211"/>
      <c r="E12" s="211"/>
      <c r="F12" s="211"/>
      <c r="G12" s="211"/>
      <c r="H12" s="211"/>
      <c r="I12" s="211"/>
      <c r="J12" s="211"/>
      <c r="K12" s="211"/>
      <c r="L12" s="390"/>
      <c r="M12" s="217"/>
      <c r="N12" s="115"/>
      <c r="O12" s="390"/>
      <c r="P12" s="217"/>
      <c r="Q12" s="211"/>
      <c r="R12" s="211"/>
      <c r="S12" s="211"/>
      <c r="T12" s="211"/>
      <c r="U12" s="211"/>
      <c r="V12" s="211"/>
      <c r="W12" s="211"/>
      <c r="X12" s="211"/>
      <c r="Y12" s="211"/>
      <c r="Z12" s="433"/>
      <c r="AA12" s="434"/>
      <c r="AB12" s="428" t="str">
        <f t="shared" ref="AB12" si="6">IF(O12="","",IF($AQ$7=1,O12*Q12*T12*W12*AR12/AS12,O12*Q12*T12*W12*Z12))</f>
        <v/>
      </c>
      <c r="AC12" s="428"/>
      <c r="AD12" s="428"/>
      <c r="AE12" s="428"/>
      <c r="AF12" s="390"/>
      <c r="AG12" s="391"/>
      <c r="AH12" s="391"/>
      <c r="AI12" s="391"/>
      <c r="AJ12" s="391"/>
      <c r="AK12" s="392"/>
      <c r="AL12" s="129" t="str">
        <f t="shared" si="2"/>
        <v/>
      </c>
      <c r="AM12" s="13"/>
      <c r="AN12" s="13"/>
      <c r="AO12" s="13"/>
      <c r="AP12" s="113" t="str">
        <f t="shared" si="3"/>
        <v/>
      </c>
      <c r="AQ12" s="113" t="e">
        <f t="shared" si="4"/>
        <v>#N/A</v>
      </c>
      <c r="AR12" s="114" t="e">
        <f t="shared" ref="AR12:AR57" si="7">VLOOKUP(INDEX($BI$10:$BI$21,MATCH(W12,$BI$10:$BI$21,1),1),$BI$10:$BL$21,3,FALSE)</f>
        <v>#N/A</v>
      </c>
      <c r="AS12" s="112" t="e">
        <f t="shared" si="1"/>
        <v>#N/A</v>
      </c>
      <c r="AV12" s="86">
        <v>0.2</v>
      </c>
      <c r="AX12" s="10" t="s">
        <v>108</v>
      </c>
      <c r="AY12" s="10">
        <v>0.76500000000000001</v>
      </c>
      <c r="BA12" s="148" t="s">
        <v>166</v>
      </c>
      <c r="BB12" s="87">
        <v>0.43099999999999999</v>
      </c>
      <c r="BC12" s="87">
        <v>0</v>
      </c>
      <c r="BD12" s="87">
        <v>0.43099999999999999</v>
      </c>
      <c r="BE12" s="91">
        <f>AVERAGE(BD$10:BD12)</f>
        <v>0.52800000000000002</v>
      </c>
      <c r="BG12" s="148" t="s">
        <v>166</v>
      </c>
      <c r="BH12" s="148" t="s">
        <v>220</v>
      </c>
      <c r="BI12" s="10">
        <f>BI11+24</f>
        <v>72</v>
      </c>
      <c r="BJ12" s="87">
        <v>0.39447399999999999</v>
      </c>
      <c r="BK12" s="91">
        <f>AVERAGE(BJ$10:BJ12)</f>
        <v>0.50142229166666674</v>
      </c>
      <c r="BL12" s="10">
        <v>24</v>
      </c>
    </row>
    <row r="13" spans="1:64" s="10" customFormat="1" ht="15" customHeight="1">
      <c r="A13" s="9"/>
      <c r="B13" s="146">
        <f t="shared" si="5"/>
        <v>6</v>
      </c>
      <c r="C13" s="211"/>
      <c r="D13" s="211"/>
      <c r="E13" s="211"/>
      <c r="F13" s="211"/>
      <c r="G13" s="211"/>
      <c r="H13" s="211"/>
      <c r="I13" s="211"/>
      <c r="J13" s="211"/>
      <c r="K13" s="211"/>
      <c r="L13" s="390"/>
      <c r="M13" s="217"/>
      <c r="N13" s="115"/>
      <c r="O13" s="390"/>
      <c r="P13" s="217"/>
      <c r="Q13" s="211"/>
      <c r="R13" s="211"/>
      <c r="S13" s="211"/>
      <c r="T13" s="211"/>
      <c r="U13" s="211"/>
      <c r="V13" s="211"/>
      <c r="W13" s="211"/>
      <c r="X13" s="211"/>
      <c r="Y13" s="211"/>
      <c r="Z13" s="433"/>
      <c r="AA13" s="434"/>
      <c r="AB13" s="397" t="str">
        <f t="shared" ref="AB13:AB57" si="8">IF(O13="","",IF($AQ$7=1,O13*Q13*T13*W13*AR13/AS13,O13*Q13*T13*W13*Z13))</f>
        <v/>
      </c>
      <c r="AC13" s="398"/>
      <c r="AD13" s="398"/>
      <c r="AE13" s="399"/>
      <c r="AF13" s="390"/>
      <c r="AG13" s="391"/>
      <c r="AH13" s="391"/>
      <c r="AI13" s="391"/>
      <c r="AJ13" s="391"/>
      <c r="AK13" s="392"/>
      <c r="AL13" s="129" t="str">
        <f t="shared" si="2"/>
        <v/>
      </c>
      <c r="AM13" s="9"/>
      <c r="AN13" s="9"/>
      <c r="AO13" s="9"/>
      <c r="AP13" s="113" t="str">
        <f t="shared" si="3"/>
        <v/>
      </c>
      <c r="AQ13" s="113" t="e">
        <f t="shared" si="4"/>
        <v>#N/A</v>
      </c>
      <c r="AR13" s="114" t="e">
        <f t="shared" si="7"/>
        <v>#N/A</v>
      </c>
      <c r="AS13" s="112" t="e">
        <f t="shared" si="1"/>
        <v>#N/A</v>
      </c>
      <c r="AX13" s="10" t="s">
        <v>107</v>
      </c>
      <c r="AY13" s="10">
        <v>0.77</v>
      </c>
      <c r="BA13" s="148" t="s">
        <v>170</v>
      </c>
      <c r="BB13" s="87">
        <v>0</v>
      </c>
      <c r="BC13" s="87">
        <v>0.372</v>
      </c>
      <c r="BD13" s="87">
        <v>0.372</v>
      </c>
      <c r="BE13" s="91">
        <f>AVERAGE(BD$10:BD13)</f>
        <v>0.48899999999999999</v>
      </c>
      <c r="BG13" s="148" t="s">
        <v>170</v>
      </c>
      <c r="BH13" s="148" t="s">
        <v>221</v>
      </c>
      <c r="BI13" s="10">
        <f t="shared" ref="BI13:BI21" si="9">BI12+24</f>
        <v>96</v>
      </c>
      <c r="BJ13" s="87">
        <v>0.36901874999999995</v>
      </c>
      <c r="BK13" s="91">
        <f>AVERAGE(BJ$10:BJ13)</f>
        <v>0.46832140625000002</v>
      </c>
      <c r="BL13" s="10">
        <v>23</v>
      </c>
    </row>
    <row r="14" spans="1:64" s="10" customFormat="1" ht="15" customHeight="1">
      <c r="A14" s="9"/>
      <c r="B14" s="146">
        <f t="shared" si="5"/>
        <v>7</v>
      </c>
      <c r="C14" s="211"/>
      <c r="D14" s="211"/>
      <c r="E14" s="211"/>
      <c r="F14" s="211"/>
      <c r="G14" s="211"/>
      <c r="H14" s="211"/>
      <c r="I14" s="211"/>
      <c r="J14" s="211"/>
      <c r="K14" s="211"/>
      <c r="L14" s="390"/>
      <c r="M14" s="217"/>
      <c r="N14" s="115"/>
      <c r="O14" s="390"/>
      <c r="P14" s="217"/>
      <c r="Q14" s="211"/>
      <c r="R14" s="211"/>
      <c r="S14" s="211"/>
      <c r="T14" s="211"/>
      <c r="U14" s="211"/>
      <c r="V14" s="211"/>
      <c r="W14" s="211"/>
      <c r="X14" s="211"/>
      <c r="Y14" s="211"/>
      <c r="Z14" s="433"/>
      <c r="AA14" s="434"/>
      <c r="AB14" s="397" t="str">
        <f t="shared" si="8"/>
        <v/>
      </c>
      <c r="AC14" s="398"/>
      <c r="AD14" s="398"/>
      <c r="AE14" s="399"/>
      <c r="AF14" s="390"/>
      <c r="AG14" s="391"/>
      <c r="AH14" s="391"/>
      <c r="AI14" s="391"/>
      <c r="AJ14" s="391"/>
      <c r="AK14" s="392"/>
      <c r="AL14" s="129" t="str">
        <f t="shared" si="2"/>
        <v/>
      </c>
      <c r="AM14" s="13"/>
      <c r="AN14" s="13"/>
      <c r="AO14" s="13"/>
      <c r="AP14" s="113" t="str">
        <f t="shared" si="3"/>
        <v/>
      </c>
      <c r="AQ14" s="113" t="e">
        <f t="shared" si="4"/>
        <v>#N/A</v>
      </c>
      <c r="AR14" s="114" t="e">
        <f t="shared" si="7"/>
        <v>#N/A</v>
      </c>
      <c r="AS14" s="112" t="e">
        <f t="shared" si="1"/>
        <v>#N/A</v>
      </c>
      <c r="AX14" s="10" t="s">
        <v>106</v>
      </c>
      <c r="AY14" s="10">
        <v>0.77500000000000002</v>
      </c>
      <c r="BA14" s="148" t="s">
        <v>171</v>
      </c>
      <c r="BB14" s="87">
        <v>0</v>
      </c>
      <c r="BC14" s="87">
        <v>0.35100000000000003</v>
      </c>
      <c r="BD14" s="87">
        <v>0.35100000000000003</v>
      </c>
      <c r="BE14" s="91">
        <f>AVERAGE(BD$10:BD14)</f>
        <v>0.46139999999999998</v>
      </c>
      <c r="BG14" s="148" t="s">
        <v>171</v>
      </c>
      <c r="BH14" s="148" t="s">
        <v>221</v>
      </c>
      <c r="BI14" s="10">
        <f t="shared" si="9"/>
        <v>120</v>
      </c>
      <c r="BJ14" s="87">
        <v>0.33808300000000002</v>
      </c>
      <c r="BK14" s="91">
        <f>AVERAGE(BJ$10:BJ14)</f>
        <v>0.44227372500000001</v>
      </c>
      <c r="BL14" s="10">
        <v>22</v>
      </c>
    </row>
    <row r="15" spans="1:64" s="10" customFormat="1" ht="15" customHeight="1">
      <c r="A15" s="9"/>
      <c r="B15" s="146">
        <f t="shared" si="5"/>
        <v>8</v>
      </c>
      <c r="C15" s="211"/>
      <c r="D15" s="211"/>
      <c r="E15" s="211"/>
      <c r="F15" s="211"/>
      <c r="G15" s="211"/>
      <c r="H15" s="211"/>
      <c r="I15" s="211"/>
      <c r="J15" s="211"/>
      <c r="K15" s="211"/>
      <c r="L15" s="390"/>
      <c r="M15" s="217"/>
      <c r="N15" s="115"/>
      <c r="O15" s="390"/>
      <c r="P15" s="217"/>
      <c r="Q15" s="211"/>
      <c r="R15" s="211"/>
      <c r="S15" s="211"/>
      <c r="T15" s="211"/>
      <c r="U15" s="211"/>
      <c r="V15" s="211"/>
      <c r="W15" s="211"/>
      <c r="X15" s="211"/>
      <c r="Y15" s="211"/>
      <c r="Z15" s="433"/>
      <c r="AA15" s="434"/>
      <c r="AB15" s="397" t="str">
        <f t="shared" si="8"/>
        <v/>
      </c>
      <c r="AC15" s="398"/>
      <c r="AD15" s="398"/>
      <c r="AE15" s="399"/>
      <c r="AF15" s="390"/>
      <c r="AG15" s="391"/>
      <c r="AH15" s="391"/>
      <c r="AI15" s="391"/>
      <c r="AJ15" s="391"/>
      <c r="AK15" s="392"/>
      <c r="AL15" s="129" t="str">
        <f t="shared" si="2"/>
        <v/>
      </c>
      <c r="AM15" s="9"/>
      <c r="AN15" s="9"/>
      <c r="AO15" s="9"/>
      <c r="AP15" s="113" t="str">
        <f t="shared" si="3"/>
        <v/>
      </c>
      <c r="AQ15" s="113" t="e">
        <f t="shared" si="4"/>
        <v>#N/A</v>
      </c>
      <c r="AR15" s="114" t="e">
        <f t="shared" si="7"/>
        <v>#N/A</v>
      </c>
      <c r="AS15" s="112" t="e">
        <f t="shared" si="1"/>
        <v>#N/A</v>
      </c>
      <c r="AX15" s="10" t="s">
        <v>105</v>
      </c>
      <c r="AY15" s="10">
        <v>0.78</v>
      </c>
      <c r="BA15" s="148" t="s">
        <v>163</v>
      </c>
      <c r="BB15" s="87">
        <v>0.31225000000000003</v>
      </c>
      <c r="BC15" s="87">
        <v>0</v>
      </c>
      <c r="BD15" s="87">
        <v>0.31225000000000003</v>
      </c>
      <c r="BE15" s="91">
        <f>AVERAGE(BD$10:BD15)</f>
        <v>0.43654166666666666</v>
      </c>
      <c r="BG15" s="148" t="s">
        <v>163</v>
      </c>
      <c r="BH15" s="148" t="s">
        <v>220</v>
      </c>
      <c r="BI15" s="10">
        <f t="shared" si="9"/>
        <v>144</v>
      </c>
      <c r="BJ15" s="87">
        <v>0.26025987500000003</v>
      </c>
      <c r="BK15" s="91">
        <f>AVERAGE(BJ$10:BJ15)</f>
        <v>0.41193808333333332</v>
      </c>
      <c r="BL15" s="10">
        <v>26</v>
      </c>
    </row>
    <row r="16" spans="1:64" s="10" customFormat="1" ht="15" customHeight="1">
      <c r="A16" s="9"/>
      <c r="B16" s="146">
        <f t="shared" si="5"/>
        <v>9</v>
      </c>
      <c r="C16" s="211"/>
      <c r="D16" s="211"/>
      <c r="E16" s="211"/>
      <c r="F16" s="211"/>
      <c r="G16" s="211"/>
      <c r="H16" s="211"/>
      <c r="I16" s="211"/>
      <c r="J16" s="211"/>
      <c r="K16" s="211"/>
      <c r="L16" s="390"/>
      <c r="M16" s="217"/>
      <c r="N16" s="115"/>
      <c r="O16" s="390"/>
      <c r="P16" s="217"/>
      <c r="Q16" s="211"/>
      <c r="R16" s="211"/>
      <c r="S16" s="211"/>
      <c r="T16" s="211"/>
      <c r="U16" s="211"/>
      <c r="V16" s="211"/>
      <c r="W16" s="211"/>
      <c r="X16" s="211"/>
      <c r="Y16" s="211"/>
      <c r="Z16" s="433"/>
      <c r="AA16" s="434"/>
      <c r="AB16" s="397" t="str">
        <f t="shared" si="8"/>
        <v/>
      </c>
      <c r="AC16" s="398"/>
      <c r="AD16" s="398"/>
      <c r="AE16" s="399"/>
      <c r="AF16" s="390"/>
      <c r="AG16" s="391"/>
      <c r="AH16" s="391"/>
      <c r="AI16" s="391"/>
      <c r="AJ16" s="391"/>
      <c r="AK16" s="392"/>
      <c r="AL16" s="129" t="str">
        <f t="shared" si="2"/>
        <v/>
      </c>
      <c r="AM16" s="13"/>
      <c r="AN16" s="13"/>
      <c r="AO16" s="13"/>
      <c r="AP16" s="113" t="str">
        <f t="shared" si="3"/>
        <v/>
      </c>
      <c r="AQ16" s="113" t="e">
        <f t="shared" si="4"/>
        <v>#N/A</v>
      </c>
      <c r="AR16" s="114" t="e">
        <f t="shared" si="7"/>
        <v>#N/A</v>
      </c>
      <c r="AS16" s="112" t="e">
        <f t="shared" si="1"/>
        <v>#N/A</v>
      </c>
      <c r="AX16" s="10" t="s">
        <v>104</v>
      </c>
      <c r="AY16" s="10">
        <v>0.78500000000000003</v>
      </c>
      <c r="BA16" s="148" t="s">
        <v>169</v>
      </c>
      <c r="BB16" s="87">
        <v>0</v>
      </c>
      <c r="BC16" s="87">
        <v>0.28425</v>
      </c>
      <c r="BD16" s="87">
        <v>0.28425</v>
      </c>
      <c r="BE16" s="91">
        <f>AVERAGE(BD$10:BD16)</f>
        <v>0.41478571428571431</v>
      </c>
      <c r="BG16" s="148" t="s">
        <v>169</v>
      </c>
      <c r="BH16" s="148" t="s">
        <v>221</v>
      </c>
      <c r="BI16" s="10">
        <f t="shared" si="9"/>
        <v>168</v>
      </c>
      <c r="BJ16" s="87">
        <v>0.24758137500000002</v>
      </c>
      <c r="BK16" s="91">
        <f>AVERAGE(BJ$10:BJ16)</f>
        <v>0.38845855357142861</v>
      </c>
      <c r="BL16" s="10">
        <v>25</v>
      </c>
    </row>
    <row r="17" spans="1:70" s="10" customFormat="1" ht="15" customHeight="1">
      <c r="A17" s="9"/>
      <c r="B17" s="146">
        <f t="shared" si="5"/>
        <v>10</v>
      </c>
      <c r="C17" s="211"/>
      <c r="D17" s="211"/>
      <c r="E17" s="211"/>
      <c r="F17" s="211"/>
      <c r="G17" s="211"/>
      <c r="H17" s="211"/>
      <c r="I17" s="211"/>
      <c r="J17" s="211"/>
      <c r="K17" s="211"/>
      <c r="L17" s="390"/>
      <c r="M17" s="217"/>
      <c r="N17" s="115"/>
      <c r="O17" s="390"/>
      <c r="P17" s="217"/>
      <c r="Q17" s="211"/>
      <c r="R17" s="211"/>
      <c r="S17" s="211"/>
      <c r="T17" s="211"/>
      <c r="U17" s="211"/>
      <c r="V17" s="211"/>
      <c r="W17" s="211"/>
      <c r="X17" s="211"/>
      <c r="Y17" s="211"/>
      <c r="Z17" s="433"/>
      <c r="AA17" s="434"/>
      <c r="AB17" s="397" t="str">
        <f t="shared" si="8"/>
        <v/>
      </c>
      <c r="AC17" s="398"/>
      <c r="AD17" s="398"/>
      <c r="AE17" s="399"/>
      <c r="AF17" s="390"/>
      <c r="AG17" s="391"/>
      <c r="AH17" s="391"/>
      <c r="AI17" s="391"/>
      <c r="AJ17" s="391"/>
      <c r="AK17" s="392"/>
      <c r="AL17" s="129" t="str">
        <f t="shared" si="2"/>
        <v/>
      </c>
      <c r="AM17" s="9"/>
      <c r="AN17" s="9"/>
      <c r="AO17" s="9"/>
      <c r="AP17" s="113" t="str">
        <f t="shared" si="3"/>
        <v/>
      </c>
      <c r="AQ17" s="113" t="e">
        <f t="shared" si="4"/>
        <v>#N/A</v>
      </c>
      <c r="AR17" s="114" t="e">
        <f t="shared" si="7"/>
        <v>#N/A</v>
      </c>
      <c r="AS17" s="112" t="e">
        <f t="shared" si="1"/>
        <v>#N/A</v>
      </c>
      <c r="AX17" s="10" t="s">
        <v>103</v>
      </c>
      <c r="AY17" s="10">
        <v>0.79</v>
      </c>
      <c r="BA17" s="148" t="s">
        <v>172</v>
      </c>
      <c r="BB17" s="87">
        <v>8.8249999999999995E-2</v>
      </c>
      <c r="BC17" s="87">
        <v>0.26524999999999999</v>
      </c>
      <c r="BD17" s="87">
        <v>0.26524999999999999</v>
      </c>
      <c r="BE17" s="91">
        <f>AVERAGE(BD$10:BD17)</f>
        <v>0.39609375000000002</v>
      </c>
      <c r="BG17" s="148" t="s">
        <v>172</v>
      </c>
      <c r="BH17" s="148" t="s">
        <v>221</v>
      </c>
      <c r="BI17" s="10">
        <f t="shared" si="9"/>
        <v>192</v>
      </c>
      <c r="BJ17" s="87">
        <v>0.18655075000000002</v>
      </c>
      <c r="BK17" s="91">
        <f>AVERAGE(BJ$10:BJ17)</f>
        <v>0.36322007812500001</v>
      </c>
      <c r="BL17" s="10">
        <v>25</v>
      </c>
    </row>
    <row r="18" spans="1:70" s="10" customFormat="1" ht="15" customHeight="1">
      <c r="A18" s="9"/>
      <c r="B18" s="146">
        <f t="shared" si="5"/>
        <v>11</v>
      </c>
      <c r="C18" s="211"/>
      <c r="D18" s="211"/>
      <c r="E18" s="211"/>
      <c r="F18" s="211"/>
      <c r="G18" s="211"/>
      <c r="H18" s="211"/>
      <c r="I18" s="211"/>
      <c r="J18" s="211"/>
      <c r="K18" s="211"/>
      <c r="L18" s="390"/>
      <c r="M18" s="217"/>
      <c r="N18" s="115"/>
      <c r="O18" s="390"/>
      <c r="P18" s="217"/>
      <c r="Q18" s="211"/>
      <c r="R18" s="211"/>
      <c r="S18" s="211"/>
      <c r="T18" s="211"/>
      <c r="U18" s="211"/>
      <c r="V18" s="211"/>
      <c r="W18" s="211"/>
      <c r="X18" s="211"/>
      <c r="Y18" s="211"/>
      <c r="Z18" s="433"/>
      <c r="AA18" s="434"/>
      <c r="AB18" s="397" t="str">
        <f t="shared" si="8"/>
        <v/>
      </c>
      <c r="AC18" s="398"/>
      <c r="AD18" s="398"/>
      <c r="AE18" s="399"/>
      <c r="AF18" s="390"/>
      <c r="AG18" s="391"/>
      <c r="AH18" s="391"/>
      <c r="AI18" s="391"/>
      <c r="AJ18" s="391"/>
      <c r="AK18" s="392"/>
      <c r="AL18" s="129" t="str">
        <f t="shared" si="2"/>
        <v/>
      </c>
      <c r="AM18" s="13"/>
      <c r="AN18" s="13"/>
      <c r="AO18" s="13"/>
      <c r="AP18" s="113" t="str">
        <f t="shared" si="3"/>
        <v/>
      </c>
      <c r="AQ18" s="113" t="e">
        <f t="shared" si="4"/>
        <v>#N/A</v>
      </c>
      <c r="AR18" s="114" t="e">
        <f t="shared" si="7"/>
        <v>#N/A</v>
      </c>
      <c r="AS18" s="112" t="e">
        <f t="shared" si="1"/>
        <v>#N/A</v>
      </c>
      <c r="AX18" s="10" t="s">
        <v>102</v>
      </c>
      <c r="AY18" s="10">
        <v>0.79500000000000004</v>
      </c>
      <c r="BA18" s="148" t="s">
        <v>162</v>
      </c>
      <c r="BB18" s="87">
        <v>0.24475</v>
      </c>
      <c r="BC18" s="87">
        <v>9.9250000000000005E-2</v>
      </c>
      <c r="BD18" s="87">
        <v>0.24475</v>
      </c>
      <c r="BE18" s="91">
        <f>AVERAGE(BD$10:BD18)</f>
        <v>0.37927777777777777</v>
      </c>
      <c r="BG18" s="148" t="s">
        <v>162</v>
      </c>
      <c r="BH18" s="148" t="s">
        <v>220</v>
      </c>
      <c r="BI18" s="10">
        <f t="shared" si="9"/>
        <v>216</v>
      </c>
      <c r="BJ18" s="87">
        <v>0.15887162499999999</v>
      </c>
      <c r="BK18" s="91">
        <f>AVERAGE(BJ$10:BJ18)</f>
        <v>0.34051469444444449</v>
      </c>
      <c r="BL18" s="10">
        <v>22</v>
      </c>
    </row>
    <row r="19" spans="1:70" s="10" customFormat="1" ht="15" customHeight="1">
      <c r="A19" s="9"/>
      <c r="B19" s="146">
        <f t="shared" si="5"/>
        <v>12</v>
      </c>
      <c r="C19" s="211"/>
      <c r="D19" s="211"/>
      <c r="E19" s="211"/>
      <c r="F19" s="211"/>
      <c r="G19" s="211"/>
      <c r="H19" s="211"/>
      <c r="I19" s="211"/>
      <c r="J19" s="211"/>
      <c r="K19" s="211"/>
      <c r="L19" s="390"/>
      <c r="M19" s="217"/>
      <c r="N19" s="115"/>
      <c r="O19" s="390"/>
      <c r="P19" s="217"/>
      <c r="Q19" s="211"/>
      <c r="R19" s="211"/>
      <c r="S19" s="211"/>
      <c r="T19" s="211"/>
      <c r="U19" s="211"/>
      <c r="V19" s="211"/>
      <c r="W19" s="211"/>
      <c r="X19" s="211"/>
      <c r="Y19" s="211"/>
      <c r="Z19" s="433"/>
      <c r="AA19" s="434"/>
      <c r="AB19" s="397" t="str">
        <f t="shared" si="8"/>
        <v/>
      </c>
      <c r="AC19" s="398"/>
      <c r="AD19" s="398"/>
      <c r="AE19" s="399"/>
      <c r="AF19" s="390"/>
      <c r="AG19" s="391"/>
      <c r="AH19" s="391"/>
      <c r="AI19" s="391"/>
      <c r="AJ19" s="391"/>
      <c r="AK19" s="392"/>
      <c r="AL19" s="129" t="str">
        <f t="shared" si="2"/>
        <v/>
      </c>
      <c r="AM19" s="9"/>
      <c r="AN19" s="9"/>
      <c r="AO19" s="9"/>
      <c r="AP19" s="113" t="str">
        <f t="shared" si="3"/>
        <v/>
      </c>
      <c r="AQ19" s="113" t="e">
        <f t="shared" si="4"/>
        <v>#N/A</v>
      </c>
      <c r="AR19" s="114" t="e">
        <f t="shared" si="7"/>
        <v>#N/A</v>
      </c>
      <c r="AS19" s="112" t="e">
        <f t="shared" si="1"/>
        <v>#N/A</v>
      </c>
      <c r="AX19" s="10" t="s">
        <v>101</v>
      </c>
      <c r="AY19" s="10">
        <v>0.8</v>
      </c>
      <c r="BA19" s="148" t="s">
        <v>167</v>
      </c>
      <c r="BB19" s="87">
        <v>0.20774999999999999</v>
      </c>
      <c r="BC19" s="87">
        <v>6.3750000000000001E-2</v>
      </c>
      <c r="BD19" s="87">
        <v>0.20774999999999999</v>
      </c>
      <c r="BE19" s="91">
        <f>AVERAGE(BD$10:BD19)</f>
        <v>0.36212499999999997</v>
      </c>
      <c r="BG19" s="148" t="s">
        <v>167</v>
      </c>
      <c r="BH19" s="148" t="s">
        <v>220</v>
      </c>
      <c r="BI19" s="10">
        <f t="shared" si="9"/>
        <v>240</v>
      </c>
      <c r="BJ19" s="87">
        <v>0.10243987499999999</v>
      </c>
      <c r="BK19" s="91">
        <f>AVERAGE(BJ$10:BJ19)</f>
        <v>0.3167072125</v>
      </c>
      <c r="BL19" s="10">
        <v>26</v>
      </c>
    </row>
    <row r="20" spans="1:70" s="10" customFormat="1" ht="15" customHeight="1">
      <c r="A20" s="9"/>
      <c r="B20" s="146">
        <f t="shared" si="5"/>
        <v>13</v>
      </c>
      <c r="C20" s="211"/>
      <c r="D20" s="211"/>
      <c r="E20" s="211"/>
      <c r="F20" s="211"/>
      <c r="G20" s="211"/>
      <c r="H20" s="211"/>
      <c r="I20" s="211"/>
      <c r="J20" s="211"/>
      <c r="K20" s="211"/>
      <c r="L20" s="390"/>
      <c r="M20" s="217"/>
      <c r="N20" s="115"/>
      <c r="O20" s="390"/>
      <c r="P20" s="217"/>
      <c r="Q20" s="211"/>
      <c r="R20" s="211"/>
      <c r="S20" s="211"/>
      <c r="T20" s="211"/>
      <c r="U20" s="211"/>
      <c r="V20" s="211"/>
      <c r="W20" s="211"/>
      <c r="X20" s="211"/>
      <c r="Y20" s="211"/>
      <c r="Z20" s="433"/>
      <c r="AA20" s="434"/>
      <c r="AB20" s="397" t="str">
        <f t="shared" si="8"/>
        <v/>
      </c>
      <c r="AC20" s="398"/>
      <c r="AD20" s="398"/>
      <c r="AE20" s="399"/>
      <c r="AF20" s="390"/>
      <c r="AG20" s="391"/>
      <c r="AH20" s="391"/>
      <c r="AI20" s="391"/>
      <c r="AJ20" s="391"/>
      <c r="AK20" s="392"/>
      <c r="AL20" s="129" t="str">
        <f t="shared" si="2"/>
        <v/>
      </c>
      <c r="AM20" s="13"/>
      <c r="AN20" s="13"/>
      <c r="AO20" s="13"/>
      <c r="AP20" s="113" t="str">
        <f t="shared" si="3"/>
        <v/>
      </c>
      <c r="AQ20" s="113" t="e">
        <f t="shared" si="4"/>
        <v>#N/A</v>
      </c>
      <c r="AR20" s="114" t="e">
        <f t="shared" si="7"/>
        <v>#N/A</v>
      </c>
      <c r="AS20" s="112" t="e">
        <f t="shared" si="1"/>
        <v>#N/A</v>
      </c>
      <c r="AX20" s="10" t="s">
        <v>100</v>
      </c>
      <c r="AY20" s="10">
        <v>0.80500000000000005</v>
      </c>
      <c r="BA20" s="148" t="s">
        <v>168</v>
      </c>
      <c r="BB20" s="87">
        <v>0.12975000000000003</v>
      </c>
      <c r="BC20" s="87">
        <v>0.15925</v>
      </c>
      <c r="BD20" s="87">
        <v>0.15925</v>
      </c>
      <c r="BE20" s="91">
        <f>AVERAGE(BD$10:BD20)</f>
        <v>0.3436818181818182</v>
      </c>
      <c r="BG20" s="148" t="s">
        <v>168</v>
      </c>
      <c r="BH20" s="148" t="s">
        <v>221</v>
      </c>
      <c r="BI20" s="10">
        <f t="shared" si="9"/>
        <v>264</v>
      </c>
      <c r="BJ20" s="87">
        <v>6.8722875000000003E-2</v>
      </c>
      <c r="BK20" s="91">
        <f>AVERAGE(BJ$10:BJ20)</f>
        <v>0.29416318181818185</v>
      </c>
      <c r="BL20" s="10">
        <v>25</v>
      </c>
    </row>
    <row r="21" spans="1:70" s="10" customFormat="1" ht="15" customHeight="1">
      <c r="A21" s="9"/>
      <c r="B21" s="146">
        <f t="shared" si="5"/>
        <v>14</v>
      </c>
      <c r="C21" s="211"/>
      <c r="D21" s="211"/>
      <c r="E21" s="211"/>
      <c r="F21" s="211"/>
      <c r="G21" s="211"/>
      <c r="H21" s="211"/>
      <c r="I21" s="211"/>
      <c r="J21" s="211"/>
      <c r="K21" s="211"/>
      <c r="L21" s="390"/>
      <c r="M21" s="217"/>
      <c r="N21" s="115"/>
      <c r="O21" s="390"/>
      <c r="P21" s="217"/>
      <c r="Q21" s="211"/>
      <c r="R21" s="211"/>
      <c r="S21" s="211"/>
      <c r="T21" s="211"/>
      <c r="U21" s="211"/>
      <c r="V21" s="211"/>
      <c r="W21" s="211"/>
      <c r="X21" s="211"/>
      <c r="Y21" s="211"/>
      <c r="Z21" s="433"/>
      <c r="AA21" s="434"/>
      <c r="AB21" s="397" t="str">
        <f t="shared" si="8"/>
        <v/>
      </c>
      <c r="AC21" s="398"/>
      <c r="AD21" s="398"/>
      <c r="AE21" s="399"/>
      <c r="AF21" s="390"/>
      <c r="AG21" s="391"/>
      <c r="AH21" s="391"/>
      <c r="AI21" s="391"/>
      <c r="AJ21" s="391"/>
      <c r="AK21" s="392"/>
      <c r="AL21" s="129" t="str">
        <f t="shared" si="2"/>
        <v/>
      </c>
      <c r="AM21" s="9"/>
      <c r="AN21" s="9"/>
      <c r="AO21" s="9"/>
      <c r="AP21" s="113" t="str">
        <f t="shared" si="3"/>
        <v/>
      </c>
      <c r="AQ21" s="113" t="e">
        <f t="shared" si="4"/>
        <v>#N/A</v>
      </c>
      <c r="AR21" s="114" t="e">
        <f t="shared" si="7"/>
        <v>#N/A</v>
      </c>
      <c r="AS21" s="112" t="e">
        <f t="shared" si="1"/>
        <v>#N/A</v>
      </c>
      <c r="AX21" s="10" t="s">
        <v>99</v>
      </c>
      <c r="AY21" s="10">
        <v>0.81</v>
      </c>
      <c r="BA21" s="148" t="s">
        <v>186</v>
      </c>
      <c r="BB21" s="87">
        <v>0.15200000000000002</v>
      </c>
      <c r="BC21" s="87">
        <v>0.13724999999999998</v>
      </c>
      <c r="BD21" s="87">
        <v>0.15200000000000002</v>
      </c>
      <c r="BE21" s="91">
        <f>AVERAGE(BD$10:BD21)</f>
        <v>0.32770833333333332</v>
      </c>
      <c r="BG21" s="148" t="s">
        <v>186</v>
      </c>
      <c r="BH21" s="148" t="s">
        <v>220</v>
      </c>
      <c r="BI21" s="10">
        <f t="shared" si="9"/>
        <v>288</v>
      </c>
      <c r="BJ21" s="87">
        <v>4.6761500000000011E-2</v>
      </c>
      <c r="BK21" s="91">
        <f>AVERAGE(BJ$10:BJ21)</f>
        <v>0.27354637500000006</v>
      </c>
      <c r="BL21" s="10">
        <v>25</v>
      </c>
    </row>
    <row r="22" spans="1:70" s="10" customFormat="1" ht="15" customHeight="1">
      <c r="A22" s="9"/>
      <c r="B22" s="146">
        <f t="shared" si="5"/>
        <v>15</v>
      </c>
      <c r="C22" s="211"/>
      <c r="D22" s="211"/>
      <c r="E22" s="211"/>
      <c r="F22" s="211"/>
      <c r="G22" s="211"/>
      <c r="H22" s="211"/>
      <c r="I22" s="211"/>
      <c r="J22" s="211"/>
      <c r="K22" s="211"/>
      <c r="L22" s="390"/>
      <c r="M22" s="217"/>
      <c r="N22" s="115"/>
      <c r="O22" s="390"/>
      <c r="P22" s="217"/>
      <c r="Q22" s="211"/>
      <c r="R22" s="211"/>
      <c r="S22" s="211"/>
      <c r="T22" s="211"/>
      <c r="U22" s="211"/>
      <c r="V22" s="211"/>
      <c r="W22" s="211"/>
      <c r="X22" s="211"/>
      <c r="Y22" s="211"/>
      <c r="Z22" s="433"/>
      <c r="AA22" s="434"/>
      <c r="AB22" s="397" t="str">
        <f t="shared" si="8"/>
        <v/>
      </c>
      <c r="AC22" s="398"/>
      <c r="AD22" s="398"/>
      <c r="AE22" s="399"/>
      <c r="AF22" s="390"/>
      <c r="AG22" s="391"/>
      <c r="AH22" s="391"/>
      <c r="AI22" s="391"/>
      <c r="AJ22" s="391"/>
      <c r="AK22" s="392"/>
      <c r="AL22" s="129" t="str">
        <f t="shared" si="2"/>
        <v/>
      </c>
      <c r="AM22" s="13"/>
      <c r="AN22" s="13"/>
      <c r="AO22" s="13"/>
      <c r="AP22" s="113" t="str">
        <f t="shared" si="3"/>
        <v/>
      </c>
      <c r="AQ22" s="113" t="e">
        <f t="shared" si="4"/>
        <v>#N/A</v>
      </c>
      <c r="AR22" s="114" t="e">
        <f t="shared" si="7"/>
        <v>#N/A</v>
      </c>
      <c r="AS22" s="112" t="e">
        <f t="shared" si="1"/>
        <v>#N/A</v>
      </c>
      <c r="AX22" s="10" t="s">
        <v>98</v>
      </c>
      <c r="AY22" s="10">
        <v>0.81499999999999995</v>
      </c>
      <c r="BA22" s="148" t="s">
        <v>181</v>
      </c>
      <c r="BB22" s="87">
        <f>_xlfn.AGGREGATE(1,5,BB10:BB21)</f>
        <v>0.2265625</v>
      </c>
      <c r="BC22" s="87">
        <f>_xlfn.AGGREGATE(1,5,BC10:BC21)</f>
        <v>0.14433333333333331</v>
      </c>
      <c r="BD22" s="87">
        <f>_xlfn.AGGREGATE(1,5,BD10:BD21)</f>
        <v>0.32770833333333332</v>
      </c>
      <c r="BG22" s="148" t="s">
        <v>181</v>
      </c>
      <c r="BI22" s="111">
        <f>_xlfn.AGGREGATE(1,5,BI10:BI21)</f>
        <v>156</v>
      </c>
      <c r="BJ22" s="87">
        <f>_xlfn.AGGREGATE(1,5,BJ10:BJ21)</f>
        <v>0.27354637500000006</v>
      </c>
      <c r="BL22" s="111">
        <f>SUM(BL10:BL21)</f>
        <v>291</v>
      </c>
    </row>
    <row r="23" spans="1:70" s="10" customFormat="1" ht="15" customHeight="1">
      <c r="A23" s="9"/>
      <c r="B23" s="146">
        <f t="shared" si="5"/>
        <v>16</v>
      </c>
      <c r="C23" s="211"/>
      <c r="D23" s="211"/>
      <c r="E23" s="211"/>
      <c r="F23" s="211"/>
      <c r="G23" s="211"/>
      <c r="H23" s="211"/>
      <c r="I23" s="211"/>
      <c r="J23" s="211"/>
      <c r="K23" s="211"/>
      <c r="L23" s="390"/>
      <c r="M23" s="217"/>
      <c r="N23" s="115"/>
      <c r="O23" s="390"/>
      <c r="P23" s="217"/>
      <c r="Q23" s="211"/>
      <c r="R23" s="211"/>
      <c r="S23" s="211"/>
      <c r="T23" s="211"/>
      <c r="U23" s="211"/>
      <c r="V23" s="211"/>
      <c r="W23" s="211"/>
      <c r="X23" s="211"/>
      <c r="Y23" s="211"/>
      <c r="Z23" s="433"/>
      <c r="AA23" s="434"/>
      <c r="AB23" s="397" t="str">
        <f t="shared" si="8"/>
        <v/>
      </c>
      <c r="AC23" s="398"/>
      <c r="AD23" s="398"/>
      <c r="AE23" s="399"/>
      <c r="AF23" s="390"/>
      <c r="AG23" s="391"/>
      <c r="AH23" s="391"/>
      <c r="AI23" s="391"/>
      <c r="AJ23" s="391"/>
      <c r="AK23" s="392"/>
      <c r="AL23" s="129" t="str">
        <f t="shared" si="2"/>
        <v/>
      </c>
      <c r="AM23" s="9"/>
      <c r="AN23" s="9"/>
      <c r="AO23" s="9"/>
      <c r="AP23" s="113" t="str">
        <f t="shared" si="3"/>
        <v/>
      </c>
      <c r="AQ23" s="113" t="e">
        <f t="shared" si="4"/>
        <v>#N/A</v>
      </c>
      <c r="AR23" s="114" t="e">
        <f t="shared" si="7"/>
        <v>#N/A</v>
      </c>
      <c r="AS23" s="112" t="e">
        <f t="shared" si="1"/>
        <v>#N/A</v>
      </c>
      <c r="AX23" s="10" t="s">
        <v>97</v>
      </c>
      <c r="AY23" s="10">
        <v>0.82</v>
      </c>
    </row>
    <row r="24" spans="1:70" s="10" customFormat="1" ht="15" customHeight="1">
      <c r="A24" s="9"/>
      <c r="B24" s="146">
        <f t="shared" si="5"/>
        <v>17</v>
      </c>
      <c r="C24" s="211"/>
      <c r="D24" s="211"/>
      <c r="E24" s="211"/>
      <c r="F24" s="211"/>
      <c r="G24" s="211"/>
      <c r="H24" s="211"/>
      <c r="I24" s="211"/>
      <c r="J24" s="211"/>
      <c r="K24" s="211"/>
      <c r="L24" s="390"/>
      <c r="M24" s="217"/>
      <c r="N24" s="115"/>
      <c r="O24" s="390"/>
      <c r="P24" s="217"/>
      <c r="Q24" s="211"/>
      <c r="R24" s="211"/>
      <c r="S24" s="211"/>
      <c r="T24" s="211"/>
      <c r="U24" s="211"/>
      <c r="V24" s="211"/>
      <c r="W24" s="211"/>
      <c r="X24" s="211"/>
      <c r="Y24" s="211"/>
      <c r="Z24" s="433"/>
      <c r="AA24" s="434"/>
      <c r="AB24" s="397" t="str">
        <f t="shared" si="8"/>
        <v/>
      </c>
      <c r="AC24" s="398"/>
      <c r="AD24" s="398"/>
      <c r="AE24" s="399"/>
      <c r="AF24" s="390"/>
      <c r="AG24" s="391"/>
      <c r="AH24" s="391"/>
      <c r="AI24" s="391"/>
      <c r="AJ24" s="391"/>
      <c r="AK24" s="392"/>
      <c r="AL24" s="129" t="str">
        <f t="shared" si="2"/>
        <v/>
      </c>
      <c r="AM24" s="13"/>
      <c r="AN24" s="13"/>
      <c r="AO24" s="9"/>
      <c r="AP24" s="113" t="str">
        <f t="shared" si="3"/>
        <v/>
      </c>
      <c r="AQ24" s="113" t="e">
        <f t="shared" si="4"/>
        <v>#N/A</v>
      </c>
      <c r="AR24" s="114" t="e">
        <f t="shared" si="7"/>
        <v>#N/A</v>
      </c>
      <c r="AS24" s="112" t="e">
        <f t="shared" si="1"/>
        <v>#N/A</v>
      </c>
      <c r="AX24" s="10" t="s">
        <v>96</v>
      </c>
      <c r="AY24" s="10">
        <v>0.82499999999999996</v>
      </c>
    </row>
    <row r="25" spans="1:70" s="10" customFormat="1" ht="15" customHeight="1">
      <c r="A25" s="9"/>
      <c r="B25" s="146">
        <f t="shared" si="5"/>
        <v>18</v>
      </c>
      <c r="C25" s="211"/>
      <c r="D25" s="211"/>
      <c r="E25" s="211"/>
      <c r="F25" s="211"/>
      <c r="G25" s="211"/>
      <c r="H25" s="211"/>
      <c r="I25" s="211"/>
      <c r="J25" s="211"/>
      <c r="K25" s="211"/>
      <c r="L25" s="390"/>
      <c r="M25" s="217"/>
      <c r="N25" s="115"/>
      <c r="O25" s="390"/>
      <c r="P25" s="217"/>
      <c r="Q25" s="211"/>
      <c r="R25" s="211"/>
      <c r="S25" s="211"/>
      <c r="T25" s="211"/>
      <c r="U25" s="211"/>
      <c r="V25" s="211"/>
      <c r="W25" s="211"/>
      <c r="X25" s="211"/>
      <c r="Y25" s="211"/>
      <c r="Z25" s="433"/>
      <c r="AA25" s="434"/>
      <c r="AB25" s="397" t="str">
        <f t="shared" si="8"/>
        <v/>
      </c>
      <c r="AC25" s="398"/>
      <c r="AD25" s="398"/>
      <c r="AE25" s="399"/>
      <c r="AF25" s="390"/>
      <c r="AG25" s="391"/>
      <c r="AH25" s="391"/>
      <c r="AI25" s="391"/>
      <c r="AJ25" s="391"/>
      <c r="AK25" s="392"/>
      <c r="AL25" s="129" t="str">
        <f t="shared" si="2"/>
        <v/>
      </c>
      <c r="AM25" s="13"/>
      <c r="AN25" s="13"/>
      <c r="AO25" s="9"/>
      <c r="AP25" s="113" t="str">
        <f t="shared" si="3"/>
        <v/>
      </c>
      <c r="AQ25" s="113" t="e">
        <f t="shared" si="4"/>
        <v>#N/A</v>
      </c>
      <c r="AR25" s="114" t="e">
        <f t="shared" si="7"/>
        <v>#N/A</v>
      </c>
      <c r="AS25" s="112" t="e">
        <f t="shared" si="1"/>
        <v>#N/A</v>
      </c>
      <c r="AX25" s="10" t="s">
        <v>95</v>
      </c>
      <c r="AY25" s="10">
        <v>0.83</v>
      </c>
      <c r="BN25" s="10" t="s">
        <v>211</v>
      </c>
    </row>
    <row r="26" spans="1:70" s="10" customFormat="1" ht="15" customHeight="1">
      <c r="A26" s="9"/>
      <c r="B26" s="146">
        <f t="shared" si="5"/>
        <v>19</v>
      </c>
      <c r="C26" s="211"/>
      <c r="D26" s="211"/>
      <c r="E26" s="211"/>
      <c r="F26" s="211"/>
      <c r="G26" s="211"/>
      <c r="H26" s="211"/>
      <c r="I26" s="211"/>
      <c r="J26" s="211"/>
      <c r="K26" s="211"/>
      <c r="L26" s="390"/>
      <c r="M26" s="217"/>
      <c r="N26" s="115"/>
      <c r="O26" s="390"/>
      <c r="P26" s="217"/>
      <c r="Q26" s="211"/>
      <c r="R26" s="211"/>
      <c r="S26" s="211"/>
      <c r="T26" s="211"/>
      <c r="U26" s="211"/>
      <c r="V26" s="211"/>
      <c r="W26" s="211"/>
      <c r="X26" s="211"/>
      <c r="Y26" s="211"/>
      <c r="Z26" s="433"/>
      <c r="AA26" s="434"/>
      <c r="AB26" s="397" t="str">
        <f t="shared" si="8"/>
        <v/>
      </c>
      <c r="AC26" s="398"/>
      <c r="AD26" s="398"/>
      <c r="AE26" s="399"/>
      <c r="AF26" s="390"/>
      <c r="AG26" s="391"/>
      <c r="AH26" s="391"/>
      <c r="AI26" s="391"/>
      <c r="AJ26" s="391"/>
      <c r="AK26" s="392"/>
      <c r="AL26" s="129" t="str">
        <f t="shared" si="2"/>
        <v/>
      </c>
      <c r="AM26" s="13"/>
      <c r="AN26" s="13"/>
      <c r="AO26" s="9"/>
      <c r="AP26" s="113" t="str">
        <f t="shared" si="3"/>
        <v/>
      </c>
      <c r="AQ26" s="113" t="e">
        <f t="shared" si="4"/>
        <v>#N/A</v>
      </c>
      <c r="AR26" s="114" t="e">
        <f t="shared" si="7"/>
        <v>#N/A</v>
      </c>
      <c r="AS26" s="112" t="e">
        <f t="shared" si="1"/>
        <v>#N/A</v>
      </c>
      <c r="AX26" s="10" t="s">
        <v>94</v>
      </c>
      <c r="AY26" s="10">
        <v>0.83499999999999996</v>
      </c>
      <c r="BC26" s="10" t="s">
        <v>209</v>
      </c>
      <c r="BD26" s="10" t="s">
        <v>196</v>
      </c>
      <c r="BI26" s="10" t="s">
        <v>213</v>
      </c>
      <c r="BO26" s="10" t="s">
        <v>196</v>
      </c>
      <c r="BQ26" s="10" t="s">
        <v>197</v>
      </c>
    </row>
    <row r="27" spans="1:70" s="10" customFormat="1" ht="15" customHeight="1">
      <c r="A27" s="9"/>
      <c r="B27" s="146">
        <f t="shared" si="5"/>
        <v>20</v>
      </c>
      <c r="C27" s="211"/>
      <c r="D27" s="211"/>
      <c r="E27" s="211"/>
      <c r="F27" s="211"/>
      <c r="G27" s="211"/>
      <c r="H27" s="211"/>
      <c r="I27" s="211"/>
      <c r="J27" s="211"/>
      <c r="K27" s="211"/>
      <c r="L27" s="390"/>
      <c r="M27" s="217"/>
      <c r="N27" s="115"/>
      <c r="O27" s="390"/>
      <c r="P27" s="217"/>
      <c r="Q27" s="211"/>
      <c r="R27" s="211"/>
      <c r="S27" s="211"/>
      <c r="T27" s="211"/>
      <c r="U27" s="211"/>
      <c r="V27" s="211"/>
      <c r="W27" s="211"/>
      <c r="X27" s="211"/>
      <c r="Y27" s="211"/>
      <c r="Z27" s="433"/>
      <c r="AA27" s="434"/>
      <c r="AB27" s="397" t="str">
        <f t="shared" si="8"/>
        <v/>
      </c>
      <c r="AC27" s="398"/>
      <c r="AD27" s="398"/>
      <c r="AE27" s="399"/>
      <c r="AF27" s="390"/>
      <c r="AG27" s="391"/>
      <c r="AH27" s="391"/>
      <c r="AI27" s="391"/>
      <c r="AJ27" s="391"/>
      <c r="AK27" s="392"/>
      <c r="AL27" s="129" t="str">
        <f t="shared" si="2"/>
        <v/>
      </c>
      <c r="AM27" s="13"/>
      <c r="AN27" s="13"/>
      <c r="AO27" s="9"/>
      <c r="AP27" s="113" t="str">
        <f t="shared" si="3"/>
        <v/>
      </c>
      <c r="AQ27" s="113" t="e">
        <f t="shared" si="4"/>
        <v>#N/A</v>
      </c>
      <c r="AR27" s="114" t="e">
        <f t="shared" si="7"/>
        <v>#N/A</v>
      </c>
      <c r="AS27" s="112" t="e">
        <f t="shared" si="1"/>
        <v>#N/A</v>
      </c>
      <c r="AX27" s="10" t="s">
        <v>93</v>
      </c>
      <c r="AY27" s="10">
        <v>0.84</v>
      </c>
      <c r="BD27" s="10" t="s">
        <v>156</v>
      </c>
      <c r="BE27" s="10" t="s">
        <v>158</v>
      </c>
      <c r="BF27" s="10" t="s">
        <v>156</v>
      </c>
      <c r="BG27" s="10" t="s">
        <v>158</v>
      </c>
      <c r="BH27" s="10" t="s">
        <v>223</v>
      </c>
      <c r="BI27" s="10" t="s">
        <v>156</v>
      </c>
      <c r="BJ27" s="10" t="s">
        <v>158</v>
      </c>
      <c r="BK27" s="10" t="s">
        <v>156</v>
      </c>
      <c r="BL27" s="10" t="s">
        <v>158</v>
      </c>
      <c r="BM27" s="10" t="s">
        <v>223</v>
      </c>
      <c r="BO27" s="10" t="s">
        <v>156</v>
      </c>
      <c r="BP27" s="10" t="s">
        <v>158</v>
      </c>
      <c r="BQ27" s="10" t="s">
        <v>156</v>
      </c>
      <c r="BR27" s="10" t="s">
        <v>158</v>
      </c>
    </row>
    <row r="28" spans="1:70" s="10" customFormat="1" ht="15" customHeight="1">
      <c r="A28" s="9"/>
      <c r="B28" s="146">
        <f t="shared" si="5"/>
        <v>21</v>
      </c>
      <c r="C28" s="211"/>
      <c r="D28" s="211"/>
      <c r="E28" s="211"/>
      <c r="F28" s="211"/>
      <c r="G28" s="211"/>
      <c r="H28" s="211"/>
      <c r="I28" s="211"/>
      <c r="J28" s="211"/>
      <c r="K28" s="211"/>
      <c r="L28" s="390"/>
      <c r="M28" s="217"/>
      <c r="N28" s="115"/>
      <c r="O28" s="390"/>
      <c r="P28" s="217"/>
      <c r="Q28" s="211"/>
      <c r="R28" s="211"/>
      <c r="S28" s="211"/>
      <c r="T28" s="211"/>
      <c r="U28" s="211"/>
      <c r="V28" s="211"/>
      <c r="W28" s="211"/>
      <c r="X28" s="211"/>
      <c r="Y28" s="211"/>
      <c r="Z28" s="433"/>
      <c r="AA28" s="434"/>
      <c r="AB28" s="397" t="str">
        <f t="shared" si="8"/>
        <v/>
      </c>
      <c r="AC28" s="398"/>
      <c r="AD28" s="398"/>
      <c r="AE28" s="399"/>
      <c r="AF28" s="390"/>
      <c r="AG28" s="391"/>
      <c r="AH28" s="391"/>
      <c r="AI28" s="391"/>
      <c r="AJ28" s="391"/>
      <c r="AK28" s="392"/>
      <c r="AL28" s="129" t="str">
        <f t="shared" si="2"/>
        <v/>
      </c>
      <c r="AM28" s="13"/>
      <c r="AN28" s="13"/>
      <c r="AO28" s="9"/>
      <c r="AP28" s="113" t="str">
        <f t="shared" si="3"/>
        <v/>
      </c>
      <c r="AQ28" s="113" t="e">
        <f t="shared" si="4"/>
        <v>#N/A</v>
      </c>
      <c r="AR28" s="114" t="e">
        <f t="shared" si="7"/>
        <v>#N/A</v>
      </c>
      <c r="AS28" s="112" t="e">
        <f t="shared" si="1"/>
        <v>#N/A</v>
      </c>
      <c r="AX28" s="10" t="s">
        <v>92</v>
      </c>
      <c r="AY28" s="10">
        <v>0.84499999999999997</v>
      </c>
      <c r="BD28" s="10" t="s">
        <v>202</v>
      </c>
      <c r="BE28" s="10" t="s">
        <v>202</v>
      </c>
      <c r="BF28" s="10" t="s">
        <v>203</v>
      </c>
      <c r="BG28" s="10" t="s">
        <v>203</v>
      </c>
      <c r="BH28" s="10" t="s">
        <v>203</v>
      </c>
      <c r="BI28" s="10" t="s">
        <v>202</v>
      </c>
      <c r="BJ28" s="10" t="s">
        <v>202</v>
      </c>
      <c r="BK28" s="10" t="s">
        <v>203</v>
      </c>
      <c r="BL28" s="10" t="s">
        <v>203</v>
      </c>
      <c r="BM28" s="10" t="s">
        <v>203</v>
      </c>
      <c r="BO28" s="10" t="s">
        <v>202</v>
      </c>
      <c r="BP28" s="10" t="s">
        <v>203</v>
      </c>
      <c r="BQ28" s="10" t="s">
        <v>202</v>
      </c>
      <c r="BR28" s="10" t="s">
        <v>203</v>
      </c>
    </row>
    <row r="29" spans="1:70" s="10" customFormat="1" ht="15" customHeight="1">
      <c r="A29" s="9"/>
      <c r="B29" s="146">
        <f t="shared" si="5"/>
        <v>22</v>
      </c>
      <c r="C29" s="211"/>
      <c r="D29" s="211"/>
      <c r="E29" s="211"/>
      <c r="F29" s="211"/>
      <c r="G29" s="211"/>
      <c r="H29" s="211"/>
      <c r="I29" s="211"/>
      <c r="J29" s="211"/>
      <c r="K29" s="211"/>
      <c r="L29" s="390"/>
      <c r="M29" s="217"/>
      <c r="N29" s="115"/>
      <c r="O29" s="390"/>
      <c r="P29" s="217"/>
      <c r="Q29" s="211"/>
      <c r="R29" s="211"/>
      <c r="S29" s="211"/>
      <c r="T29" s="211"/>
      <c r="U29" s="211"/>
      <c r="V29" s="211"/>
      <c r="W29" s="211"/>
      <c r="X29" s="211"/>
      <c r="Y29" s="211"/>
      <c r="Z29" s="433"/>
      <c r="AA29" s="434"/>
      <c r="AB29" s="397" t="str">
        <f t="shared" si="8"/>
        <v/>
      </c>
      <c r="AC29" s="398"/>
      <c r="AD29" s="398"/>
      <c r="AE29" s="399"/>
      <c r="AF29" s="390"/>
      <c r="AG29" s="391"/>
      <c r="AH29" s="391"/>
      <c r="AI29" s="391"/>
      <c r="AJ29" s="391"/>
      <c r="AK29" s="392"/>
      <c r="AL29" s="129" t="str">
        <f t="shared" si="2"/>
        <v/>
      </c>
      <c r="AM29" s="13"/>
      <c r="AN29" s="13"/>
      <c r="AO29" s="9"/>
      <c r="AP29" s="113" t="str">
        <f t="shared" si="3"/>
        <v/>
      </c>
      <c r="AQ29" s="113" t="e">
        <f t="shared" si="4"/>
        <v>#N/A</v>
      </c>
      <c r="AR29" s="114" t="e">
        <f t="shared" si="7"/>
        <v>#N/A</v>
      </c>
      <c r="AS29" s="112" t="e">
        <f t="shared" si="1"/>
        <v>#N/A</v>
      </c>
      <c r="AX29" s="10" t="s">
        <v>91</v>
      </c>
      <c r="AY29" s="10">
        <v>0.85</v>
      </c>
      <c r="BB29" s="10" t="s">
        <v>215</v>
      </c>
      <c r="BC29" s="10">
        <v>1995</v>
      </c>
      <c r="BD29" s="10">
        <v>1.05</v>
      </c>
      <c r="BE29" s="109">
        <v>1.0416666666666667</v>
      </c>
      <c r="BF29" s="109">
        <v>0.03</v>
      </c>
      <c r="BG29" s="109">
        <v>0.15</v>
      </c>
      <c r="BH29" s="109">
        <f>(BF29+BG29)/2</f>
        <v>0.09</v>
      </c>
      <c r="BI29" s="109">
        <v>0.7</v>
      </c>
      <c r="BJ29" s="109">
        <v>0.64</v>
      </c>
      <c r="BK29" s="109">
        <v>0.95499999999999996</v>
      </c>
      <c r="BL29" s="109">
        <v>0.86</v>
      </c>
      <c r="BM29" s="109">
        <f>(BK29+BL29)/2</f>
        <v>0.90749999999999997</v>
      </c>
      <c r="BO29" s="10">
        <v>0.25</v>
      </c>
      <c r="BP29" s="10">
        <v>0.25</v>
      </c>
      <c r="BQ29" s="10">
        <v>0.75</v>
      </c>
      <c r="BR29" s="10">
        <v>0.75</v>
      </c>
    </row>
    <row r="30" spans="1:70" s="10" customFormat="1" ht="15" customHeight="1">
      <c r="A30" s="9"/>
      <c r="B30" s="146">
        <f t="shared" si="5"/>
        <v>23</v>
      </c>
      <c r="C30" s="211"/>
      <c r="D30" s="211"/>
      <c r="E30" s="211"/>
      <c r="F30" s="211"/>
      <c r="G30" s="211"/>
      <c r="H30" s="211"/>
      <c r="I30" s="211"/>
      <c r="J30" s="211"/>
      <c r="K30" s="211"/>
      <c r="L30" s="390"/>
      <c r="M30" s="217"/>
      <c r="N30" s="115"/>
      <c r="O30" s="390"/>
      <c r="P30" s="217"/>
      <c r="Q30" s="211"/>
      <c r="R30" s="211"/>
      <c r="S30" s="211"/>
      <c r="T30" s="211"/>
      <c r="U30" s="211"/>
      <c r="V30" s="211"/>
      <c r="W30" s="211"/>
      <c r="X30" s="211"/>
      <c r="Y30" s="211"/>
      <c r="Z30" s="433"/>
      <c r="AA30" s="434"/>
      <c r="AB30" s="397" t="str">
        <f t="shared" si="8"/>
        <v/>
      </c>
      <c r="AC30" s="398"/>
      <c r="AD30" s="398"/>
      <c r="AE30" s="399"/>
      <c r="AF30" s="390"/>
      <c r="AG30" s="391"/>
      <c r="AH30" s="391"/>
      <c r="AI30" s="391"/>
      <c r="AJ30" s="391"/>
      <c r="AK30" s="392"/>
      <c r="AL30" s="129" t="str">
        <f t="shared" si="2"/>
        <v/>
      </c>
      <c r="AM30" s="13"/>
      <c r="AN30" s="13"/>
      <c r="AO30" s="9"/>
      <c r="AP30" s="113" t="str">
        <f t="shared" si="3"/>
        <v/>
      </c>
      <c r="AQ30" s="113" t="e">
        <f t="shared" si="4"/>
        <v>#N/A</v>
      </c>
      <c r="AR30" s="114" t="e">
        <f t="shared" si="7"/>
        <v>#N/A</v>
      </c>
      <c r="AS30" s="112" t="e">
        <f t="shared" si="1"/>
        <v>#N/A</v>
      </c>
      <c r="AX30" s="10" t="s">
        <v>90</v>
      </c>
      <c r="AY30" s="10">
        <v>0.85499999999999998</v>
      </c>
      <c r="BB30" s="10" t="s">
        <v>84</v>
      </c>
      <c r="BC30" s="10">
        <v>1996</v>
      </c>
      <c r="BD30" s="10">
        <v>1.05</v>
      </c>
      <c r="BE30" s="109">
        <v>1.0416666666666667</v>
      </c>
      <c r="BF30" s="109">
        <v>-4.9875000000000003E-2</v>
      </c>
      <c r="BG30" s="109">
        <v>7.4999999999999997E-2</v>
      </c>
      <c r="BH30" s="109">
        <f t="shared" ref="BH30:BH53" si="10">(BF30+BG30)/2</f>
        <v>1.2562499999999997E-2</v>
      </c>
      <c r="BI30" s="109">
        <v>0.76100000000000001</v>
      </c>
      <c r="BJ30" s="109">
        <v>0.69550000000000001</v>
      </c>
      <c r="BK30" s="109">
        <v>1.0365</v>
      </c>
      <c r="BL30" s="109">
        <v>0.9345</v>
      </c>
      <c r="BM30" s="109">
        <f t="shared" ref="BM30:BM53" si="11">(BK30+BL30)/2</f>
        <v>0.98550000000000004</v>
      </c>
      <c r="BO30" s="10">
        <v>0.25</v>
      </c>
      <c r="BP30" s="10">
        <v>0.25</v>
      </c>
      <c r="BQ30" s="10">
        <v>0.75</v>
      </c>
      <c r="BR30" s="10">
        <v>0.75</v>
      </c>
    </row>
    <row r="31" spans="1:70" s="10" customFormat="1" ht="15" customHeight="1">
      <c r="A31" s="9"/>
      <c r="B31" s="146">
        <f t="shared" si="5"/>
        <v>24</v>
      </c>
      <c r="C31" s="211"/>
      <c r="D31" s="211"/>
      <c r="E31" s="211"/>
      <c r="F31" s="211"/>
      <c r="G31" s="211"/>
      <c r="H31" s="211"/>
      <c r="I31" s="211"/>
      <c r="J31" s="211"/>
      <c r="K31" s="211"/>
      <c r="L31" s="390"/>
      <c r="M31" s="217"/>
      <c r="N31" s="115"/>
      <c r="O31" s="390"/>
      <c r="P31" s="217"/>
      <c r="Q31" s="211"/>
      <c r="R31" s="211"/>
      <c r="S31" s="211"/>
      <c r="T31" s="211"/>
      <c r="U31" s="211"/>
      <c r="V31" s="211"/>
      <c r="W31" s="211"/>
      <c r="X31" s="211"/>
      <c r="Y31" s="211"/>
      <c r="Z31" s="433"/>
      <c r="AA31" s="434"/>
      <c r="AB31" s="397" t="str">
        <f t="shared" si="8"/>
        <v/>
      </c>
      <c r="AC31" s="398"/>
      <c r="AD31" s="398"/>
      <c r="AE31" s="399"/>
      <c r="AF31" s="390"/>
      <c r="AG31" s="391"/>
      <c r="AH31" s="391"/>
      <c r="AI31" s="391"/>
      <c r="AJ31" s="391"/>
      <c r="AK31" s="392"/>
      <c r="AL31" s="129" t="str">
        <f t="shared" si="2"/>
        <v/>
      </c>
      <c r="AM31" s="13"/>
      <c r="AN31" s="13"/>
      <c r="AO31" s="9"/>
      <c r="AP31" s="113" t="str">
        <f t="shared" si="3"/>
        <v/>
      </c>
      <c r="AQ31" s="113" t="e">
        <f t="shared" si="4"/>
        <v>#N/A</v>
      </c>
      <c r="AR31" s="114" t="e">
        <f t="shared" si="7"/>
        <v>#N/A</v>
      </c>
      <c r="AS31" s="112" t="e">
        <f t="shared" si="1"/>
        <v>#N/A</v>
      </c>
      <c r="AX31" s="10" t="s">
        <v>89</v>
      </c>
      <c r="AY31" s="10">
        <v>0.86</v>
      </c>
      <c r="BB31" s="10" t="s">
        <v>83</v>
      </c>
      <c r="BC31" s="10">
        <v>1997</v>
      </c>
      <c r="BD31" s="10">
        <v>1.05</v>
      </c>
      <c r="BE31" s="109">
        <v>1.0416666666666667</v>
      </c>
      <c r="BF31" s="109">
        <v>-0.12975</v>
      </c>
      <c r="BG31" s="109">
        <v>0</v>
      </c>
      <c r="BH31" s="109">
        <f t="shared" si="10"/>
        <v>-6.4875000000000002E-2</v>
      </c>
      <c r="BI31" s="109">
        <v>0.82199999999999995</v>
      </c>
      <c r="BJ31" s="109">
        <v>0.751</v>
      </c>
      <c r="BK31" s="109">
        <v>1.1179999999999999</v>
      </c>
      <c r="BL31" s="109">
        <v>1.0089999999999999</v>
      </c>
      <c r="BM31" s="109">
        <f t="shared" si="11"/>
        <v>1.0634999999999999</v>
      </c>
    </row>
    <row r="32" spans="1:70" s="10" customFormat="1" ht="15" customHeight="1">
      <c r="A32" s="9"/>
      <c r="B32" s="146">
        <f t="shared" si="5"/>
        <v>25</v>
      </c>
      <c r="C32" s="211"/>
      <c r="D32" s="211"/>
      <c r="E32" s="211"/>
      <c r="F32" s="211"/>
      <c r="G32" s="211"/>
      <c r="H32" s="211"/>
      <c r="I32" s="211"/>
      <c r="J32" s="211"/>
      <c r="K32" s="211"/>
      <c r="L32" s="390"/>
      <c r="M32" s="217"/>
      <c r="N32" s="115"/>
      <c r="O32" s="390"/>
      <c r="P32" s="217"/>
      <c r="Q32" s="211"/>
      <c r="R32" s="211"/>
      <c r="S32" s="211"/>
      <c r="T32" s="211"/>
      <c r="U32" s="211"/>
      <c r="V32" s="211"/>
      <c r="W32" s="211"/>
      <c r="X32" s="211"/>
      <c r="Y32" s="211"/>
      <c r="Z32" s="433"/>
      <c r="AA32" s="434"/>
      <c r="AB32" s="397" t="str">
        <f t="shared" si="8"/>
        <v/>
      </c>
      <c r="AC32" s="398"/>
      <c r="AD32" s="398"/>
      <c r="AE32" s="399"/>
      <c r="AF32" s="390"/>
      <c r="AG32" s="391"/>
      <c r="AH32" s="391"/>
      <c r="AI32" s="391"/>
      <c r="AJ32" s="391"/>
      <c r="AK32" s="392"/>
      <c r="AL32" s="129" t="str">
        <f t="shared" si="2"/>
        <v/>
      </c>
      <c r="AM32" s="13"/>
      <c r="AN32" s="13"/>
      <c r="AO32" s="9"/>
      <c r="AP32" s="113" t="str">
        <f t="shared" si="3"/>
        <v/>
      </c>
      <c r="AQ32" s="113" t="e">
        <f t="shared" si="4"/>
        <v>#N/A</v>
      </c>
      <c r="AR32" s="114" t="e">
        <f t="shared" si="7"/>
        <v>#N/A</v>
      </c>
      <c r="AS32" s="112" t="e">
        <f t="shared" si="1"/>
        <v>#N/A</v>
      </c>
      <c r="AX32" s="10" t="s">
        <v>88</v>
      </c>
      <c r="AY32" s="10">
        <v>0.86499999999999999</v>
      </c>
      <c r="BB32" s="10" t="s">
        <v>82</v>
      </c>
      <c r="BC32" s="10">
        <v>1998</v>
      </c>
      <c r="BD32" s="10">
        <v>1.05</v>
      </c>
      <c r="BE32" s="109">
        <v>1.0416666666666667</v>
      </c>
      <c r="BF32" s="109">
        <v>-0.20962500000000001</v>
      </c>
      <c r="BG32" s="109">
        <v>-7.4999999999999983E-2</v>
      </c>
      <c r="BH32" s="109">
        <f t="shared" si="10"/>
        <v>-0.14231250000000001</v>
      </c>
      <c r="BI32" s="109">
        <v>0.88300000000000001</v>
      </c>
      <c r="BJ32" s="109">
        <v>0.80649999999999999</v>
      </c>
      <c r="BK32" s="109">
        <v>1.1995</v>
      </c>
      <c r="BL32" s="109">
        <v>1.0834999999999999</v>
      </c>
      <c r="BM32" s="109">
        <f t="shared" si="11"/>
        <v>1.1415</v>
      </c>
    </row>
    <row r="33" spans="1:65" s="10" customFormat="1" ht="15" customHeight="1">
      <c r="A33" s="9"/>
      <c r="B33" s="146">
        <f t="shared" si="5"/>
        <v>26</v>
      </c>
      <c r="C33" s="211"/>
      <c r="D33" s="211"/>
      <c r="E33" s="211"/>
      <c r="F33" s="211"/>
      <c r="G33" s="211"/>
      <c r="H33" s="211"/>
      <c r="I33" s="211"/>
      <c r="J33" s="211"/>
      <c r="K33" s="211"/>
      <c r="L33" s="390"/>
      <c r="M33" s="217"/>
      <c r="N33" s="115"/>
      <c r="O33" s="390"/>
      <c r="P33" s="217"/>
      <c r="Q33" s="211"/>
      <c r="R33" s="211"/>
      <c r="S33" s="211"/>
      <c r="T33" s="211"/>
      <c r="U33" s="211"/>
      <c r="V33" s="211"/>
      <c r="W33" s="211"/>
      <c r="X33" s="211"/>
      <c r="Y33" s="211"/>
      <c r="Z33" s="433"/>
      <c r="AA33" s="434"/>
      <c r="AB33" s="397" t="str">
        <f t="shared" si="8"/>
        <v/>
      </c>
      <c r="AC33" s="398"/>
      <c r="AD33" s="398"/>
      <c r="AE33" s="399"/>
      <c r="AF33" s="390"/>
      <c r="AG33" s="391"/>
      <c r="AH33" s="391"/>
      <c r="AI33" s="391"/>
      <c r="AJ33" s="391"/>
      <c r="AK33" s="392"/>
      <c r="AL33" s="129" t="str">
        <f t="shared" si="2"/>
        <v/>
      </c>
      <c r="AM33" s="13"/>
      <c r="AN33" s="13"/>
      <c r="AO33" s="9"/>
      <c r="AP33" s="113" t="str">
        <f t="shared" si="3"/>
        <v/>
      </c>
      <c r="AQ33" s="113" t="e">
        <f t="shared" si="4"/>
        <v>#N/A</v>
      </c>
      <c r="AR33" s="114" t="e">
        <f t="shared" si="7"/>
        <v>#N/A</v>
      </c>
      <c r="AS33" s="112" t="e">
        <f t="shared" si="1"/>
        <v>#N/A</v>
      </c>
      <c r="AX33" s="10" t="s">
        <v>87</v>
      </c>
      <c r="AY33" s="10">
        <v>0.87</v>
      </c>
      <c r="BB33" s="10" t="s">
        <v>81</v>
      </c>
      <c r="BC33" s="10">
        <v>1999</v>
      </c>
      <c r="BD33" s="10">
        <v>1.05</v>
      </c>
      <c r="BE33" s="109">
        <v>1.0416666666666667</v>
      </c>
      <c r="BF33" s="109">
        <v>-0.28949999999999998</v>
      </c>
      <c r="BG33" s="109">
        <v>-0.15</v>
      </c>
      <c r="BH33" s="109">
        <f t="shared" si="10"/>
        <v>-0.21975</v>
      </c>
      <c r="BI33" s="109">
        <v>0.94399999999999995</v>
      </c>
      <c r="BJ33" s="109">
        <v>0.86199999999999988</v>
      </c>
      <c r="BK33" s="109">
        <v>1.2809999999999999</v>
      </c>
      <c r="BL33" s="109">
        <v>1.1579999999999999</v>
      </c>
      <c r="BM33" s="109">
        <f t="shared" si="11"/>
        <v>1.2195</v>
      </c>
    </row>
    <row r="34" spans="1:65" s="10" customFormat="1" ht="15" customHeight="1">
      <c r="A34" s="9"/>
      <c r="B34" s="146">
        <f t="shared" si="5"/>
        <v>27</v>
      </c>
      <c r="C34" s="211"/>
      <c r="D34" s="211"/>
      <c r="E34" s="211"/>
      <c r="F34" s="211"/>
      <c r="G34" s="211"/>
      <c r="H34" s="211"/>
      <c r="I34" s="211"/>
      <c r="J34" s="211"/>
      <c r="K34" s="211"/>
      <c r="L34" s="390"/>
      <c r="M34" s="217"/>
      <c r="N34" s="115"/>
      <c r="O34" s="390"/>
      <c r="P34" s="217"/>
      <c r="Q34" s="211"/>
      <c r="R34" s="211"/>
      <c r="S34" s="211"/>
      <c r="T34" s="211"/>
      <c r="U34" s="211"/>
      <c r="V34" s="211"/>
      <c r="W34" s="211"/>
      <c r="X34" s="211"/>
      <c r="Y34" s="211"/>
      <c r="Z34" s="433"/>
      <c r="AA34" s="434"/>
      <c r="AB34" s="397" t="str">
        <f t="shared" si="8"/>
        <v/>
      </c>
      <c r="AC34" s="398"/>
      <c r="AD34" s="398"/>
      <c r="AE34" s="399"/>
      <c r="AF34" s="390"/>
      <c r="AG34" s="391"/>
      <c r="AH34" s="391"/>
      <c r="AI34" s="391"/>
      <c r="AJ34" s="391"/>
      <c r="AK34" s="392"/>
      <c r="AL34" s="129" t="str">
        <f t="shared" si="2"/>
        <v/>
      </c>
      <c r="AM34" s="13"/>
      <c r="AN34" s="13"/>
      <c r="AO34" s="9"/>
      <c r="AP34" s="113" t="str">
        <f t="shared" si="3"/>
        <v/>
      </c>
      <c r="AQ34" s="113" t="e">
        <f t="shared" si="4"/>
        <v>#N/A</v>
      </c>
      <c r="AR34" s="114" t="e">
        <f t="shared" si="7"/>
        <v>#N/A</v>
      </c>
      <c r="AS34" s="112" t="e">
        <f t="shared" si="1"/>
        <v>#N/A</v>
      </c>
      <c r="AX34" s="10" t="s">
        <v>86</v>
      </c>
      <c r="AY34" s="10">
        <v>0.875</v>
      </c>
      <c r="BB34" s="10" t="s">
        <v>80</v>
      </c>
      <c r="BC34" s="10">
        <v>2000</v>
      </c>
      <c r="BD34" s="10">
        <v>1.05</v>
      </c>
      <c r="BE34" s="109">
        <v>1.0416666666666667</v>
      </c>
      <c r="BF34" s="109">
        <v>-0.36937500000000001</v>
      </c>
      <c r="BG34" s="109">
        <v>-0.22500000000000001</v>
      </c>
      <c r="BH34" s="109">
        <f t="shared" si="10"/>
        <v>-0.29718749999999999</v>
      </c>
      <c r="BI34" s="109">
        <v>1.0049999999999999</v>
      </c>
      <c r="BJ34" s="109">
        <v>0.91749999999999998</v>
      </c>
      <c r="BK34" s="109">
        <v>1.3625</v>
      </c>
      <c r="BL34" s="109">
        <v>1.2324999999999999</v>
      </c>
      <c r="BM34" s="109">
        <f t="shared" si="11"/>
        <v>1.2974999999999999</v>
      </c>
    </row>
    <row r="35" spans="1:65" s="10" customFormat="1" ht="15" customHeight="1">
      <c r="A35" s="9"/>
      <c r="B35" s="146">
        <f t="shared" si="5"/>
        <v>28</v>
      </c>
      <c r="C35" s="211"/>
      <c r="D35" s="211"/>
      <c r="E35" s="211"/>
      <c r="F35" s="211"/>
      <c r="G35" s="211"/>
      <c r="H35" s="211"/>
      <c r="I35" s="211"/>
      <c r="J35" s="211"/>
      <c r="K35" s="211"/>
      <c r="L35" s="390"/>
      <c r="M35" s="217"/>
      <c r="N35" s="115"/>
      <c r="O35" s="390"/>
      <c r="P35" s="217"/>
      <c r="Q35" s="211"/>
      <c r="R35" s="211"/>
      <c r="S35" s="211"/>
      <c r="T35" s="211"/>
      <c r="U35" s="211"/>
      <c r="V35" s="211"/>
      <c r="W35" s="211"/>
      <c r="X35" s="211"/>
      <c r="Y35" s="211"/>
      <c r="Z35" s="433"/>
      <c r="AA35" s="434"/>
      <c r="AB35" s="397" t="str">
        <f t="shared" si="8"/>
        <v/>
      </c>
      <c r="AC35" s="398"/>
      <c r="AD35" s="398"/>
      <c r="AE35" s="399"/>
      <c r="AF35" s="390"/>
      <c r="AG35" s="391"/>
      <c r="AH35" s="391"/>
      <c r="AI35" s="391"/>
      <c r="AJ35" s="391"/>
      <c r="AK35" s="392"/>
      <c r="AL35" s="129" t="str">
        <f t="shared" si="2"/>
        <v/>
      </c>
      <c r="AM35" s="13"/>
      <c r="AN35" s="13"/>
      <c r="AO35" s="9"/>
      <c r="AP35" s="113" t="str">
        <f t="shared" si="3"/>
        <v/>
      </c>
      <c r="AQ35" s="113" t="e">
        <f t="shared" si="4"/>
        <v>#N/A</v>
      </c>
      <c r="AR35" s="114" t="e">
        <f t="shared" si="7"/>
        <v>#N/A</v>
      </c>
      <c r="AS35" s="112" t="e">
        <f t="shared" si="1"/>
        <v>#N/A</v>
      </c>
      <c r="AX35" s="10" t="s">
        <v>218</v>
      </c>
      <c r="BB35" s="10" t="s">
        <v>79</v>
      </c>
      <c r="BC35" s="10">
        <v>2001</v>
      </c>
      <c r="BD35" s="10">
        <v>1.05</v>
      </c>
      <c r="BE35" s="109">
        <v>1.0416666666666667</v>
      </c>
      <c r="BF35" s="109">
        <v>-0.44925000000000004</v>
      </c>
      <c r="BG35" s="109">
        <v>-0.29999999999999993</v>
      </c>
      <c r="BH35" s="109">
        <f t="shared" si="10"/>
        <v>-0.37462499999999999</v>
      </c>
      <c r="BI35" s="109">
        <v>1.0660000000000001</v>
      </c>
      <c r="BJ35" s="109">
        <v>0.97299999999999986</v>
      </c>
      <c r="BK35" s="109">
        <v>1.444</v>
      </c>
      <c r="BL35" s="109">
        <v>1.3069999999999999</v>
      </c>
      <c r="BM35" s="109">
        <f t="shared" si="11"/>
        <v>1.3754999999999999</v>
      </c>
    </row>
    <row r="36" spans="1:65" s="10" customFormat="1" ht="15" customHeight="1">
      <c r="A36" s="9"/>
      <c r="B36" s="146">
        <f t="shared" si="5"/>
        <v>29</v>
      </c>
      <c r="C36" s="211"/>
      <c r="D36" s="211"/>
      <c r="E36" s="211"/>
      <c r="F36" s="211"/>
      <c r="G36" s="211"/>
      <c r="H36" s="211"/>
      <c r="I36" s="211"/>
      <c r="J36" s="211"/>
      <c r="K36" s="211"/>
      <c r="L36" s="390"/>
      <c r="M36" s="217"/>
      <c r="N36" s="115"/>
      <c r="O36" s="390"/>
      <c r="P36" s="217"/>
      <c r="Q36" s="211"/>
      <c r="R36" s="211"/>
      <c r="S36" s="211"/>
      <c r="T36" s="211"/>
      <c r="U36" s="211"/>
      <c r="V36" s="211"/>
      <c r="W36" s="211"/>
      <c r="X36" s="211"/>
      <c r="Y36" s="211"/>
      <c r="Z36" s="433"/>
      <c r="AA36" s="434"/>
      <c r="AB36" s="397" t="str">
        <f t="shared" si="8"/>
        <v/>
      </c>
      <c r="AC36" s="398"/>
      <c r="AD36" s="398"/>
      <c r="AE36" s="399"/>
      <c r="AF36" s="390"/>
      <c r="AG36" s="391"/>
      <c r="AH36" s="391"/>
      <c r="AI36" s="391"/>
      <c r="AJ36" s="391"/>
      <c r="AK36" s="392"/>
      <c r="AL36" s="129" t="str">
        <f t="shared" si="2"/>
        <v/>
      </c>
      <c r="AM36" s="13"/>
      <c r="AN36" s="13"/>
      <c r="AO36" s="9"/>
      <c r="AP36" s="113" t="str">
        <f t="shared" si="3"/>
        <v/>
      </c>
      <c r="AQ36" s="113" t="e">
        <f t="shared" si="4"/>
        <v>#N/A</v>
      </c>
      <c r="AR36" s="114" t="e">
        <f t="shared" si="7"/>
        <v>#N/A</v>
      </c>
      <c r="AS36" s="112" t="e">
        <f t="shared" si="1"/>
        <v>#N/A</v>
      </c>
      <c r="AX36" s="10" t="s">
        <v>215</v>
      </c>
      <c r="AY36" s="10">
        <v>0.88</v>
      </c>
      <c r="BB36" s="10" t="s">
        <v>78</v>
      </c>
      <c r="BC36" s="10">
        <v>2002</v>
      </c>
      <c r="BD36" s="10">
        <v>1.05</v>
      </c>
      <c r="BE36" s="109">
        <v>1.0416666666666667</v>
      </c>
      <c r="BF36" s="109">
        <v>-0.52912499999999996</v>
      </c>
      <c r="BG36" s="109">
        <v>-0.375</v>
      </c>
      <c r="BH36" s="109">
        <f t="shared" si="10"/>
        <v>-0.45206249999999998</v>
      </c>
      <c r="BI36" s="109">
        <v>1.127</v>
      </c>
      <c r="BJ36" s="109">
        <v>1.0284999999999997</v>
      </c>
      <c r="BK36" s="109">
        <v>1.5255000000000001</v>
      </c>
      <c r="BL36" s="109">
        <v>1.3815</v>
      </c>
      <c r="BM36" s="109">
        <f t="shared" si="11"/>
        <v>1.4535</v>
      </c>
    </row>
    <row r="37" spans="1:65" s="10" customFormat="1" ht="15" customHeight="1">
      <c r="A37" s="9"/>
      <c r="B37" s="146">
        <f t="shared" si="5"/>
        <v>30</v>
      </c>
      <c r="C37" s="211"/>
      <c r="D37" s="211"/>
      <c r="E37" s="211"/>
      <c r="F37" s="211"/>
      <c r="G37" s="211"/>
      <c r="H37" s="211"/>
      <c r="I37" s="211"/>
      <c r="J37" s="211"/>
      <c r="K37" s="211"/>
      <c r="L37" s="390"/>
      <c r="M37" s="217"/>
      <c r="N37" s="115"/>
      <c r="O37" s="390"/>
      <c r="P37" s="217"/>
      <c r="Q37" s="211"/>
      <c r="R37" s="211"/>
      <c r="S37" s="211"/>
      <c r="T37" s="211"/>
      <c r="U37" s="211"/>
      <c r="V37" s="211"/>
      <c r="W37" s="211"/>
      <c r="X37" s="211"/>
      <c r="Y37" s="211"/>
      <c r="Z37" s="433"/>
      <c r="AA37" s="434"/>
      <c r="AB37" s="397" t="str">
        <f t="shared" si="8"/>
        <v/>
      </c>
      <c r="AC37" s="398"/>
      <c r="AD37" s="398"/>
      <c r="AE37" s="399"/>
      <c r="AF37" s="390"/>
      <c r="AG37" s="391"/>
      <c r="AH37" s="391"/>
      <c r="AI37" s="391"/>
      <c r="AJ37" s="391"/>
      <c r="AK37" s="392"/>
      <c r="AL37" s="129" t="str">
        <f t="shared" si="2"/>
        <v/>
      </c>
      <c r="AM37" s="13"/>
      <c r="AN37" s="13"/>
      <c r="AO37" s="9"/>
      <c r="AP37" s="113" t="str">
        <f t="shared" si="3"/>
        <v/>
      </c>
      <c r="AQ37" s="113" t="e">
        <f t="shared" si="4"/>
        <v>#N/A</v>
      </c>
      <c r="AR37" s="114" t="e">
        <f t="shared" si="7"/>
        <v>#N/A</v>
      </c>
      <c r="AS37" s="112" t="e">
        <f t="shared" si="1"/>
        <v>#N/A</v>
      </c>
      <c r="AX37" s="10" t="s">
        <v>84</v>
      </c>
      <c r="AY37" s="10">
        <v>0.88500000000000001</v>
      </c>
      <c r="BB37" s="10" t="s">
        <v>77</v>
      </c>
      <c r="BC37" s="10">
        <v>2003</v>
      </c>
      <c r="BD37" s="10">
        <v>1.05</v>
      </c>
      <c r="BE37" s="109">
        <v>1.0416666666666667</v>
      </c>
      <c r="BF37" s="109">
        <v>-0.60899999999999999</v>
      </c>
      <c r="BG37" s="109">
        <v>-0.44999999999999996</v>
      </c>
      <c r="BH37" s="109">
        <f t="shared" si="10"/>
        <v>-0.52949999999999997</v>
      </c>
      <c r="BI37" s="109">
        <v>1.1880000000000002</v>
      </c>
      <c r="BJ37" s="109">
        <v>1.0839999999999999</v>
      </c>
      <c r="BK37" s="109">
        <v>1.607</v>
      </c>
      <c r="BL37" s="109">
        <v>1.456</v>
      </c>
      <c r="BM37" s="109">
        <f t="shared" si="11"/>
        <v>1.5314999999999999</v>
      </c>
    </row>
    <row r="38" spans="1:65" s="10" customFormat="1" ht="15" customHeight="1">
      <c r="A38" s="9"/>
      <c r="B38" s="146">
        <f>IF(B37="","",B37+1)</f>
        <v>31</v>
      </c>
      <c r="C38" s="211"/>
      <c r="D38" s="211"/>
      <c r="E38" s="211"/>
      <c r="F38" s="211"/>
      <c r="G38" s="211"/>
      <c r="H38" s="211"/>
      <c r="I38" s="211"/>
      <c r="J38" s="211"/>
      <c r="K38" s="211"/>
      <c r="L38" s="390"/>
      <c r="M38" s="217"/>
      <c r="N38" s="115"/>
      <c r="O38" s="390"/>
      <c r="P38" s="217"/>
      <c r="Q38" s="211"/>
      <c r="R38" s="211"/>
      <c r="S38" s="211"/>
      <c r="T38" s="211"/>
      <c r="U38" s="211"/>
      <c r="V38" s="211"/>
      <c r="W38" s="211"/>
      <c r="X38" s="211"/>
      <c r="Y38" s="211"/>
      <c r="Z38" s="433"/>
      <c r="AA38" s="434"/>
      <c r="AB38" s="397" t="str">
        <f t="shared" si="8"/>
        <v/>
      </c>
      <c r="AC38" s="398"/>
      <c r="AD38" s="398"/>
      <c r="AE38" s="399"/>
      <c r="AF38" s="390"/>
      <c r="AG38" s="391"/>
      <c r="AH38" s="391"/>
      <c r="AI38" s="391"/>
      <c r="AJ38" s="391"/>
      <c r="AK38" s="392"/>
      <c r="AL38" s="129" t="str">
        <f t="shared" si="2"/>
        <v/>
      </c>
      <c r="AM38" s="13"/>
      <c r="AN38" s="13"/>
      <c r="AO38" s="9"/>
      <c r="AP38" s="113" t="str">
        <f t="shared" si="3"/>
        <v/>
      </c>
      <c r="AQ38" s="113" t="e">
        <f t="shared" si="4"/>
        <v>#N/A</v>
      </c>
      <c r="AR38" s="114" t="e">
        <f t="shared" si="7"/>
        <v>#N/A</v>
      </c>
      <c r="AS38" s="112" t="e">
        <f t="shared" si="1"/>
        <v>#N/A</v>
      </c>
      <c r="AX38" s="10" t="s">
        <v>83</v>
      </c>
      <c r="AY38" s="10">
        <v>0.89</v>
      </c>
      <c r="BB38" s="10" t="s">
        <v>76</v>
      </c>
      <c r="BC38" s="10">
        <v>2004</v>
      </c>
      <c r="BD38" s="10">
        <v>1.05</v>
      </c>
      <c r="BE38" s="109">
        <v>1.0416666666666667</v>
      </c>
      <c r="BF38" s="109">
        <v>-0.68887500000000002</v>
      </c>
      <c r="BG38" s="109">
        <v>-0.52499999999999991</v>
      </c>
      <c r="BH38" s="109">
        <f t="shared" si="10"/>
        <v>-0.60693749999999991</v>
      </c>
      <c r="BI38" s="109">
        <v>1.2490000000000001</v>
      </c>
      <c r="BJ38" s="109">
        <v>1.1395</v>
      </c>
      <c r="BK38" s="109">
        <v>1.6884999999999999</v>
      </c>
      <c r="BL38" s="109">
        <v>1.5305</v>
      </c>
      <c r="BM38" s="109">
        <f t="shared" si="11"/>
        <v>1.6094999999999999</v>
      </c>
    </row>
    <row r="39" spans="1:65" s="10" customFormat="1" ht="15" customHeight="1">
      <c r="A39" s="9"/>
      <c r="B39" s="146">
        <f t="shared" ref="B39:B57" si="12">IF(B38="","",B38+1)</f>
        <v>32</v>
      </c>
      <c r="C39" s="211"/>
      <c r="D39" s="211"/>
      <c r="E39" s="211"/>
      <c r="F39" s="211"/>
      <c r="G39" s="211"/>
      <c r="H39" s="211"/>
      <c r="I39" s="211"/>
      <c r="J39" s="211"/>
      <c r="K39" s="211"/>
      <c r="L39" s="390"/>
      <c r="M39" s="217"/>
      <c r="N39" s="115"/>
      <c r="O39" s="390"/>
      <c r="P39" s="217"/>
      <c r="Q39" s="211"/>
      <c r="R39" s="211"/>
      <c r="S39" s="211"/>
      <c r="T39" s="211"/>
      <c r="U39" s="211"/>
      <c r="V39" s="211"/>
      <c r="W39" s="211"/>
      <c r="X39" s="211"/>
      <c r="Y39" s="211"/>
      <c r="Z39" s="433"/>
      <c r="AA39" s="434"/>
      <c r="AB39" s="397" t="str">
        <f t="shared" si="8"/>
        <v/>
      </c>
      <c r="AC39" s="398"/>
      <c r="AD39" s="398"/>
      <c r="AE39" s="399"/>
      <c r="AF39" s="390"/>
      <c r="AG39" s="391"/>
      <c r="AH39" s="391"/>
      <c r="AI39" s="391"/>
      <c r="AJ39" s="391"/>
      <c r="AK39" s="392"/>
      <c r="AL39" s="129" t="str">
        <f t="shared" si="2"/>
        <v/>
      </c>
      <c r="AM39" s="13"/>
      <c r="AN39" s="13"/>
      <c r="AO39" s="9"/>
      <c r="AP39" s="113" t="str">
        <f t="shared" si="3"/>
        <v/>
      </c>
      <c r="AQ39" s="113" t="e">
        <f t="shared" si="4"/>
        <v>#N/A</v>
      </c>
      <c r="AR39" s="114" t="e">
        <f t="shared" si="7"/>
        <v>#N/A</v>
      </c>
      <c r="AS39" s="112" t="e">
        <f t="shared" si="1"/>
        <v>#N/A</v>
      </c>
      <c r="AX39" s="10" t="s">
        <v>82</v>
      </c>
      <c r="AY39" s="10">
        <v>0.89500000000000002</v>
      </c>
      <c r="BB39" s="10" t="s">
        <v>75</v>
      </c>
      <c r="BC39" s="10">
        <v>2005</v>
      </c>
      <c r="BD39" s="10">
        <v>1.05</v>
      </c>
      <c r="BE39" s="109">
        <v>1.0416666666666667</v>
      </c>
      <c r="BF39" s="109">
        <v>-0.77</v>
      </c>
      <c r="BG39" s="109">
        <v>-0.60499999999999998</v>
      </c>
      <c r="BH39" s="109">
        <f t="shared" si="10"/>
        <v>-0.6875</v>
      </c>
      <c r="BI39" s="109">
        <v>1.31</v>
      </c>
      <c r="BJ39" s="109">
        <v>1.1950000000000001</v>
      </c>
      <c r="BK39" s="109">
        <v>1.77</v>
      </c>
      <c r="BL39" s="109">
        <v>1.605</v>
      </c>
      <c r="BM39" s="109">
        <f t="shared" si="11"/>
        <v>1.6875</v>
      </c>
    </row>
    <row r="40" spans="1:65" s="10" customFormat="1" ht="15" customHeight="1">
      <c r="A40" s="9"/>
      <c r="B40" s="146">
        <f t="shared" si="12"/>
        <v>33</v>
      </c>
      <c r="C40" s="211"/>
      <c r="D40" s="211"/>
      <c r="E40" s="211"/>
      <c r="F40" s="211"/>
      <c r="G40" s="211"/>
      <c r="H40" s="211"/>
      <c r="I40" s="211"/>
      <c r="J40" s="211"/>
      <c r="K40" s="211"/>
      <c r="L40" s="390"/>
      <c r="M40" s="217"/>
      <c r="N40" s="115"/>
      <c r="O40" s="390"/>
      <c r="P40" s="217"/>
      <c r="Q40" s="211"/>
      <c r="R40" s="211"/>
      <c r="S40" s="211"/>
      <c r="T40" s="211"/>
      <c r="U40" s="211"/>
      <c r="V40" s="211"/>
      <c r="W40" s="211"/>
      <c r="X40" s="211"/>
      <c r="Y40" s="211"/>
      <c r="Z40" s="433"/>
      <c r="AA40" s="434"/>
      <c r="AB40" s="397" t="str">
        <f t="shared" si="8"/>
        <v/>
      </c>
      <c r="AC40" s="398"/>
      <c r="AD40" s="398"/>
      <c r="AE40" s="399"/>
      <c r="AF40" s="390"/>
      <c r="AG40" s="391"/>
      <c r="AH40" s="391"/>
      <c r="AI40" s="391"/>
      <c r="AJ40" s="391"/>
      <c r="AK40" s="392"/>
      <c r="AL40" s="129" t="str">
        <f t="shared" si="2"/>
        <v/>
      </c>
      <c r="AM40" s="13"/>
      <c r="AN40" s="13"/>
      <c r="AO40" s="9"/>
      <c r="AP40" s="113" t="str">
        <f t="shared" si="3"/>
        <v/>
      </c>
      <c r="AQ40" s="113" t="e">
        <f t="shared" si="4"/>
        <v>#N/A</v>
      </c>
      <c r="AR40" s="114" t="e">
        <f t="shared" si="7"/>
        <v>#N/A</v>
      </c>
      <c r="AS40" s="112" t="e">
        <f t="shared" ref="AS40:AS57" si="13">IF(AP40=1,VLOOKUP(L40,inv補正COP,7,FALSE)*AR40+VLOOKUP(L40,inv補正COP,12,FALSE),$BO$29*AR40+$BQ$29)</f>
        <v>#N/A</v>
      </c>
      <c r="AX40" s="10" t="s">
        <v>81</v>
      </c>
      <c r="AY40" s="10">
        <v>0.9</v>
      </c>
      <c r="BB40" s="10" t="s">
        <v>74</v>
      </c>
      <c r="BC40" s="10">
        <v>2006</v>
      </c>
      <c r="BD40" s="10">
        <v>1.05</v>
      </c>
      <c r="BE40" s="109">
        <v>1.0416666666666667</v>
      </c>
      <c r="BF40" s="109">
        <v>-0.84087500000000004</v>
      </c>
      <c r="BG40" s="109">
        <v>-0.63575000000000004</v>
      </c>
      <c r="BH40" s="109">
        <f t="shared" si="10"/>
        <v>-0.73831250000000004</v>
      </c>
      <c r="BI40" s="109">
        <v>1.363</v>
      </c>
      <c r="BJ40" s="109">
        <v>1.218</v>
      </c>
      <c r="BK40" s="109">
        <v>1.841</v>
      </c>
      <c r="BL40" s="109">
        <v>1.6359999999999999</v>
      </c>
      <c r="BM40" s="109">
        <f t="shared" si="11"/>
        <v>1.7384999999999999</v>
      </c>
    </row>
    <row r="41" spans="1:65" s="10" customFormat="1" ht="15" customHeight="1">
      <c r="A41" s="9"/>
      <c r="B41" s="146">
        <f t="shared" si="12"/>
        <v>34</v>
      </c>
      <c r="C41" s="211"/>
      <c r="D41" s="211"/>
      <c r="E41" s="211"/>
      <c r="F41" s="211"/>
      <c r="G41" s="211"/>
      <c r="H41" s="211"/>
      <c r="I41" s="211"/>
      <c r="J41" s="211"/>
      <c r="K41" s="211"/>
      <c r="L41" s="390"/>
      <c r="M41" s="217"/>
      <c r="N41" s="115"/>
      <c r="O41" s="390"/>
      <c r="P41" s="217"/>
      <c r="Q41" s="211"/>
      <c r="R41" s="211"/>
      <c r="S41" s="211"/>
      <c r="T41" s="211"/>
      <c r="U41" s="211"/>
      <c r="V41" s="211"/>
      <c r="W41" s="211"/>
      <c r="X41" s="211"/>
      <c r="Y41" s="211"/>
      <c r="Z41" s="433"/>
      <c r="AA41" s="434"/>
      <c r="AB41" s="397" t="str">
        <f t="shared" si="8"/>
        <v/>
      </c>
      <c r="AC41" s="398"/>
      <c r="AD41" s="398"/>
      <c r="AE41" s="399"/>
      <c r="AF41" s="390"/>
      <c r="AG41" s="391"/>
      <c r="AH41" s="391"/>
      <c r="AI41" s="391"/>
      <c r="AJ41" s="391"/>
      <c r="AK41" s="392"/>
      <c r="AL41" s="129" t="str">
        <f t="shared" si="2"/>
        <v/>
      </c>
      <c r="AM41" s="13"/>
      <c r="AN41" s="13"/>
      <c r="AO41" s="9"/>
      <c r="AP41" s="113" t="str">
        <f t="shared" si="3"/>
        <v/>
      </c>
      <c r="AQ41" s="113" t="e">
        <f t="shared" si="4"/>
        <v>#N/A</v>
      </c>
      <c r="AR41" s="114" t="e">
        <f t="shared" si="7"/>
        <v>#N/A</v>
      </c>
      <c r="AS41" s="112" t="e">
        <f t="shared" si="13"/>
        <v>#N/A</v>
      </c>
      <c r="AX41" s="10" t="s">
        <v>80</v>
      </c>
      <c r="AY41" s="10">
        <v>0.90500000000000003</v>
      </c>
      <c r="BB41" s="10" t="s">
        <v>73</v>
      </c>
      <c r="BC41" s="10">
        <v>2007</v>
      </c>
      <c r="BD41" s="10">
        <v>1.05</v>
      </c>
      <c r="BE41" s="109">
        <v>1.0416666666666667</v>
      </c>
      <c r="BF41" s="109">
        <v>-0.91175000000000006</v>
      </c>
      <c r="BG41" s="109">
        <v>-0.66649999999999998</v>
      </c>
      <c r="BH41" s="109">
        <f t="shared" si="10"/>
        <v>-0.78912500000000008</v>
      </c>
      <c r="BI41" s="109">
        <v>1.4159999999999999</v>
      </c>
      <c r="BJ41" s="109">
        <v>1.2410000000000001</v>
      </c>
      <c r="BK41" s="109">
        <v>1.9119999999999999</v>
      </c>
      <c r="BL41" s="109">
        <v>1.667</v>
      </c>
      <c r="BM41" s="109">
        <f t="shared" si="11"/>
        <v>1.7894999999999999</v>
      </c>
    </row>
    <row r="42" spans="1:65" s="10" customFormat="1" ht="15" customHeight="1">
      <c r="A42" s="9"/>
      <c r="B42" s="146">
        <f t="shared" si="12"/>
        <v>35</v>
      </c>
      <c r="C42" s="211"/>
      <c r="D42" s="211"/>
      <c r="E42" s="211"/>
      <c r="F42" s="211"/>
      <c r="G42" s="211"/>
      <c r="H42" s="211"/>
      <c r="I42" s="211"/>
      <c r="J42" s="211"/>
      <c r="K42" s="211"/>
      <c r="L42" s="390"/>
      <c r="M42" s="217"/>
      <c r="N42" s="115"/>
      <c r="O42" s="390"/>
      <c r="P42" s="217"/>
      <c r="Q42" s="211"/>
      <c r="R42" s="211"/>
      <c r="S42" s="211"/>
      <c r="T42" s="211"/>
      <c r="U42" s="211"/>
      <c r="V42" s="211"/>
      <c r="W42" s="211"/>
      <c r="X42" s="211"/>
      <c r="Y42" s="211"/>
      <c r="Z42" s="433"/>
      <c r="AA42" s="434"/>
      <c r="AB42" s="397" t="str">
        <f t="shared" si="8"/>
        <v/>
      </c>
      <c r="AC42" s="398"/>
      <c r="AD42" s="398"/>
      <c r="AE42" s="399"/>
      <c r="AF42" s="390"/>
      <c r="AG42" s="391"/>
      <c r="AH42" s="391"/>
      <c r="AI42" s="391"/>
      <c r="AJ42" s="391"/>
      <c r="AK42" s="392"/>
      <c r="AL42" s="129" t="str">
        <f t="shared" si="2"/>
        <v/>
      </c>
      <c r="AM42" s="13"/>
      <c r="AN42" s="13"/>
      <c r="AO42" s="9"/>
      <c r="AP42" s="113" t="str">
        <f t="shared" si="3"/>
        <v/>
      </c>
      <c r="AQ42" s="113" t="e">
        <f t="shared" si="4"/>
        <v>#N/A</v>
      </c>
      <c r="AR42" s="114" t="e">
        <f t="shared" si="7"/>
        <v>#N/A</v>
      </c>
      <c r="AS42" s="112" t="e">
        <f t="shared" si="13"/>
        <v>#N/A</v>
      </c>
      <c r="AX42" s="10" t="s">
        <v>79</v>
      </c>
      <c r="AY42" s="10">
        <v>0.91</v>
      </c>
      <c r="BB42" s="10" t="s">
        <v>72</v>
      </c>
      <c r="BC42" s="5">
        <v>2008</v>
      </c>
      <c r="BD42" s="5">
        <v>1.05</v>
      </c>
      <c r="BE42" s="110">
        <v>1.0416666666666667</v>
      </c>
      <c r="BF42" s="110">
        <v>-0.98262499999999997</v>
      </c>
      <c r="BG42" s="110">
        <v>-0.69724999999999993</v>
      </c>
      <c r="BH42" s="109">
        <f t="shared" si="10"/>
        <v>-0.8399375</v>
      </c>
      <c r="BI42" s="110">
        <v>1.4689999999999999</v>
      </c>
      <c r="BJ42" s="110">
        <v>1.264</v>
      </c>
      <c r="BK42" s="110">
        <v>1.9830000000000001</v>
      </c>
      <c r="BL42" s="110">
        <v>1.698</v>
      </c>
      <c r="BM42" s="109">
        <f t="shared" si="11"/>
        <v>1.8405</v>
      </c>
    </row>
    <row r="43" spans="1:65" s="10" customFormat="1" ht="15" customHeight="1">
      <c r="A43" s="9"/>
      <c r="B43" s="146">
        <f t="shared" si="12"/>
        <v>36</v>
      </c>
      <c r="C43" s="211"/>
      <c r="D43" s="211"/>
      <c r="E43" s="211"/>
      <c r="F43" s="211"/>
      <c r="G43" s="211"/>
      <c r="H43" s="211"/>
      <c r="I43" s="211"/>
      <c r="J43" s="211"/>
      <c r="K43" s="211"/>
      <c r="L43" s="390"/>
      <c r="M43" s="217"/>
      <c r="N43" s="115"/>
      <c r="O43" s="390"/>
      <c r="P43" s="217"/>
      <c r="Q43" s="211"/>
      <c r="R43" s="211"/>
      <c r="S43" s="211"/>
      <c r="T43" s="211"/>
      <c r="U43" s="211"/>
      <c r="V43" s="211"/>
      <c r="W43" s="211"/>
      <c r="X43" s="211"/>
      <c r="Y43" s="211"/>
      <c r="Z43" s="433"/>
      <c r="AA43" s="434"/>
      <c r="AB43" s="397" t="str">
        <f t="shared" si="8"/>
        <v/>
      </c>
      <c r="AC43" s="398"/>
      <c r="AD43" s="398"/>
      <c r="AE43" s="399"/>
      <c r="AF43" s="390"/>
      <c r="AG43" s="391"/>
      <c r="AH43" s="391"/>
      <c r="AI43" s="391"/>
      <c r="AJ43" s="391"/>
      <c r="AK43" s="392"/>
      <c r="AL43" s="129" t="str">
        <f t="shared" si="2"/>
        <v/>
      </c>
      <c r="AM43" s="13"/>
      <c r="AN43" s="13"/>
      <c r="AO43" s="9"/>
      <c r="AP43" s="113" t="str">
        <f t="shared" si="3"/>
        <v/>
      </c>
      <c r="AQ43" s="113" t="e">
        <f t="shared" si="4"/>
        <v>#N/A</v>
      </c>
      <c r="AR43" s="114" t="e">
        <f t="shared" si="7"/>
        <v>#N/A</v>
      </c>
      <c r="AS43" s="112" t="e">
        <f t="shared" si="13"/>
        <v>#N/A</v>
      </c>
      <c r="AX43" s="10" t="s">
        <v>78</v>
      </c>
      <c r="AY43" s="10">
        <v>0.91500000000000004</v>
      </c>
      <c r="BB43" s="10" t="s">
        <v>71</v>
      </c>
      <c r="BC43" s="5">
        <v>2009</v>
      </c>
      <c r="BD43" s="5">
        <v>1.05</v>
      </c>
      <c r="BE43" s="110">
        <v>1.0416666666666667</v>
      </c>
      <c r="BF43" s="110">
        <v>-1.0535000000000001</v>
      </c>
      <c r="BG43" s="110">
        <v>-0.72799999999999998</v>
      </c>
      <c r="BH43" s="109">
        <f t="shared" si="10"/>
        <v>-0.89075000000000004</v>
      </c>
      <c r="BI43" s="110">
        <v>1.522</v>
      </c>
      <c r="BJ43" s="110">
        <v>1.2870000000000001</v>
      </c>
      <c r="BK43" s="110">
        <v>2.0539999999999998</v>
      </c>
      <c r="BL43" s="110">
        <v>1.7290000000000001</v>
      </c>
      <c r="BM43" s="109">
        <f t="shared" si="11"/>
        <v>1.8915</v>
      </c>
    </row>
    <row r="44" spans="1:65" s="10" customFormat="1" ht="15" customHeight="1">
      <c r="A44" s="9"/>
      <c r="B44" s="146">
        <f t="shared" si="12"/>
        <v>37</v>
      </c>
      <c r="C44" s="211"/>
      <c r="D44" s="211"/>
      <c r="E44" s="211"/>
      <c r="F44" s="211"/>
      <c r="G44" s="211"/>
      <c r="H44" s="211"/>
      <c r="I44" s="211"/>
      <c r="J44" s="211"/>
      <c r="K44" s="211"/>
      <c r="L44" s="390"/>
      <c r="M44" s="217"/>
      <c r="N44" s="115"/>
      <c r="O44" s="390"/>
      <c r="P44" s="217"/>
      <c r="Q44" s="211"/>
      <c r="R44" s="211"/>
      <c r="S44" s="211"/>
      <c r="T44" s="211"/>
      <c r="U44" s="211"/>
      <c r="V44" s="211"/>
      <c r="W44" s="211"/>
      <c r="X44" s="211"/>
      <c r="Y44" s="211"/>
      <c r="Z44" s="433"/>
      <c r="AA44" s="434"/>
      <c r="AB44" s="397" t="str">
        <f t="shared" si="8"/>
        <v/>
      </c>
      <c r="AC44" s="398"/>
      <c r="AD44" s="398"/>
      <c r="AE44" s="399"/>
      <c r="AF44" s="390"/>
      <c r="AG44" s="391"/>
      <c r="AH44" s="391"/>
      <c r="AI44" s="391"/>
      <c r="AJ44" s="391"/>
      <c r="AK44" s="392"/>
      <c r="AL44" s="129" t="str">
        <f t="shared" si="2"/>
        <v/>
      </c>
      <c r="AM44" s="13"/>
      <c r="AN44" s="13"/>
      <c r="AO44" s="9"/>
      <c r="AP44" s="113" t="str">
        <f t="shared" si="3"/>
        <v/>
      </c>
      <c r="AQ44" s="113" t="e">
        <f t="shared" si="4"/>
        <v>#N/A</v>
      </c>
      <c r="AR44" s="114" t="e">
        <f t="shared" si="7"/>
        <v>#N/A</v>
      </c>
      <c r="AS44" s="112" t="e">
        <f t="shared" si="13"/>
        <v>#N/A</v>
      </c>
      <c r="AX44" s="10" t="s">
        <v>77</v>
      </c>
      <c r="AY44" s="10">
        <v>0.92</v>
      </c>
      <c r="BB44" s="10" t="s">
        <v>70</v>
      </c>
      <c r="BC44" s="5">
        <v>2010</v>
      </c>
      <c r="BD44" s="5">
        <v>1.05</v>
      </c>
      <c r="BE44" s="110">
        <v>1.0416666666666667</v>
      </c>
      <c r="BF44" s="110">
        <v>-1.1243750000000001</v>
      </c>
      <c r="BG44" s="110">
        <v>-0.75875000000000004</v>
      </c>
      <c r="BH44" s="109">
        <f t="shared" si="10"/>
        <v>-0.94156250000000008</v>
      </c>
      <c r="BI44" s="110">
        <v>1.575</v>
      </c>
      <c r="BJ44" s="110">
        <v>1.31</v>
      </c>
      <c r="BK44" s="110">
        <v>2.125</v>
      </c>
      <c r="BL44" s="110">
        <v>1.76</v>
      </c>
      <c r="BM44" s="109">
        <f t="shared" si="11"/>
        <v>1.9424999999999999</v>
      </c>
    </row>
    <row r="45" spans="1:65" s="10" customFormat="1" ht="15" customHeight="1">
      <c r="A45" s="9"/>
      <c r="B45" s="146">
        <f t="shared" si="12"/>
        <v>38</v>
      </c>
      <c r="C45" s="211"/>
      <c r="D45" s="211"/>
      <c r="E45" s="211"/>
      <c r="F45" s="211"/>
      <c r="G45" s="211"/>
      <c r="H45" s="211"/>
      <c r="I45" s="211"/>
      <c r="J45" s="211"/>
      <c r="K45" s="211"/>
      <c r="L45" s="390"/>
      <c r="M45" s="217"/>
      <c r="N45" s="115"/>
      <c r="O45" s="390"/>
      <c r="P45" s="217"/>
      <c r="Q45" s="211"/>
      <c r="R45" s="211"/>
      <c r="S45" s="211"/>
      <c r="T45" s="211"/>
      <c r="U45" s="211"/>
      <c r="V45" s="211"/>
      <c r="W45" s="211"/>
      <c r="X45" s="211"/>
      <c r="Y45" s="211"/>
      <c r="Z45" s="433"/>
      <c r="AA45" s="434"/>
      <c r="AB45" s="397" t="str">
        <f t="shared" si="8"/>
        <v/>
      </c>
      <c r="AC45" s="398"/>
      <c r="AD45" s="398"/>
      <c r="AE45" s="399"/>
      <c r="AF45" s="390"/>
      <c r="AG45" s="391"/>
      <c r="AH45" s="391"/>
      <c r="AI45" s="391"/>
      <c r="AJ45" s="391"/>
      <c r="AK45" s="392"/>
      <c r="AL45" s="129" t="str">
        <f t="shared" si="2"/>
        <v/>
      </c>
      <c r="AM45" s="13"/>
      <c r="AN45" s="13"/>
      <c r="AO45" s="9"/>
      <c r="AP45" s="113" t="str">
        <f t="shared" si="3"/>
        <v/>
      </c>
      <c r="AQ45" s="113" t="e">
        <f t="shared" si="4"/>
        <v>#N/A</v>
      </c>
      <c r="AR45" s="114" t="e">
        <f t="shared" si="7"/>
        <v>#N/A</v>
      </c>
      <c r="AS45" s="112" t="e">
        <f t="shared" si="13"/>
        <v>#N/A</v>
      </c>
      <c r="AX45" s="10" t="s">
        <v>76</v>
      </c>
      <c r="AY45" s="10">
        <v>0.92500000000000004</v>
      </c>
      <c r="BB45" s="10" t="s">
        <v>69</v>
      </c>
      <c r="BC45" s="5">
        <v>2011</v>
      </c>
      <c r="BD45" s="5">
        <v>1.05</v>
      </c>
      <c r="BE45" s="110">
        <v>1.0416666666666667</v>
      </c>
      <c r="BF45" s="110">
        <v>-1.1952499999999999</v>
      </c>
      <c r="BG45" s="110">
        <v>-0.78949999999999998</v>
      </c>
      <c r="BH45" s="109">
        <f t="shared" si="10"/>
        <v>-0.99237500000000001</v>
      </c>
      <c r="BI45" s="110">
        <v>1.6279999999999999</v>
      </c>
      <c r="BJ45" s="110">
        <v>1.3330000000000002</v>
      </c>
      <c r="BK45" s="110">
        <v>2.1959999999999997</v>
      </c>
      <c r="BL45" s="110">
        <v>1.7909999999999999</v>
      </c>
      <c r="BM45" s="109">
        <f t="shared" si="11"/>
        <v>1.9934999999999998</v>
      </c>
    </row>
    <row r="46" spans="1:65" s="10" customFormat="1" ht="15" customHeight="1">
      <c r="A46" s="9"/>
      <c r="B46" s="146">
        <f t="shared" si="12"/>
        <v>39</v>
      </c>
      <c r="C46" s="211"/>
      <c r="D46" s="211"/>
      <c r="E46" s="211"/>
      <c r="F46" s="211"/>
      <c r="G46" s="211"/>
      <c r="H46" s="211"/>
      <c r="I46" s="211"/>
      <c r="J46" s="211"/>
      <c r="K46" s="211"/>
      <c r="L46" s="390"/>
      <c r="M46" s="217"/>
      <c r="N46" s="115"/>
      <c r="O46" s="390"/>
      <c r="P46" s="217"/>
      <c r="Q46" s="211"/>
      <c r="R46" s="211"/>
      <c r="S46" s="211"/>
      <c r="T46" s="211"/>
      <c r="U46" s="211"/>
      <c r="V46" s="211"/>
      <c r="W46" s="211"/>
      <c r="X46" s="211"/>
      <c r="Y46" s="211"/>
      <c r="Z46" s="433"/>
      <c r="AA46" s="434"/>
      <c r="AB46" s="397" t="str">
        <f t="shared" si="8"/>
        <v/>
      </c>
      <c r="AC46" s="398"/>
      <c r="AD46" s="398"/>
      <c r="AE46" s="399"/>
      <c r="AF46" s="390"/>
      <c r="AG46" s="391"/>
      <c r="AH46" s="391"/>
      <c r="AI46" s="391"/>
      <c r="AJ46" s="391"/>
      <c r="AK46" s="392"/>
      <c r="AL46" s="129" t="str">
        <f t="shared" si="2"/>
        <v/>
      </c>
      <c r="AM46" s="13"/>
      <c r="AN46" s="13"/>
      <c r="AO46" s="9"/>
      <c r="AP46" s="113" t="str">
        <f t="shared" si="3"/>
        <v/>
      </c>
      <c r="AQ46" s="113" t="e">
        <f t="shared" si="4"/>
        <v>#N/A</v>
      </c>
      <c r="AR46" s="114" t="e">
        <f t="shared" si="7"/>
        <v>#N/A</v>
      </c>
      <c r="AS46" s="112" t="e">
        <f t="shared" si="13"/>
        <v>#N/A</v>
      </c>
      <c r="AX46" s="10" t="s">
        <v>75</v>
      </c>
      <c r="AY46" s="10">
        <v>0.93</v>
      </c>
      <c r="BB46" s="10" t="s">
        <v>67</v>
      </c>
      <c r="BC46" s="5">
        <v>2012</v>
      </c>
      <c r="BD46" s="5">
        <v>1.05</v>
      </c>
      <c r="BE46" s="110">
        <v>1.0416666666666667</v>
      </c>
      <c r="BF46" s="110">
        <v>-1.2661249999999999</v>
      </c>
      <c r="BG46" s="110">
        <v>-0.82024999999999992</v>
      </c>
      <c r="BH46" s="109">
        <f t="shared" si="10"/>
        <v>-1.0431874999999999</v>
      </c>
      <c r="BI46" s="110">
        <v>1.6809999999999998</v>
      </c>
      <c r="BJ46" s="110">
        <v>1.3560000000000001</v>
      </c>
      <c r="BK46" s="110">
        <v>2.2669999999999999</v>
      </c>
      <c r="BL46" s="110">
        <v>1.8220000000000001</v>
      </c>
      <c r="BM46" s="109">
        <f t="shared" si="11"/>
        <v>2.0445000000000002</v>
      </c>
    </row>
    <row r="47" spans="1:65" s="10" customFormat="1" ht="15" customHeight="1">
      <c r="A47" s="9"/>
      <c r="B47" s="145">
        <f t="shared" si="12"/>
        <v>40</v>
      </c>
      <c r="C47" s="435"/>
      <c r="D47" s="435"/>
      <c r="E47" s="435"/>
      <c r="F47" s="435"/>
      <c r="G47" s="435"/>
      <c r="H47" s="435"/>
      <c r="I47" s="435"/>
      <c r="J47" s="435"/>
      <c r="K47" s="435"/>
      <c r="L47" s="436"/>
      <c r="M47" s="437"/>
      <c r="N47" s="136"/>
      <c r="O47" s="436"/>
      <c r="P47" s="437"/>
      <c r="Q47" s="435"/>
      <c r="R47" s="435"/>
      <c r="S47" s="435"/>
      <c r="T47" s="435"/>
      <c r="U47" s="435"/>
      <c r="V47" s="435"/>
      <c r="W47" s="435"/>
      <c r="X47" s="435"/>
      <c r="Y47" s="435"/>
      <c r="Z47" s="433"/>
      <c r="AA47" s="434"/>
      <c r="AB47" s="397" t="str">
        <f t="shared" si="8"/>
        <v/>
      </c>
      <c r="AC47" s="398"/>
      <c r="AD47" s="398"/>
      <c r="AE47" s="399"/>
      <c r="AF47" s="390"/>
      <c r="AG47" s="391"/>
      <c r="AH47" s="391"/>
      <c r="AI47" s="391"/>
      <c r="AJ47" s="391"/>
      <c r="AK47" s="392"/>
      <c r="AL47" s="129" t="str">
        <f t="shared" si="2"/>
        <v/>
      </c>
      <c r="AM47" s="13"/>
      <c r="AN47" s="13"/>
      <c r="AO47" s="9"/>
      <c r="AP47" s="113" t="str">
        <f t="shared" si="3"/>
        <v/>
      </c>
      <c r="AQ47" s="113" t="e">
        <f t="shared" si="4"/>
        <v>#N/A</v>
      </c>
      <c r="AR47" s="114" t="e">
        <f t="shared" si="7"/>
        <v>#N/A</v>
      </c>
      <c r="AS47" s="112" t="e">
        <f t="shared" si="13"/>
        <v>#N/A</v>
      </c>
      <c r="AX47" s="10" t="s">
        <v>74</v>
      </c>
      <c r="AY47" s="10">
        <v>0.93500000000000005</v>
      </c>
      <c r="BB47" s="10" t="s">
        <v>65</v>
      </c>
      <c r="BC47" s="5">
        <v>2013</v>
      </c>
      <c r="BD47" s="5">
        <v>1.05</v>
      </c>
      <c r="BE47" s="110">
        <v>1.0416666666666667</v>
      </c>
      <c r="BF47" s="110">
        <v>-1.337</v>
      </c>
      <c r="BG47" s="110">
        <v>-0.85099999999999998</v>
      </c>
      <c r="BH47" s="109">
        <f t="shared" si="10"/>
        <v>-1.0939999999999999</v>
      </c>
      <c r="BI47" s="110">
        <v>1.734</v>
      </c>
      <c r="BJ47" s="110">
        <v>1.379</v>
      </c>
      <c r="BK47" s="110">
        <v>2.3380000000000001</v>
      </c>
      <c r="BL47" s="110">
        <v>1.853</v>
      </c>
      <c r="BM47" s="109">
        <f t="shared" si="11"/>
        <v>2.0954999999999999</v>
      </c>
    </row>
    <row r="48" spans="1:65" s="10" customFormat="1" ht="15" hidden="1" customHeight="1">
      <c r="A48" s="9"/>
      <c r="B48" s="126">
        <f t="shared" si="12"/>
        <v>41</v>
      </c>
      <c r="C48" s="210"/>
      <c r="D48" s="210"/>
      <c r="E48" s="210"/>
      <c r="F48" s="210"/>
      <c r="G48" s="210"/>
      <c r="H48" s="210"/>
      <c r="I48" s="210"/>
      <c r="J48" s="210"/>
      <c r="K48" s="210"/>
      <c r="L48" s="440"/>
      <c r="M48" s="441"/>
      <c r="N48" s="127"/>
      <c r="O48" s="440"/>
      <c r="P48" s="441"/>
      <c r="Q48" s="210"/>
      <c r="R48" s="210"/>
      <c r="S48" s="210"/>
      <c r="T48" s="210"/>
      <c r="U48" s="210"/>
      <c r="V48" s="210"/>
      <c r="W48" s="210"/>
      <c r="X48" s="210"/>
      <c r="Y48" s="210"/>
      <c r="Z48" s="438"/>
      <c r="AA48" s="439"/>
      <c r="AB48" s="397" t="str">
        <f t="shared" si="8"/>
        <v/>
      </c>
      <c r="AC48" s="398"/>
      <c r="AD48" s="398"/>
      <c r="AE48" s="399"/>
      <c r="AF48" s="395"/>
      <c r="AG48" s="207"/>
      <c r="AH48" s="207"/>
      <c r="AI48" s="207"/>
      <c r="AJ48" s="207"/>
      <c r="AK48" s="396"/>
      <c r="AL48" s="129" t="str">
        <f t="shared" si="2"/>
        <v/>
      </c>
      <c r="AM48" s="13"/>
      <c r="AN48" s="13"/>
      <c r="AO48" s="9"/>
      <c r="AP48" s="113" t="str">
        <f t="shared" si="3"/>
        <v/>
      </c>
      <c r="AQ48" s="113" t="e">
        <f t="shared" si="4"/>
        <v>#N/A</v>
      </c>
      <c r="AR48" s="114" t="e">
        <f t="shared" si="7"/>
        <v>#N/A</v>
      </c>
      <c r="AS48" s="112" t="e">
        <f t="shared" si="13"/>
        <v>#N/A</v>
      </c>
      <c r="AX48" s="10" t="s">
        <v>73</v>
      </c>
      <c r="AY48" s="10">
        <v>0.94</v>
      </c>
      <c r="BB48" s="10" t="s">
        <v>63</v>
      </c>
      <c r="BC48" s="5">
        <v>2014</v>
      </c>
      <c r="BD48" s="5">
        <v>1.05</v>
      </c>
      <c r="BE48" s="110">
        <v>1.0416666666666667</v>
      </c>
      <c r="BF48" s="110">
        <v>-1.407875</v>
      </c>
      <c r="BG48" s="110">
        <v>-0.88175000000000003</v>
      </c>
      <c r="BH48" s="109">
        <f t="shared" si="10"/>
        <v>-1.1448125</v>
      </c>
      <c r="BI48" s="110">
        <v>1.7869999999999999</v>
      </c>
      <c r="BJ48" s="110">
        <v>1.4020000000000001</v>
      </c>
      <c r="BK48" s="110">
        <v>2.4089999999999998</v>
      </c>
      <c r="BL48" s="110">
        <v>1.8840000000000001</v>
      </c>
      <c r="BM48" s="109">
        <f t="shared" si="11"/>
        <v>2.1465000000000001</v>
      </c>
    </row>
    <row r="49" spans="1:65" s="10" customFormat="1" ht="15" hidden="1" customHeight="1">
      <c r="A49" s="9"/>
      <c r="B49" s="146">
        <f t="shared" si="12"/>
        <v>42</v>
      </c>
      <c r="C49" s="209"/>
      <c r="D49" s="209"/>
      <c r="E49" s="209"/>
      <c r="F49" s="209"/>
      <c r="G49" s="209"/>
      <c r="H49" s="209"/>
      <c r="I49" s="209"/>
      <c r="J49" s="209"/>
      <c r="K49" s="209"/>
      <c r="L49" s="395"/>
      <c r="M49" s="208"/>
      <c r="N49" s="127"/>
      <c r="O49" s="395"/>
      <c r="P49" s="208"/>
      <c r="Q49" s="209"/>
      <c r="R49" s="209"/>
      <c r="S49" s="209"/>
      <c r="T49" s="209"/>
      <c r="U49" s="209"/>
      <c r="V49" s="209"/>
      <c r="W49" s="209"/>
      <c r="X49" s="209"/>
      <c r="Y49" s="209"/>
      <c r="Z49" s="438"/>
      <c r="AA49" s="439"/>
      <c r="AB49" s="397" t="str">
        <f t="shared" si="8"/>
        <v/>
      </c>
      <c r="AC49" s="398"/>
      <c r="AD49" s="398"/>
      <c r="AE49" s="399"/>
      <c r="AF49" s="395"/>
      <c r="AG49" s="207"/>
      <c r="AH49" s="207"/>
      <c r="AI49" s="207"/>
      <c r="AJ49" s="207"/>
      <c r="AK49" s="396"/>
      <c r="AL49" s="129" t="str">
        <f t="shared" si="2"/>
        <v/>
      </c>
      <c r="AM49" s="13"/>
      <c r="AN49" s="13"/>
      <c r="AO49" s="9"/>
      <c r="AP49" s="113" t="str">
        <f t="shared" si="3"/>
        <v/>
      </c>
      <c r="AQ49" s="113" t="e">
        <f t="shared" si="4"/>
        <v>#N/A</v>
      </c>
      <c r="AR49" s="114" t="e">
        <f t="shared" si="7"/>
        <v>#N/A</v>
      </c>
      <c r="AS49" s="112" t="e">
        <f t="shared" si="13"/>
        <v>#N/A</v>
      </c>
      <c r="AX49" s="10" t="s">
        <v>72</v>
      </c>
      <c r="AY49" s="10">
        <v>0.94499999999999995</v>
      </c>
      <c r="BB49" s="10" t="s">
        <v>216</v>
      </c>
      <c r="BC49" s="5">
        <v>2015</v>
      </c>
      <c r="BD49" s="5">
        <v>1.05</v>
      </c>
      <c r="BE49" s="110">
        <v>1.0416666666666667</v>
      </c>
      <c r="BF49" s="110">
        <v>-1.47875</v>
      </c>
      <c r="BG49" s="110">
        <v>-0.91249999999999998</v>
      </c>
      <c r="BH49" s="109">
        <f t="shared" si="10"/>
        <v>-1.1956249999999999</v>
      </c>
      <c r="BI49" s="110">
        <v>1.8399999999999999</v>
      </c>
      <c r="BJ49" s="110">
        <v>1.425</v>
      </c>
      <c r="BK49" s="110">
        <v>2.48</v>
      </c>
      <c r="BL49" s="110">
        <v>1.915</v>
      </c>
      <c r="BM49" s="109">
        <f t="shared" si="11"/>
        <v>2.1974999999999998</v>
      </c>
    </row>
    <row r="50" spans="1:65" s="10" customFormat="1" ht="15" hidden="1" customHeight="1">
      <c r="A50" s="9"/>
      <c r="B50" s="146">
        <f t="shared" si="12"/>
        <v>43</v>
      </c>
      <c r="C50" s="209"/>
      <c r="D50" s="209"/>
      <c r="E50" s="209"/>
      <c r="F50" s="209"/>
      <c r="G50" s="209"/>
      <c r="H50" s="209"/>
      <c r="I50" s="209"/>
      <c r="J50" s="209"/>
      <c r="K50" s="209"/>
      <c r="L50" s="395"/>
      <c r="M50" s="208"/>
      <c r="N50" s="127"/>
      <c r="O50" s="395"/>
      <c r="P50" s="208"/>
      <c r="Q50" s="209"/>
      <c r="R50" s="209"/>
      <c r="S50" s="209"/>
      <c r="T50" s="209"/>
      <c r="U50" s="209"/>
      <c r="V50" s="209"/>
      <c r="W50" s="209"/>
      <c r="X50" s="209"/>
      <c r="Y50" s="209"/>
      <c r="Z50" s="438"/>
      <c r="AA50" s="439"/>
      <c r="AB50" s="397" t="str">
        <f t="shared" si="8"/>
        <v/>
      </c>
      <c r="AC50" s="398"/>
      <c r="AD50" s="398"/>
      <c r="AE50" s="399"/>
      <c r="AF50" s="395"/>
      <c r="AG50" s="207"/>
      <c r="AH50" s="207"/>
      <c r="AI50" s="207"/>
      <c r="AJ50" s="207"/>
      <c r="AK50" s="396"/>
      <c r="AL50" s="129" t="str">
        <f t="shared" si="2"/>
        <v/>
      </c>
      <c r="AM50" s="13"/>
      <c r="AN50" s="13"/>
      <c r="AO50" s="9"/>
      <c r="AP50" s="113" t="str">
        <f t="shared" si="3"/>
        <v/>
      </c>
      <c r="AQ50" s="113" t="e">
        <f t="shared" si="4"/>
        <v>#N/A</v>
      </c>
      <c r="AR50" s="114" t="e">
        <f t="shared" si="7"/>
        <v>#N/A</v>
      </c>
      <c r="AS50" s="112" t="e">
        <f t="shared" si="13"/>
        <v>#N/A</v>
      </c>
      <c r="AX50" s="10" t="s">
        <v>71</v>
      </c>
      <c r="AY50" s="10">
        <v>0.95</v>
      </c>
      <c r="BB50" s="116" t="s">
        <v>218</v>
      </c>
      <c r="BC50" s="116">
        <v>2009</v>
      </c>
      <c r="BD50" s="116">
        <v>1.05</v>
      </c>
      <c r="BE50" s="116">
        <v>1.0416666666666667</v>
      </c>
      <c r="BF50" s="116">
        <v>-1.5496249999999998</v>
      </c>
      <c r="BG50" s="116">
        <v>-0.94324999999999992</v>
      </c>
      <c r="BH50" s="109">
        <f t="shared" si="10"/>
        <v>-1.2464374999999999</v>
      </c>
      <c r="BI50" s="116">
        <v>1.8929999999999998</v>
      </c>
      <c r="BJ50" s="116">
        <v>1.448</v>
      </c>
      <c r="BK50" s="116">
        <v>2.5510000000000002</v>
      </c>
      <c r="BL50" s="116">
        <v>1.9460000000000002</v>
      </c>
      <c r="BM50" s="109">
        <f t="shared" si="11"/>
        <v>2.2484999999999999</v>
      </c>
    </row>
    <row r="51" spans="1:65" s="10" customFormat="1" ht="15" hidden="1" customHeight="1">
      <c r="A51" s="9"/>
      <c r="B51" s="146">
        <f t="shared" si="12"/>
        <v>44</v>
      </c>
      <c r="C51" s="209"/>
      <c r="D51" s="209"/>
      <c r="E51" s="209"/>
      <c r="F51" s="209"/>
      <c r="G51" s="209"/>
      <c r="H51" s="209"/>
      <c r="I51" s="209"/>
      <c r="J51" s="209"/>
      <c r="K51" s="209"/>
      <c r="L51" s="395"/>
      <c r="M51" s="208"/>
      <c r="N51" s="127"/>
      <c r="O51" s="395"/>
      <c r="P51" s="208"/>
      <c r="Q51" s="209"/>
      <c r="R51" s="209"/>
      <c r="S51" s="209"/>
      <c r="T51" s="209"/>
      <c r="U51" s="209"/>
      <c r="V51" s="209"/>
      <c r="W51" s="209"/>
      <c r="X51" s="209"/>
      <c r="Y51" s="209"/>
      <c r="Z51" s="438"/>
      <c r="AA51" s="439"/>
      <c r="AB51" s="397" t="str">
        <f t="shared" si="8"/>
        <v/>
      </c>
      <c r="AC51" s="398"/>
      <c r="AD51" s="398"/>
      <c r="AE51" s="399"/>
      <c r="AF51" s="395"/>
      <c r="AG51" s="207"/>
      <c r="AH51" s="207"/>
      <c r="AI51" s="207"/>
      <c r="AJ51" s="207"/>
      <c r="AK51" s="396"/>
      <c r="AL51" s="129" t="str">
        <f t="shared" si="2"/>
        <v/>
      </c>
      <c r="AM51" s="13"/>
      <c r="AN51" s="13"/>
      <c r="AO51" s="9"/>
      <c r="AP51" s="113" t="str">
        <f t="shared" si="3"/>
        <v/>
      </c>
      <c r="AQ51" s="113" t="e">
        <f t="shared" si="4"/>
        <v>#N/A</v>
      </c>
      <c r="AR51" s="114" t="e">
        <f t="shared" si="7"/>
        <v>#N/A</v>
      </c>
      <c r="AS51" s="112" t="e">
        <f t="shared" si="13"/>
        <v>#N/A</v>
      </c>
      <c r="AX51" s="10" t="s">
        <v>70</v>
      </c>
      <c r="AY51" s="10">
        <v>0.95499999999999996</v>
      </c>
      <c r="BC51" s="5">
        <v>2016</v>
      </c>
      <c r="BD51" s="5">
        <v>1.05</v>
      </c>
      <c r="BE51" s="110">
        <v>1.0416666666666667</v>
      </c>
      <c r="BF51" s="110">
        <v>-1.6204999999999998</v>
      </c>
      <c r="BG51" s="110">
        <v>-0.97399999999999998</v>
      </c>
      <c r="BH51" s="109">
        <f t="shared" si="10"/>
        <v>-1.29725</v>
      </c>
      <c r="BI51" s="110">
        <v>1.9459999999999997</v>
      </c>
      <c r="BJ51" s="110">
        <v>1.4710000000000001</v>
      </c>
      <c r="BK51" s="110">
        <v>2.6219999999999999</v>
      </c>
      <c r="BL51" s="110">
        <v>1.9770000000000001</v>
      </c>
      <c r="BM51" s="109">
        <f t="shared" si="11"/>
        <v>2.2995000000000001</v>
      </c>
    </row>
    <row r="52" spans="1:65" s="10" customFormat="1" ht="15" hidden="1" customHeight="1">
      <c r="A52" s="9"/>
      <c r="B52" s="146">
        <f t="shared" si="12"/>
        <v>45</v>
      </c>
      <c r="C52" s="209"/>
      <c r="D52" s="209"/>
      <c r="E52" s="209"/>
      <c r="F52" s="209"/>
      <c r="G52" s="209"/>
      <c r="H52" s="209"/>
      <c r="I52" s="209"/>
      <c r="J52" s="209"/>
      <c r="K52" s="209"/>
      <c r="L52" s="395"/>
      <c r="M52" s="208"/>
      <c r="N52" s="127"/>
      <c r="O52" s="395"/>
      <c r="P52" s="208"/>
      <c r="Q52" s="209"/>
      <c r="R52" s="209"/>
      <c r="S52" s="209"/>
      <c r="T52" s="209"/>
      <c r="U52" s="209"/>
      <c r="V52" s="209"/>
      <c r="W52" s="209"/>
      <c r="X52" s="209"/>
      <c r="Y52" s="209"/>
      <c r="Z52" s="438"/>
      <c r="AA52" s="439"/>
      <c r="AB52" s="397" t="str">
        <f t="shared" si="8"/>
        <v/>
      </c>
      <c r="AC52" s="398"/>
      <c r="AD52" s="398"/>
      <c r="AE52" s="399"/>
      <c r="AF52" s="395"/>
      <c r="AG52" s="207"/>
      <c r="AH52" s="207"/>
      <c r="AI52" s="207"/>
      <c r="AJ52" s="207"/>
      <c r="AK52" s="396"/>
      <c r="AL52" s="129" t="str">
        <f t="shared" si="2"/>
        <v/>
      </c>
      <c r="AM52" s="13"/>
      <c r="AN52" s="13"/>
      <c r="AO52" s="9"/>
      <c r="AP52" s="113" t="str">
        <f t="shared" si="3"/>
        <v/>
      </c>
      <c r="AQ52" s="113" t="e">
        <f t="shared" si="4"/>
        <v>#N/A</v>
      </c>
      <c r="AR52" s="114" t="e">
        <f t="shared" si="7"/>
        <v>#N/A</v>
      </c>
      <c r="AS52" s="112" t="e">
        <f t="shared" si="13"/>
        <v>#N/A</v>
      </c>
      <c r="AX52" s="10" t="s">
        <v>69</v>
      </c>
      <c r="AY52" s="10">
        <v>0.96</v>
      </c>
      <c r="BC52" s="5">
        <v>2017</v>
      </c>
      <c r="BD52" s="5">
        <v>1.05</v>
      </c>
      <c r="BE52" s="110">
        <v>1.0416666666666667</v>
      </c>
      <c r="BF52" s="110">
        <v>-1.6913749999999999</v>
      </c>
      <c r="BG52" s="110">
        <v>-1.00475</v>
      </c>
      <c r="BH52" s="109">
        <f t="shared" si="10"/>
        <v>-1.3480624999999999</v>
      </c>
      <c r="BI52" s="110">
        <v>1.9989999999999997</v>
      </c>
      <c r="BJ52" s="110">
        <v>1.494</v>
      </c>
      <c r="BK52" s="110">
        <v>2.6930000000000001</v>
      </c>
      <c r="BL52" s="110">
        <v>2.008</v>
      </c>
      <c r="BM52" s="109">
        <f t="shared" si="11"/>
        <v>2.3505000000000003</v>
      </c>
    </row>
    <row r="53" spans="1:65" s="10" customFormat="1" ht="15" hidden="1" customHeight="1">
      <c r="A53" s="9"/>
      <c r="B53" s="146">
        <f t="shared" si="12"/>
        <v>46</v>
      </c>
      <c r="C53" s="209"/>
      <c r="D53" s="209"/>
      <c r="E53" s="209"/>
      <c r="F53" s="209"/>
      <c r="G53" s="209"/>
      <c r="H53" s="209"/>
      <c r="I53" s="209"/>
      <c r="J53" s="209"/>
      <c r="K53" s="209"/>
      <c r="L53" s="395"/>
      <c r="M53" s="208"/>
      <c r="N53" s="127"/>
      <c r="O53" s="395"/>
      <c r="P53" s="208"/>
      <c r="Q53" s="209"/>
      <c r="R53" s="209"/>
      <c r="S53" s="209"/>
      <c r="T53" s="209"/>
      <c r="U53" s="209"/>
      <c r="V53" s="209"/>
      <c r="W53" s="209"/>
      <c r="X53" s="209"/>
      <c r="Y53" s="209"/>
      <c r="Z53" s="438"/>
      <c r="AA53" s="439"/>
      <c r="AB53" s="397" t="str">
        <f t="shared" si="8"/>
        <v/>
      </c>
      <c r="AC53" s="398"/>
      <c r="AD53" s="398"/>
      <c r="AE53" s="399"/>
      <c r="AF53" s="395"/>
      <c r="AG53" s="207"/>
      <c r="AH53" s="207"/>
      <c r="AI53" s="207"/>
      <c r="AJ53" s="207"/>
      <c r="AK53" s="396"/>
      <c r="AL53" s="129" t="str">
        <f t="shared" si="2"/>
        <v/>
      </c>
      <c r="AM53" s="13"/>
      <c r="AN53" s="13"/>
      <c r="AO53" s="9"/>
      <c r="AP53" s="113" t="str">
        <f t="shared" si="3"/>
        <v/>
      </c>
      <c r="AQ53" s="113" t="e">
        <f t="shared" si="4"/>
        <v>#N/A</v>
      </c>
      <c r="AR53" s="114" t="e">
        <f t="shared" si="7"/>
        <v>#N/A</v>
      </c>
      <c r="AS53" s="112" t="e">
        <f t="shared" si="13"/>
        <v>#N/A</v>
      </c>
      <c r="AX53" s="10" t="s">
        <v>67</v>
      </c>
      <c r="AY53" s="10">
        <v>0.96499999999999997</v>
      </c>
      <c r="BC53" s="5">
        <v>2018</v>
      </c>
      <c r="BD53" s="5">
        <v>1.05</v>
      </c>
      <c r="BE53" s="110">
        <v>1.0416666666666667</v>
      </c>
      <c r="BF53" s="110">
        <v>-1.7036249999999999</v>
      </c>
      <c r="BG53" s="110">
        <v>-1.0661250000000002</v>
      </c>
      <c r="BH53" s="109">
        <f t="shared" si="10"/>
        <v>-1.3848750000000001</v>
      </c>
      <c r="BI53" s="110">
        <v>2.0110000000000001</v>
      </c>
      <c r="BJ53" s="110">
        <v>1.5427499999999998</v>
      </c>
      <c r="BK53" s="110">
        <v>2.7087499999999998</v>
      </c>
      <c r="BL53" s="110">
        <v>2.0732499999999998</v>
      </c>
      <c r="BM53" s="109">
        <f t="shared" si="11"/>
        <v>2.391</v>
      </c>
    </row>
    <row r="54" spans="1:65" s="10" customFormat="1" ht="15" hidden="1" customHeight="1">
      <c r="A54" s="9"/>
      <c r="B54" s="146">
        <f t="shared" si="12"/>
        <v>47</v>
      </c>
      <c r="C54" s="209"/>
      <c r="D54" s="209"/>
      <c r="E54" s="209"/>
      <c r="F54" s="209"/>
      <c r="G54" s="209"/>
      <c r="H54" s="209"/>
      <c r="I54" s="209"/>
      <c r="J54" s="209"/>
      <c r="K54" s="209"/>
      <c r="L54" s="395"/>
      <c r="M54" s="208"/>
      <c r="N54" s="127"/>
      <c r="O54" s="395"/>
      <c r="P54" s="208"/>
      <c r="Q54" s="209"/>
      <c r="R54" s="209"/>
      <c r="S54" s="209"/>
      <c r="T54" s="209"/>
      <c r="U54" s="209"/>
      <c r="V54" s="209"/>
      <c r="W54" s="209"/>
      <c r="X54" s="209"/>
      <c r="Y54" s="209"/>
      <c r="Z54" s="438"/>
      <c r="AA54" s="439"/>
      <c r="AB54" s="397" t="str">
        <f t="shared" si="8"/>
        <v/>
      </c>
      <c r="AC54" s="398"/>
      <c r="AD54" s="398"/>
      <c r="AE54" s="399"/>
      <c r="AF54" s="395"/>
      <c r="AG54" s="207"/>
      <c r="AH54" s="207"/>
      <c r="AI54" s="207"/>
      <c r="AJ54" s="207"/>
      <c r="AK54" s="396"/>
      <c r="AL54" s="129" t="str">
        <f t="shared" si="2"/>
        <v/>
      </c>
      <c r="AM54" s="13"/>
      <c r="AN54" s="13"/>
      <c r="AO54" s="9"/>
      <c r="AP54" s="113" t="str">
        <f t="shared" si="3"/>
        <v/>
      </c>
      <c r="AQ54" s="113" t="e">
        <f t="shared" si="4"/>
        <v>#N/A</v>
      </c>
      <c r="AR54" s="114" t="e">
        <f t="shared" si="7"/>
        <v>#N/A</v>
      </c>
      <c r="AS54" s="112" t="e">
        <f t="shared" si="13"/>
        <v>#N/A</v>
      </c>
      <c r="AX54" s="10" t="s">
        <v>65</v>
      </c>
      <c r="AY54" s="10">
        <v>0.97</v>
      </c>
      <c r="BC54" s="5"/>
      <c r="BD54" s="5"/>
      <c r="BE54" s="5"/>
      <c r="BF54" s="5"/>
      <c r="BG54" s="5"/>
      <c r="BH54" s="5"/>
      <c r="BI54" s="5"/>
      <c r="BJ54" s="5"/>
      <c r="BK54" s="5"/>
    </row>
    <row r="55" spans="1:65" s="10" customFormat="1" ht="15" hidden="1" customHeight="1">
      <c r="A55" s="9"/>
      <c r="B55" s="146">
        <f t="shared" si="12"/>
        <v>48</v>
      </c>
      <c r="C55" s="209"/>
      <c r="D55" s="209"/>
      <c r="E55" s="209"/>
      <c r="F55" s="209"/>
      <c r="G55" s="209"/>
      <c r="H55" s="209"/>
      <c r="I55" s="209"/>
      <c r="J55" s="209"/>
      <c r="K55" s="209"/>
      <c r="L55" s="395"/>
      <c r="M55" s="208"/>
      <c r="N55" s="127"/>
      <c r="O55" s="395"/>
      <c r="P55" s="208"/>
      <c r="Q55" s="209"/>
      <c r="R55" s="209"/>
      <c r="S55" s="209"/>
      <c r="T55" s="209"/>
      <c r="U55" s="209"/>
      <c r="V55" s="209"/>
      <c r="W55" s="209"/>
      <c r="X55" s="209"/>
      <c r="Y55" s="209"/>
      <c r="Z55" s="438"/>
      <c r="AA55" s="439"/>
      <c r="AB55" s="397" t="str">
        <f t="shared" si="8"/>
        <v/>
      </c>
      <c r="AC55" s="398"/>
      <c r="AD55" s="398"/>
      <c r="AE55" s="399"/>
      <c r="AF55" s="395"/>
      <c r="AG55" s="207"/>
      <c r="AH55" s="207"/>
      <c r="AI55" s="207"/>
      <c r="AJ55" s="207"/>
      <c r="AK55" s="396"/>
      <c r="AL55" s="129" t="str">
        <f t="shared" si="2"/>
        <v/>
      </c>
      <c r="AM55" s="13"/>
      <c r="AN55" s="13"/>
      <c r="AO55" s="9"/>
      <c r="AP55" s="113" t="str">
        <f t="shared" si="3"/>
        <v/>
      </c>
      <c r="AQ55" s="113" t="e">
        <f t="shared" si="4"/>
        <v>#N/A</v>
      </c>
      <c r="AR55" s="114" t="e">
        <f t="shared" si="7"/>
        <v>#N/A</v>
      </c>
      <c r="AS55" s="112" t="e">
        <f t="shared" si="13"/>
        <v>#N/A</v>
      </c>
      <c r="AX55" s="10" t="s">
        <v>63</v>
      </c>
      <c r="AY55" s="10">
        <v>0.97499999999999998</v>
      </c>
      <c r="BC55" s="5"/>
      <c r="BD55" s="5"/>
      <c r="BE55" s="5"/>
      <c r="BF55" s="5"/>
      <c r="BG55" s="5"/>
      <c r="BH55" s="5"/>
      <c r="BI55" s="5"/>
      <c r="BJ55" s="5"/>
      <c r="BK55" s="5"/>
    </row>
    <row r="56" spans="1:65" ht="15" hidden="1" customHeight="1">
      <c r="A56" s="9"/>
      <c r="B56" s="146">
        <f t="shared" si="12"/>
        <v>49</v>
      </c>
      <c r="C56" s="209"/>
      <c r="D56" s="209"/>
      <c r="E56" s="209"/>
      <c r="F56" s="209"/>
      <c r="G56" s="209"/>
      <c r="H56" s="209"/>
      <c r="I56" s="209"/>
      <c r="J56" s="209"/>
      <c r="K56" s="209"/>
      <c r="L56" s="395"/>
      <c r="M56" s="208"/>
      <c r="N56" s="127"/>
      <c r="O56" s="395"/>
      <c r="P56" s="208"/>
      <c r="Q56" s="209"/>
      <c r="R56" s="209"/>
      <c r="S56" s="209"/>
      <c r="T56" s="209"/>
      <c r="U56" s="209"/>
      <c r="V56" s="209"/>
      <c r="W56" s="209"/>
      <c r="X56" s="209"/>
      <c r="Y56" s="209"/>
      <c r="Z56" s="438"/>
      <c r="AA56" s="439"/>
      <c r="AB56" s="397" t="str">
        <f t="shared" si="8"/>
        <v/>
      </c>
      <c r="AC56" s="398"/>
      <c r="AD56" s="398"/>
      <c r="AE56" s="399"/>
      <c r="AF56" s="395"/>
      <c r="AG56" s="207"/>
      <c r="AH56" s="207"/>
      <c r="AI56" s="207"/>
      <c r="AJ56" s="207"/>
      <c r="AK56" s="396"/>
      <c r="AL56" s="129" t="str">
        <f t="shared" si="2"/>
        <v/>
      </c>
      <c r="AP56" s="113" t="str">
        <f t="shared" si="3"/>
        <v/>
      </c>
      <c r="AQ56" s="113" t="e">
        <f t="shared" si="4"/>
        <v>#N/A</v>
      </c>
      <c r="AR56" s="114" t="e">
        <f t="shared" si="7"/>
        <v>#N/A</v>
      </c>
      <c r="AS56" s="112" t="e">
        <f t="shared" si="13"/>
        <v>#N/A</v>
      </c>
      <c r="AT56" s="10"/>
      <c r="AU56" s="10"/>
      <c r="AV56" s="10"/>
      <c r="AX56" s="5" t="s">
        <v>216</v>
      </c>
      <c r="AY56" s="5">
        <v>0.98</v>
      </c>
    </row>
    <row r="57" spans="1:65" ht="14.25" hidden="1" thickBot="1">
      <c r="A57" s="9"/>
      <c r="B57" s="145">
        <f t="shared" si="12"/>
        <v>50</v>
      </c>
      <c r="C57" s="213"/>
      <c r="D57" s="213"/>
      <c r="E57" s="213"/>
      <c r="F57" s="213"/>
      <c r="G57" s="213"/>
      <c r="H57" s="213"/>
      <c r="I57" s="213"/>
      <c r="J57" s="453"/>
      <c r="K57" s="453"/>
      <c r="L57" s="477"/>
      <c r="M57" s="478"/>
      <c r="N57" s="127"/>
      <c r="O57" s="457"/>
      <c r="P57" s="458"/>
      <c r="Q57" s="213"/>
      <c r="R57" s="213"/>
      <c r="S57" s="213"/>
      <c r="T57" s="213"/>
      <c r="U57" s="213"/>
      <c r="V57" s="213"/>
      <c r="W57" s="213"/>
      <c r="X57" s="213"/>
      <c r="Y57" s="213"/>
      <c r="Z57" s="475"/>
      <c r="AA57" s="476"/>
      <c r="AB57" s="454" t="str">
        <f t="shared" si="8"/>
        <v/>
      </c>
      <c r="AC57" s="455"/>
      <c r="AD57" s="455"/>
      <c r="AE57" s="456"/>
      <c r="AF57" s="479"/>
      <c r="AG57" s="212"/>
      <c r="AH57" s="212"/>
      <c r="AI57" s="212"/>
      <c r="AJ57" s="212"/>
      <c r="AK57" s="480"/>
      <c r="AL57" s="130" t="str">
        <f t="shared" si="2"/>
        <v/>
      </c>
      <c r="AP57" s="113" t="str">
        <f t="shared" si="3"/>
        <v/>
      </c>
      <c r="AQ57" s="113" t="e">
        <f t="shared" si="4"/>
        <v>#N/A</v>
      </c>
      <c r="AR57" s="114" t="e">
        <f t="shared" si="7"/>
        <v>#N/A</v>
      </c>
      <c r="AS57" s="112" t="e">
        <f t="shared" si="13"/>
        <v>#N/A</v>
      </c>
      <c r="AT57" s="10"/>
      <c r="AU57" s="10"/>
      <c r="AX57" s="5" t="s">
        <v>53</v>
      </c>
      <c r="AY57" s="5">
        <v>0.98499999999999999</v>
      </c>
    </row>
    <row r="58" spans="1:65" ht="16.5" customHeight="1" thickBot="1">
      <c r="A58" s="9"/>
      <c r="B58" s="9"/>
      <c r="C58" s="9"/>
      <c r="I58" s="123"/>
      <c r="J58" s="123"/>
      <c r="K58" s="123"/>
      <c r="L58" s="123"/>
      <c r="M58" s="123"/>
      <c r="X58" s="48"/>
      <c r="Y58" s="41"/>
      <c r="Z58" s="41"/>
      <c r="AA58" s="123" t="s">
        <v>23</v>
      </c>
      <c r="AB58" s="393">
        <f>SUM(AB8:AE57)</f>
        <v>0</v>
      </c>
      <c r="AC58" s="394"/>
      <c r="AD58" s="394"/>
      <c r="AE58" s="394"/>
      <c r="AF58" s="48" t="s">
        <v>123</v>
      </c>
      <c r="AG58" s="125"/>
      <c r="AH58" s="41"/>
      <c r="AI58" s="7"/>
      <c r="AJ58" s="144"/>
      <c r="AK58" s="41"/>
      <c r="AL58" s="132" t="str">
        <f>IFERROR(IF(AN58&lt;1,"","負荷率超過有"),"?")</f>
        <v/>
      </c>
      <c r="AN58" s="17">
        <f>COUNTIF(AL8:AL57,"超過")</f>
        <v>0</v>
      </c>
      <c r="AR58" s="17"/>
      <c r="AU58" s="18"/>
      <c r="AX58" s="5" t="s">
        <v>51</v>
      </c>
      <c r="AY58" s="5">
        <v>0.99</v>
      </c>
    </row>
    <row r="59" spans="1:65" ht="13.5" customHeight="1" thickTop="1">
      <c r="A59" s="9"/>
      <c r="B59" s="9"/>
      <c r="C59" s="472" t="s">
        <v>121</v>
      </c>
      <c r="D59" s="473"/>
      <c r="E59" s="473"/>
      <c r="F59" s="473"/>
      <c r="G59" s="473"/>
      <c r="H59" s="473"/>
      <c r="I59" s="473"/>
      <c r="J59" s="473"/>
      <c r="K59" s="473"/>
      <c r="L59" s="474"/>
      <c r="M59" s="9"/>
      <c r="N59" s="9"/>
      <c r="O59" s="292" t="s">
        <v>122</v>
      </c>
      <c r="P59" s="293"/>
      <c r="Q59" s="293"/>
      <c r="R59" s="293"/>
      <c r="S59" s="293"/>
      <c r="T59" s="293"/>
      <c r="U59" s="293"/>
      <c r="V59" s="293"/>
      <c r="W59" s="293"/>
      <c r="X59" s="294"/>
      <c r="AA59" s="272" t="s">
        <v>124</v>
      </c>
      <c r="AB59" s="273"/>
      <c r="AC59" s="273"/>
      <c r="AD59" s="273"/>
      <c r="AE59" s="273"/>
      <c r="AF59" s="273"/>
      <c r="AG59" s="273"/>
      <c r="AH59" s="273"/>
      <c r="AI59" s="273"/>
      <c r="AJ59" s="273"/>
      <c r="AK59" s="273"/>
      <c r="AL59" s="274"/>
      <c r="AX59" s="5" t="s">
        <v>49</v>
      </c>
      <c r="AY59" s="5">
        <v>0.995</v>
      </c>
    </row>
    <row r="60" spans="1:65" ht="13.5" customHeight="1">
      <c r="A60" s="9"/>
      <c r="B60" s="9"/>
      <c r="C60" s="442">
        <f>SUM(AB8:AE57)</f>
        <v>0</v>
      </c>
      <c r="D60" s="443"/>
      <c r="E60" s="443"/>
      <c r="F60" s="443"/>
      <c r="G60" s="443"/>
      <c r="H60" s="443"/>
      <c r="I60" s="155" t="s">
        <v>123</v>
      </c>
      <c r="J60" s="155"/>
      <c r="K60" s="155"/>
      <c r="L60" s="446"/>
      <c r="M60" s="9"/>
      <c r="N60" s="9"/>
      <c r="O60" s="449">
        <f>'空調算定（導入後）'!AB58</f>
        <v>0</v>
      </c>
      <c r="P60" s="450"/>
      <c r="Q60" s="450"/>
      <c r="R60" s="450"/>
      <c r="S60" s="450"/>
      <c r="T60" s="450"/>
      <c r="U60" s="165" t="s">
        <v>123</v>
      </c>
      <c r="V60" s="165"/>
      <c r="W60" s="165"/>
      <c r="X60" s="275"/>
      <c r="Y60" s="182" t="s">
        <v>6</v>
      </c>
      <c r="Z60" s="182"/>
      <c r="AA60" s="469">
        <f>C60-O60</f>
        <v>0</v>
      </c>
      <c r="AB60" s="450"/>
      <c r="AC60" s="450"/>
      <c r="AD60" s="450"/>
      <c r="AE60" s="450"/>
      <c r="AF60" s="450"/>
      <c r="AG60" s="450"/>
      <c r="AH60" s="450"/>
      <c r="AI60" s="165" t="s">
        <v>123</v>
      </c>
      <c r="AJ60" s="165"/>
      <c r="AK60" s="165"/>
      <c r="AL60" s="269"/>
    </row>
    <row r="61" spans="1:65" ht="13.5" customHeight="1" thickBot="1">
      <c r="A61" s="9"/>
      <c r="B61" s="9"/>
      <c r="C61" s="444"/>
      <c r="D61" s="445"/>
      <c r="E61" s="445"/>
      <c r="F61" s="445"/>
      <c r="G61" s="445"/>
      <c r="H61" s="445"/>
      <c r="I61" s="447"/>
      <c r="J61" s="447"/>
      <c r="K61" s="447"/>
      <c r="L61" s="448"/>
      <c r="M61" s="9"/>
      <c r="N61" s="9"/>
      <c r="O61" s="451"/>
      <c r="P61" s="452"/>
      <c r="Q61" s="452"/>
      <c r="R61" s="452"/>
      <c r="S61" s="452"/>
      <c r="T61" s="452"/>
      <c r="U61" s="284"/>
      <c r="V61" s="284"/>
      <c r="W61" s="284"/>
      <c r="X61" s="276"/>
      <c r="Y61" s="182"/>
      <c r="Z61" s="182"/>
      <c r="AA61" s="470"/>
      <c r="AB61" s="471"/>
      <c r="AC61" s="471"/>
      <c r="AD61" s="471"/>
      <c r="AE61" s="471"/>
      <c r="AF61" s="471"/>
      <c r="AG61" s="471"/>
      <c r="AH61" s="471"/>
      <c r="AI61" s="270"/>
      <c r="AJ61" s="270"/>
      <c r="AK61" s="270"/>
      <c r="AL61" s="271"/>
    </row>
    <row r="62" spans="1:65" ht="13.5" customHeight="1" thickBot="1">
      <c r="A62" s="9"/>
      <c r="B62" s="9"/>
      <c r="C62" s="9"/>
      <c r="D62" s="147"/>
      <c r="E62" s="147"/>
      <c r="F62" s="147"/>
      <c r="G62" s="62"/>
      <c r="H62" s="131"/>
      <c r="I62" s="131"/>
      <c r="J62" s="131"/>
      <c r="K62" s="131"/>
      <c r="L62" s="131"/>
      <c r="M62" s="9"/>
      <c r="N62" s="9"/>
      <c r="O62" s="10"/>
      <c r="P62" s="9"/>
      <c r="Q62" s="9"/>
      <c r="R62" s="9"/>
      <c r="S62" s="9"/>
      <c r="T62" s="9"/>
      <c r="U62" s="147"/>
      <c r="V62" s="147"/>
      <c r="W62" s="147"/>
      <c r="X62" s="147"/>
      <c r="Y62" s="19"/>
      <c r="Z62" s="19"/>
      <c r="AA62" s="19"/>
      <c r="AB62" s="19"/>
      <c r="AC62" s="19"/>
      <c r="AD62" s="19"/>
      <c r="AE62" s="20"/>
      <c r="AF62" s="9"/>
      <c r="AG62" s="9"/>
      <c r="AH62" s="122"/>
      <c r="AI62" s="122"/>
      <c r="AJ62" s="122"/>
      <c r="AK62" s="122"/>
      <c r="AL62" s="9"/>
    </row>
    <row r="63" spans="1:65" ht="13.5" customHeight="1" thickTop="1">
      <c r="A63" s="21"/>
      <c r="B63" s="124"/>
      <c r="C63" s="472" t="s">
        <v>7</v>
      </c>
      <c r="D63" s="473"/>
      <c r="E63" s="473"/>
      <c r="F63" s="473"/>
      <c r="G63" s="473"/>
      <c r="H63" s="473"/>
      <c r="I63" s="473"/>
      <c r="J63" s="473"/>
      <c r="K63" s="473"/>
      <c r="L63" s="474"/>
      <c r="O63" s="292" t="s">
        <v>8</v>
      </c>
      <c r="P63" s="293"/>
      <c r="Q63" s="293"/>
      <c r="R63" s="293"/>
      <c r="S63" s="293"/>
      <c r="T63" s="293"/>
      <c r="U63" s="293"/>
      <c r="V63" s="293"/>
      <c r="W63" s="293"/>
      <c r="X63" s="294"/>
      <c r="AA63" s="272" t="s">
        <v>5</v>
      </c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4"/>
      <c r="AX63" s="5" t="s">
        <v>120</v>
      </c>
      <c r="AY63" s="5">
        <v>0.70499999999999996</v>
      </c>
    </row>
    <row r="64" spans="1:65" ht="13.5" customHeight="1">
      <c r="A64" s="21"/>
      <c r="B64" s="22"/>
      <c r="C64" s="280">
        <f>C60*0.495*0.001</f>
        <v>0</v>
      </c>
      <c r="D64" s="281"/>
      <c r="E64" s="281"/>
      <c r="F64" s="281"/>
      <c r="G64" s="281"/>
      <c r="H64" s="281"/>
      <c r="I64" s="260" t="s">
        <v>4</v>
      </c>
      <c r="J64" s="260"/>
      <c r="K64" s="260"/>
      <c r="L64" s="463"/>
      <c r="M64" s="182" t="s">
        <v>9</v>
      </c>
      <c r="N64" s="182"/>
      <c r="O64" s="285">
        <f>'空調算定（導入後）'!C61</f>
        <v>0</v>
      </c>
      <c r="P64" s="286"/>
      <c r="Q64" s="286"/>
      <c r="R64" s="286"/>
      <c r="S64" s="286"/>
      <c r="T64" s="286"/>
      <c r="U64" s="459" t="s">
        <v>4</v>
      </c>
      <c r="V64" s="459"/>
      <c r="W64" s="459"/>
      <c r="X64" s="466"/>
      <c r="Y64" s="182" t="s">
        <v>6</v>
      </c>
      <c r="Z64" s="182"/>
      <c r="AA64" s="265">
        <f>C64-O64</f>
        <v>0</v>
      </c>
      <c r="AB64" s="266"/>
      <c r="AC64" s="266"/>
      <c r="AD64" s="266"/>
      <c r="AE64" s="266"/>
      <c r="AF64" s="266"/>
      <c r="AG64" s="266"/>
      <c r="AH64" s="266"/>
      <c r="AI64" s="459" t="s">
        <v>4</v>
      </c>
      <c r="AJ64" s="459"/>
      <c r="AK64" s="459"/>
      <c r="AL64" s="460"/>
    </row>
    <row r="65" spans="1:51" ht="13.5" customHeight="1" thickBot="1">
      <c r="A65" s="23"/>
      <c r="B65" s="23"/>
      <c r="C65" s="282"/>
      <c r="D65" s="283"/>
      <c r="E65" s="283"/>
      <c r="F65" s="283"/>
      <c r="G65" s="283"/>
      <c r="H65" s="283"/>
      <c r="I65" s="464"/>
      <c r="J65" s="464"/>
      <c r="K65" s="464"/>
      <c r="L65" s="465"/>
      <c r="M65" s="182"/>
      <c r="N65" s="182"/>
      <c r="O65" s="287"/>
      <c r="P65" s="288"/>
      <c r="Q65" s="288"/>
      <c r="R65" s="288"/>
      <c r="S65" s="288"/>
      <c r="T65" s="288"/>
      <c r="U65" s="467"/>
      <c r="V65" s="467"/>
      <c r="W65" s="467"/>
      <c r="X65" s="468"/>
      <c r="Y65" s="182"/>
      <c r="Z65" s="182"/>
      <c r="AA65" s="267"/>
      <c r="AB65" s="268"/>
      <c r="AC65" s="268"/>
      <c r="AD65" s="268"/>
      <c r="AE65" s="268"/>
      <c r="AF65" s="268"/>
      <c r="AG65" s="268"/>
      <c r="AH65" s="268"/>
      <c r="AI65" s="461"/>
      <c r="AJ65" s="461"/>
      <c r="AK65" s="461"/>
      <c r="AL65" s="462"/>
    </row>
    <row r="66" spans="1:51" ht="13.5" customHeight="1">
      <c r="A66" s="10"/>
      <c r="B66" s="20"/>
    </row>
    <row r="67" spans="1:51" ht="14.25">
      <c r="Q67" s="25"/>
    </row>
    <row r="68" spans="1:51" ht="13.5" customHeight="1"/>
    <row r="69" spans="1:51" ht="14.25" customHeight="1"/>
    <row r="72" spans="1:51">
      <c r="AX72" s="5" t="s">
        <v>47</v>
      </c>
      <c r="AY72" s="5">
        <v>1</v>
      </c>
    </row>
  </sheetData>
  <sheetProtection password="D73A" sheet="1" objects="1" formatCells="0"/>
  <sortState ref="AX2:AY59">
    <sortCondition ref="AX1:AX59"/>
  </sortState>
  <mergeCells count="496">
    <mergeCell ref="A3:AJ4"/>
    <mergeCell ref="AA64:AH65"/>
    <mergeCell ref="AI64:AL65"/>
    <mergeCell ref="C64:H65"/>
    <mergeCell ref="I64:L65"/>
    <mergeCell ref="M64:N65"/>
    <mergeCell ref="O64:T65"/>
    <mergeCell ref="U64:X65"/>
    <mergeCell ref="Y64:Z65"/>
    <mergeCell ref="AA60:AH61"/>
    <mergeCell ref="AI60:AL61"/>
    <mergeCell ref="C63:L63"/>
    <mergeCell ref="O63:X63"/>
    <mergeCell ref="AA63:AL63"/>
    <mergeCell ref="Z57:AA57"/>
    <mergeCell ref="L57:M57"/>
    <mergeCell ref="AF57:AK57"/>
    <mergeCell ref="C59:L59"/>
    <mergeCell ref="C60:H61"/>
    <mergeCell ref="I60:L61"/>
    <mergeCell ref="O59:X59"/>
    <mergeCell ref="AA59:AL59"/>
    <mergeCell ref="O60:T61"/>
    <mergeCell ref="U60:X61"/>
    <mergeCell ref="Y60:Z61"/>
    <mergeCell ref="Z56:AA56"/>
    <mergeCell ref="C57:K57"/>
    <mergeCell ref="Q57:S57"/>
    <mergeCell ref="T57:V57"/>
    <mergeCell ref="W57:Y57"/>
    <mergeCell ref="AB57:AE57"/>
    <mergeCell ref="C56:K56"/>
    <mergeCell ref="Q56:S56"/>
    <mergeCell ref="T56:V56"/>
    <mergeCell ref="W56:Y56"/>
    <mergeCell ref="O57:P57"/>
    <mergeCell ref="O56:P56"/>
    <mergeCell ref="L56:M56"/>
    <mergeCell ref="C55:K55"/>
    <mergeCell ref="Q55:S55"/>
    <mergeCell ref="T55:V55"/>
    <mergeCell ref="W55:Y55"/>
    <mergeCell ref="AB55:AE55"/>
    <mergeCell ref="Z55:AA55"/>
    <mergeCell ref="Z53:AA53"/>
    <mergeCell ref="C54:K54"/>
    <mergeCell ref="Q54:S54"/>
    <mergeCell ref="T54:V54"/>
    <mergeCell ref="W54:Y54"/>
    <mergeCell ref="AB54:AE54"/>
    <mergeCell ref="Z54:AA54"/>
    <mergeCell ref="O53:P53"/>
    <mergeCell ref="O54:P54"/>
    <mergeCell ref="O55:P55"/>
    <mergeCell ref="L53:M53"/>
    <mergeCell ref="L54:M54"/>
    <mergeCell ref="L55:M55"/>
    <mergeCell ref="Z52:AA52"/>
    <mergeCell ref="C53:K53"/>
    <mergeCell ref="Q53:S53"/>
    <mergeCell ref="T53:V53"/>
    <mergeCell ref="W53:Y53"/>
    <mergeCell ref="AB53:AE53"/>
    <mergeCell ref="C52:K52"/>
    <mergeCell ref="Q52:S52"/>
    <mergeCell ref="T52:V52"/>
    <mergeCell ref="W52:Y52"/>
    <mergeCell ref="O52:P52"/>
    <mergeCell ref="L52:M52"/>
    <mergeCell ref="C51:K51"/>
    <mergeCell ref="Q51:S51"/>
    <mergeCell ref="T51:V51"/>
    <mergeCell ref="W51:Y51"/>
    <mergeCell ref="AB51:AE51"/>
    <mergeCell ref="Z51:AA51"/>
    <mergeCell ref="Z49:AA49"/>
    <mergeCell ref="C50:K50"/>
    <mergeCell ref="Q50:S50"/>
    <mergeCell ref="T50:V50"/>
    <mergeCell ref="W50:Y50"/>
    <mergeCell ref="AB50:AE50"/>
    <mergeCell ref="Z50:AA50"/>
    <mergeCell ref="O51:P51"/>
    <mergeCell ref="O49:P49"/>
    <mergeCell ref="O50:P50"/>
    <mergeCell ref="L51:M51"/>
    <mergeCell ref="L49:M49"/>
    <mergeCell ref="L50:M50"/>
    <mergeCell ref="AB48:AE48"/>
    <mergeCell ref="Z48:AA48"/>
    <mergeCell ref="C49:K49"/>
    <mergeCell ref="Q49:S49"/>
    <mergeCell ref="T49:V49"/>
    <mergeCell ref="W49:Y49"/>
    <mergeCell ref="AB49:AE49"/>
    <mergeCell ref="C48:K48"/>
    <mergeCell ref="Q48:S48"/>
    <mergeCell ref="T48:V48"/>
    <mergeCell ref="W48:Y48"/>
    <mergeCell ref="O48:P48"/>
    <mergeCell ref="L48:M48"/>
    <mergeCell ref="T47:V47"/>
    <mergeCell ref="W47:Y47"/>
    <mergeCell ref="AB47:AE47"/>
    <mergeCell ref="Z47:AA47"/>
    <mergeCell ref="Z45:AA45"/>
    <mergeCell ref="C46:K46"/>
    <mergeCell ref="Q46:S46"/>
    <mergeCell ref="T46:V46"/>
    <mergeCell ref="W46:Y46"/>
    <mergeCell ref="AB46:AE46"/>
    <mergeCell ref="Z46:AA46"/>
    <mergeCell ref="O45:P45"/>
    <mergeCell ref="O46:P46"/>
    <mergeCell ref="O47:P47"/>
    <mergeCell ref="L45:M45"/>
    <mergeCell ref="L46:M46"/>
    <mergeCell ref="L47:M47"/>
    <mergeCell ref="C47:K47"/>
    <mergeCell ref="Q47:S47"/>
    <mergeCell ref="Z44:AA44"/>
    <mergeCell ref="C45:K45"/>
    <mergeCell ref="Q45:S45"/>
    <mergeCell ref="T45:V45"/>
    <mergeCell ref="W45:Y45"/>
    <mergeCell ref="AB45:AE45"/>
    <mergeCell ref="C44:K44"/>
    <mergeCell ref="Q44:S44"/>
    <mergeCell ref="T44:V44"/>
    <mergeCell ref="W44:Y44"/>
    <mergeCell ref="O44:P44"/>
    <mergeCell ref="L44:M44"/>
    <mergeCell ref="C43:K43"/>
    <mergeCell ref="Q43:S43"/>
    <mergeCell ref="T43:V43"/>
    <mergeCell ref="W43:Y43"/>
    <mergeCell ref="AB43:AE43"/>
    <mergeCell ref="Z43:AA43"/>
    <mergeCell ref="Z41:AA41"/>
    <mergeCell ref="C42:K42"/>
    <mergeCell ref="Q42:S42"/>
    <mergeCell ref="T42:V42"/>
    <mergeCell ref="W42:Y42"/>
    <mergeCell ref="AB42:AE42"/>
    <mergeCell ref="Z42:AA42"/>
    <mergeCell ref="O41:P41"/>
    <mergeCell ref="O42:P42"/>
    <mergeCell ref="O43:P43"/>
    <mergeCell ref="L41:M41"/>
    <mergeCell ref="L42:M42"/>
    <mergeCell ref="L43:M43"/>
    <mergeCell ref="Z40:AA40"/>
    <mergeCell ref="C41:K41"/>
    <mergeCell ref="Q41:S41"/>
    <mergeCell ref="T41:V41"/>
    <mergeCell ref="W41:Y41"/>
    <mergeCell ref="AB41:AE41"/>
    <mergeCell ref="C40:K40"/>
    <mergeCell ref="Q40:S40"/>
    <mergeCell ref="T40:V40"/>
    <mergeCell ref="W40:Y40"/>
    <mergeCell ref="O40:P40"/>
    <mergeCell ref="L40:M40"/>
    <mergeCell ref="C39:K39"/>
    <mergeCell ref="Q39:S39"/>
    <mergeCell ref="T39:V39"/>
    <mergeCell ref="W39:Y39"/>
    <mergeCell ref="AB39:AE39"/>
    <mergeCell ref="Z39:AA39"/>
    <mergeCell ref="Z37:AA37"/>
    <mergeCell ref="C38:K38"/>
    <mergeCell ref="Q38:S38"/>
    <mergeCell ref="T38:V38"/>
    <mergeCell ref="W38:Y38"/>
    <mergeCell ref="AB38:AE38"/>
    <mergeCell ref="Z38:AA38"/>
    <mergeCell ref="O39:P39"/>
    <mergeCell ref="O37:P37"/>
    <mergeCell ref="O38:P38"/>
    <mergeCell ref="L39:M39"/>
    <mergeCell ref="L37:M37"/>
    <mergeCell ref="L38:M38"/>
    <mergeCell ref="AB36:AE36"/>
    <mergeCell ref="Z36:AA36"/>
    <mergeCell ref="C37:K37"/>
    <mergeCell ref="Q37:S37"/>
    <mergeCell ref="T37:V37"/>
    <mergeCell ref="W37:Y37"/>
    <mergeCell ref="AB37:AE37"/>
    <mergeCell ref="C36:K36"/>
    <mergeCell ref="Q36:S36"/>
    <mergeCell ref="T36:V36"/>
    <mergeCell ref="W36:Y36"/>
    <mergeCell ref="O36:P36"/>
    <mergeCell ref="L36:M36"/>
    <mergeCell ref="T35:V35"/>
    <mergeCell ref="W35:Y35"/>
    <mergeCell ref="AB35:AE35"/>
    <mergeCell ref="Z35:AA35"/>
    <mergeCell ref="Z33:AA33"/>
    <mergeCell ref="C34:K34"/>
    <mergeCell ref="Q34:S34"/>
    <mergeCell ref="T34:V34"/>
    <mergeCell ref="W34:Y34"/>
    <mergeCell ref="AB34:AE34"/>
    <mergeCell ref="Z34:AA34"/>
    <mergeCell ref="O33:P33"/>
    <mergeCell ref="O34:P34"/>
    <mergeCell ref="O35:P35"/>
    <mergeCell ref="L33:M33"/>
    <mergeCell ref="L34:M34"/>
    <mergeCell ref="L35:M35"/>
    <mergeCell ref="C35:K35"/>
    <mergeCell ref="Q35:S35"/>
    <mergeCell ref="AB32:AE32"/>
    <mergeCell ref="Z32:AA32"/>
    <mergeCell ref="C33:K33"/>
    <mergeCell ref="Q33:S33"/>
    <mergeCell ref="T33:V33"/>
    <mergeCell ref="W33:Y33"/>
    <mergeCell ref="AB33:AE33"/>
    <mergeCell ref="C32:K32"/>
    <mergeCell ref="Q32:S32"/>
    <mergeCell ref="T32:V32"/>
    <mergeCell ref="W32:Y32"/>
    <mergeCell ref="O32:P32"/>
    <mergeCell ref="L32:M32"/>
    <mergeCell ref="C31:K31"/>
    <mergeCell ref="Q31:S31"/>
    <mergeCell ref="T31:V31"/>
    <mergeCell ref="W31:Y31"/>
    <mergeCell ref="AB31:AE31"/>
    <mergeCell ref="Z31:AA31"/>
    <mergeCell ref="Z29:AA29"/>
    <mergeCell ref="C30:K30"/>
    <mergeCell ref="Q30:S30"/>
    <mergeCell ref="T30:V30"/>
    <mergeCell ref="W30:Y30"/>
    <mergeCell ref="AB30:AE30"/>
    <mergeCell ref="Z30:AA30"/>
    <mergeCell ref="O29:P29"/>
    <mergeCell ref="O30:P30"/>
    <mergeCell ref="O31:P31"/>
    <mergeCell ref="L29:M29"/>
    <mergeCell ref="L30:M30"/>
    <mergeCell ref="L31:M31"/>
    <mergeCell ref="AB28:AE28"/>
    <mergeCell ref="Z28:AA28"/>
    <mergeCell ref="C29:K29"/>
    <mergeCell ref="Q29:S29"/>
    <mergeCell ref="T29:V29"/>
    <mergeCell ref="W29:Y29"/>
    <mergeCell ref="AB29:AE29"/>
    <mergeCell ref="C28:K28"/>
    <mergeCell ref="Q28:S28"/>
    <mergeCell ref="T28:V28"/>
    <mergeCell ref="W28:Y28"/>
    <mergeCell ref="O28:P28"/>
    <mergeCell ref="L28:M28"/>
    <mergeCell ref="C27:K27"/>
    <mergeCell ref="Q27:S27"/>
    <mergeCell ref="T27:V27"/>
    <mergeCell ref="W27:Y27"/>
    <mergeCell ref="AB27:AE27"/>
    <mergeCell ref="Z27:AA27"/>
    <mergeCell ref="Z25:AA25"/>
    <mergeCell ref="C26:K26"/>
    <mergeCell ref="Q26:S26"/>
    <mergeCell ref="T26:V26"/>
    <mergeCell ref="W26:Y26"/>
    <mergeCell ref="AB26:AE26"/>
    <mergeCell ref="Z26:AA26"/>
    <mergeCell ref="O27:P27"/>
    <mergeCell ref="O25:P25"/>
    <mergeCell ref="O26:P26"/>
    <mergeCell ref="L27:M27"/>
    <mergeCell ref="L25:M25"/>
    <mergeCell ref="L26:M26"/>
    <mergeCell ref="AB24:AE24"/>
    <mergeCell ref="Z24:AA24"/>
    <mergeCell ref="C25:K25"/>
    <mergeCell ref="Q25:S25"/>
    <mergeCell ref="T25:V25"/>
    <mergeCell ref="W25:Y25"/>
    <mergeCell ref="AB25:AE25"/>
    <mergeCell ref="C24:K24"/>
    <mergeCell ref="Q24:S24"/>
    <mergeCell ref="T24:V24"/>
    <mergeCell ref="W24:Y24"/>
    <mergeCell ref="O24:P24"/>
    <mergeCell ref="L24:M24"/>
    <mergeCell ref="T23:V23"/>
    <mergeCell ref="W23:Y23"/>
    <mergeCell ref="AB23:AE23"/>
    <mergeCell ref="Z23:AA23"/>
    <mergeCell ref="Z21:AA21"/>
    <mergeCell ref="C22:K22"/>
    <mergeCell ref="Q22:S22"/>
    <mergeCell ref="T22:V22"/>
    <mergeCell ref="W22:Y22"/>
    <mergeCell ref="AB22:AE22"/>
    <mergeCell ref="Z22:AA22"/>
    <mergeCell ref="O21:P21"/>
    <mergeCell ref="O22:P22"/>
    <mergeCell ref="O23:P23"/>
    <mergeCell ref="L21:M21"/>
    <mergeCell ref="L22:M22"/>
    <mergeCell ref="L23:M23"/>
    <mergeCell ref="C23:K23"/>
    <mergeCell ref="Q23:S23"/>
    <mergeCell ref="AB20:AE20"/>
    <mergeCell ref="Z20:AA20"/>
    <mergeCell ref="C21:K21"/>
    <mergeCell ref="Q21:S21"/>
    <mergeCell ref="T21:V21"/>
    <mergeCell ref="W21:Y21"/>
    <mergeCell ref="AB21:AE21"/>
    <mergeCell ref="C20:K20"/>
    <mergeCell ref="Q20:S20"/>
    <mergeCell ref="T20:V20"/>
    <mergeCell ref="W20:Y20"/>
    <mergeCell ref="O20:P20"/>
    <mergeCell ref="L20:M20"/>
    <mergeCell ref="C19:K19"/>
    <mergeCell ref="Q19:S19"/>
    <mergeCell ref="T19:V19"/>
    <mergeCell ref="W19:Y19"/>
    <mergeCell ref="AB19:AE19"/>
    <mergeCell ref="Z19:AA19"/>
    <mergeCell ref="Z17:AA17"/>
    <mergeCell ref="C18:K18"/>
    <mergeCell ref="Q18:S18"/>
    <mergeCell ref="T18:V18"/>
    <mergeCell ref="W18:Y18"/>
    <mergeCell ref="AB18:AE18"/>
    <mergeCell ref="Z18:AA18"/>
    <mergeCell ref="O17:P17"/>
    <mergeCell ref="O18:P18"/>
    <mergeCell ref="O19:P19"/>
    <mergeCell ref="L17:M17"/>
    <mergeCell ref="L18:M18"/>
    <mergeCell ref="L19:M19"/>
    <mergeCell ref="AB16:AE16"/>
    <mergeCell ref="Z16:AA16"/>
    <mergeCell ref="C17:K17"/>
    <mergeCell ref="Q17:S17"/>
    <mergeCell ref="T17:V17"/>
    <mergeCell ref="W17:Y17"/>
    <mergeCell ref="AB17:AE17"/>
    <mergeCell ref="C16:K16"/>
    <mergeCell ref="Q16:S16"/>
    <mergeCell ref="T16:V16"/>
    <mergeCell ref="W16:Y16"/>
    <mergeCell ref="O16:P16"/>
    <mergeCell ref="L16:M16"/>
    <mergeCell ref="C15:K15"/>
    <mergeCell ref="Q15:S15"/>
    <mergeCell ref="T15:V15"/>
    <mergeCell ref="W15:Y15"/>
    <mergeCell ref="AB15:AE15"/>
    <mergeCell ref="Z15:AA15"/>
    <mergeCell ref="Z13:AA13"/>
    <mergeCell ref="C14:K14"/>
    <mergeCell ref="Q14:S14"/>
    <mergeCell ref="T14:V14"/>
    <mergeCell ref="W14:Y14"/>
    <mergeCell ref="AB14:AE14"/>
    <mergeCell ref="Z14:AA14"/>
    <mergeCell ref="O15:P15"/>
    <mergeCell ref="O13:P13"/>
    <mergeCell ref="O14:P14"/>
    <mergeCell ref="L15:M15"/>
    <mergeCell ref="L13:M13"/>
    <mergeCell ref="L14:M14"/>
    <mergeCell ref="AF11:AK11"/>
    <mergeCell ref="AB12:AE12"/>
    <mergeCell ref="Z12:AA12"/>
    <mergeCell ref="C13:K13"/>
    <mergeCell ref="Q13:S13"/>
    <mergeCell ref="T13:V13"/>
    <mergeCell ref="W13:Y13"/>
    <mergeCell ref="AB13:AE13"/>
    <mergeCell ref="C12:K12"/>
    <mergeCell ref="Q12:S12"/>
    <mergeCell ref="T12:V12"/>
    <mergeCell ref="W12:Y12"/>
    <mergeCell ref="O11:P11"/>
    <mergeCell ref="O12:P12"/>
    <mergeCell ref="L11:M11"/>
    <mergeCell ref="L12:M12"/>
    <mergeCell ref="C11:K11"/>
    <mergeCell ref="Q11:S11"/>
    <mergeCell ref="T11:V11"/>
    <mergeCell ref="W11:Y11"/>
    <mergeCell ref="AB11:AE11"/>
    <mergeCell ref="Z11:AA11"/>
    <mergeCell ref="AF12:AK12"/>
    <mergeCell ref="AF13:AK13"/>
    <mergeCell ref="C10:K10"/>
    <mergeCell ref="Q10:S10"/>
    <mergeCell ref="T10:V10"/>
    <mergeCell ref="W10:Y10"/>
    <mergeCell ref="AB10:AE10"/>
    <mergeCell ref="Z10:AA10"/>
    <mergeCell ref="O9:P9"/>
    <mergeCell ref="O10:P10"/>
    <mergeCell ref="L9:M9"/>
    <mergeCell ref="L10:M10"/>
    <mergeCell ref="AB7:AE7"/>
    <mergeCell ref="Z7:AA7"/>
    <mergeCell ref="O6:P6"/>
    <mergeCell ref="AB8:AE8"/>
    <mergeCell ref="Z8:AA8"/>
    <mergeCell ref="C9:K9"/>
    <mergeCell ref="Q9:S9"/>
    <mergeCell ref="T9:V9"/>
    <mergeCell ref="W9:Y9"/>
    <mergeCell ref="AB9:AE9"/>
    <mergeCell ref="C8:K8"/>
    <mergeCell ref="Q8:S8"/>
    <mergeCell ref="T8:V8"/>
    <mergeCell ref="W8:Y8"/>
    <mergeCell ref="O8:P8"/>
    <mergeCell ref="L8:M8"/>
    <mergeCell ref="Z9:AA9"/>
    <mergeCell ref="B6:B7"/>
    <mergeCell ref="L6:M7"/>
    <mergeCell ref="A1:K2"/>
    <mergeCell ref="L1:T2"/>
    <mergeCell ref="U1:AF2"/>
    <mergeCell ref="AB6:AE6"/>
    <mergeCell ref="Z6:AA6"/>
    <mergeCell ref="Q7:S7"/>
    <mergeCell ref="AF14:AK14"/>
    <mergeCell ref="AG1:AH2"/>
    <mergeCell ref="AI1:AL2"/>
    <mergeCell ref="AF6:AK7"/>
    <mergeCell ref="AF8:AK8"/>
    <mergeCell ref="AF9:AK9"/>
    <mergeCell ref="AF10:AK10"/>
    <mergeCell ref="N6:N7"/>
    <mergeCell ref="AL6:AL7"/>
    <mergeCell ref="C6:K7"/>
    <mergeCell ref="Q6:S6"/>
    <mergeCell ref="T6:V6"/>
    <mergeCell ref="W6:Y6"/>
    <mergeCell ref="O7:P7"/>
    <mergeCell ref="T7:V7"/>
    <mergeCell ref="W7:Y7"/>
    <mergeCell ref="AF15:AK15"/>
    <mergeCell ref="AF16:AK16"/>
    <mergeCell ref="AF17:AK17"/>
    <mergeCell ref="AF18:AK18"/>
    <mergeCell ref="AF19:AK19"/>
    <mergeCell ref="AF20:AK20"/>
    <mergeCell ref="AF24:AK24"/>
    <mergeCell ref="AF25:AK25"/>
    <mergeCell ref="AF21:AK21"/>
    <mergeCell ref="AF22:AK22"/>
    <mergeCell ref="AF23:AK23"/>
    <mergeCell ref="AF26:AK26"/>
    <mergeCell ref="AF27:AK27"/>
    <mergeCell ref="AF28:AK28"/>
    <mergeCell ref="AF29:AK29"/>
    <mergeCell ref="AF30:AK30"/>
    <mergeCell ref="AF31:AK31"/>
    <mergeCell ref="AF32:AK32"/>
    <mergeCell ref="AF36:AK36"/>
    <mergeCell ref="AF37:AK37"/>
    <mergeCell ref="AF33:AK33"/>
    <mergeCell ref="AF34:AK34"/>
    <mergeCell ref="AF35:AK35"/>
    <mergeCell ref="AF38:AK38"/>
    <mergeCell ref="AF39:AK39"/>
    <mergeCell ref="AF40:AK40"/>
    <mergeCell ref="AF41:AK41"/>
    <mergeCell ref="AF42:AK42"/>
    <mergeCell ref="AF43:AK43"/>
    <mergeCell ref="AF44:AK44"/>
    <mergeCell ref="AB58:AE58"/>
    <mergeCell ref="AF48:AK48"/>
    <mergeCell ref="AF49:AK49"/>
    <mergeCell ref="AF50:AK50"/>
    <mergeCell ref="AF51:AK51"/>
    <mergeCell ref="AF52:AK52"/>
    <mergeCell ref="AF53:AK53"/>
    <mergeCell ref="AF54:AK54"/>
    <mergeCell ref="AF55:AK55"/>
    <mergeCell ref="AF56:AK56"/>
    <mergeCell ref="AB52:AE52"/>
    <mergeCell ref="AB56:AE56"/>
    <mergeCell ref="AB40:AE40"/>
    <mergeCell ref="AB44:AE44"/>
    <mergeCell ref="AF45:AK45"/>
    <mergeCell ref="AF46:AK46"/>
    <mergeCell ref="AF47:AK47"/>
  </mergeCells>
  <phoneticPr fontId="14"/>
  <conditionalFormatting sqref="N8:N57">
    <cfRule type="containsBlanks" dxfId="24" priority="33">
      <formula>LEN(TRIM(N8))=0</formula>
    </cfRule>
  </conditionalFormatting>
  <conditionalFormatting sqref="W8:Y57">
    <cfRule type="containsBlanks" dxfId="23" priority="35">
      <formula>LEN(TRIM(W8))=0</formula>
    </cfRule>
  </conditionalFormatting>
  <conditionalFormatting sqref="T8:V57">
    <cfRule type="containsBlanks" dxfId="22" priority="34">
      <formula>LEN(TRIM(T8))=0</formula>
    </cfRule>
  </conditionalFormatting>
  <conditionalFormatting sqref="A3">
    <cfRule type="expression" dxfId="21" priority="24">
      <formula>$AQ$7&lt;&gt;2</formula>
    </cfRule>
  </conditionalFormatting>
  <conditionalFormatting sqref="A3">
    <cfRule type="expression" dxfId="20" priority="23">
      <formula>$AQ$7=2</formula>
    </cfRule>
  </conditionalFormatting>
  <conditionalFormatting sqref="Z8:AA57">
    <cfRule type="containsBlanks" dxfId="19" priority="36">
      <formula>LEN(TRIM(Z8))=0</formula>
    </cfRule>
  </conditionalFormatting>
  <conditionalFormatting sqref="C8:K57">
    <cfRule type="containsBlanks" dxfId="18" priority="17">
      <formula>LEN(TRIM(C8))=0</formula>
    </cfRule>
  </conditionalFormatting>
  <conditionalFormatting sqref="O12:S56 O57 Q57:S57">
    <cfRule type="containsBlanks" dxfId="17" priority="16">
      <formula>LEN(TRIM(O12))=0</formula>
    </cfRule>
  </conditionalFormatting>
  <conditionalFormatting sqref="AF8:AK57">
    <cfRule type="containsBlanks" dxfId="16" priority="15">
      <formula>LEN(TRIM(AF8))=0</formula>
    </cfRule>
  </conditionalFormatting>
  <conditionalFormatting sqref="L8:M57">
    <cfRule type="containsBlanks" dxfId="15" priority="14">
      <formula>LEN(TRIM(L8))=0</formula>
    </cfRule>
  </conditionalFormatting>
  <conditionalFormatting sqref="O8:S11">
    <cfRule type="containsBlanks" dxfId="14" priority="3">
      <formula>LEN(TRIM(O8))=0</formula>
    </cfRule>
  </conditionalFormatting>
  <conditionalFormatting sqref="Z8:AA47">
    <cfRule type="expression" dxfId="13" priority="2">
      <formula>$AQ$7=1</formula>
    </cfRule>
  </conditionalFormatting>
  <dataValidations count="7">
    <dataValidation type="list" allowBlank="1" showInputMessage="1" showErrorMessage="1" prompt="リストから選択" sqref="Z8:AA57">
      <formula1>$AV$9:$AV$12</formula1>
    </dataValidation>
    <dataValidation type="whole" allowBlank="1" showInputMessage="1" showErrorMessage="1" error="数値で記入します" sqref="Q8:S57 O48:O57">
      <formula1>0</formula1>
      <formula2>1000000</formula2>
    </dataValidation>
    <dataValidation type="decimal" allowBlank="1" showInputMessage="1" showErrorMessage="1" error="０～３６５の数値で記入します" sqref="W8:AA57">
      <formula1>0</formula1>
      <formula2>365</formula2>
    </dataValidation>
    <dataValidation type="decimal" allowBlank="1" showInputMessage="1" showErrorMessage="1" error="０～２４の数値で記入します" sqref="T8:V57">
      <formula1>0</formula1>
      <formula2>24</formula2>
    </dataValidation>
    <dataValidation type="list" allowBlank="1" showInputMessage="1" showErrorMessage="1" sqref="N8:N57">
      <formula1>"◎"</formula1>
    </dataValidation>
    <dataValidation type="list" allowBlank="1" showInputMessage="1" showErrorMessage="1" prompt="現行機の年式もしくは設置年を記入する。" sqref="L8:M57">
      <formula1>$AX$35:$AX$57</formula1>
    </dataValidation>
    <dataValidation type="decimal" allowBlank="1" showInputMessage="1" showErrorMessage="1" error="数値で記入します" sqref="O8:P47">
      <formula1>0</formula1>
      <formula2>1000000</formula2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4" orientation="portrait" r:id="rId1"/>
  <headerFooter>
    <oddHeader>&amp;L６．CO₂排出削減量算定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Option Button 1">
              <controlPr defaultSize="0" autoFill="0" autoLine="0" autoPict="0">
                <anchor moveWithCells="1">
                  <from>
                    <xdr:col>19</xdr:col>
                    <xdr:colOff>152400</xdr:colOff>
                    <xdr:row>0</xdr:row>
                    <xdr:rowOff>47625</xdr:rowOff>
                  </from>
                  <to>
                    <xdr:col>21</xdr:col>
                    <xdr:colOff>133350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4" r:id="rId5" name="Option Button 2">
              <controlPr defaultSize="0" autoFill="0" autoLine="0" autoPict="0">
                <anchor moveWithCells="1">
                  <from>
                    <xdr:col>26</xdr:col>
                    <xdr:colOff>171450</xdr:colOff>
                    <xdr:row>0</xdr:row>
                    <xdr:rowOff>47625</xdr:rowOff>
                  </from>
                  <to>
                    <xdr:col>28</xdr:col>
                    <xdr:colOff>76200</xdr:colOff>
                    <xdr:row>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FFFF66"/>
    <pageSetUpPr fitToPage="1"/>
  </sheetPr>
  <dimension ref="A1:BS72"/>
  <sheetViews>
    <sheetView tabSelected="1" view="pageBreakPreview" topLeftCell="A25" zoomScaleNormal="100" zoomScaleSheetLayoutView="100" workbookViewId="0">
      <selection activeCell="AB10" sqref="AB10:AE10"/>
    </sheetView>
  </sheetViews>
  <sheetFormatPr defaultRowHeight="13.5"/>
  <cols>
    <col min="1" max="1" width="1.125" style="5" customWidth="1"/>
    <col min="2" max="11" width="2.625" style="5" customWidth="1"/>
    <col min="12" max="13" width="2.625" style="5" hidden="1" customWidth="1"/>
    <col min="14" max="14" width="4.125" style="5" customWidth="1"/>
    <col min="15" max="15" width="2.625" style="5" customWidth="1"/>
    <col min="16" max="16" width="3.125" style="5" customWidth="1"/>
    <col min="17" max="24" width="2.125" style="5" customWidth="1"/>
    <col min="25" max="31" width="2.625" style="5" customWidth="1"/>
    <col min="32" max="32" width="3.25" style="5" customWidth="1"/>
    <col min="33" max="36" width="2.625" style="5" customWidth="1"/>
    <col min="37" max="38" width="3.875" style="5" customWidth="1"/>
    <col min="39" max="39" width="1.375" style="5" hidden="1" customWidth="1"/>
    <col min="40" max="43" width="2.625" style="5" hidden="1" customWidth="1"/>
    <col min="44" max="46" width="9" style="5" hidden="1" customWidth="1"/>
    <col min="47" max="47" width="9.5" style="5" hidden="1" customWidth="1"/>
    <col min="48" max="71" width="9" style="5" hidden="1" customWidth="1"/>
    <col min="72" max="72" width="9" style="5" customWidth="1"/>
    <col min="73" max="16384" width="9" style="5"/>
  </cols>
  <sheetData>
    <row r="1" spans="1:64" ht="13.5" customHeight="1">
      <c r="A1" s="365" t="s">
        <v>227</v>
      </c>
      <c r="B1" s="366"/>
      <c r="C1" s="366"/>
      <c r="D1" s="366"/>
      <c r="E1" s="366"/>
      <c r="F1" s="366"/>
      <c r="G1" s="366"/>
      <c r="H1" s="366"/>
      <c r="I1" s="366"/>
      <c r="J1" s="366"/>
      <c r="K1" s="367"/>
      <c r="L1" s="406" t="s">
        <v>229</v>
      </c>
      <c r="M1" s="407"/>
      <c r="N1" s="407"/>
      <c r="O1" s="407"/>
      <c r="P1" s="407"/>
      <c r="Q1" s="407"/>
      <c r="R1" s="407"/>
      <c r="S1" s="407"/>
      <c r="T1" s="407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1"/>
      <c r="AG1" s="361" t="s">
        <v>15</v>
      </c>
      <c r="AH1" s="362"/>
      <c r="AI1" s="198" t="str">
        <f ca="1">RIGHT(CELL("filename",AI1),LEN(CELL("filename",AI1))-FIND("]",CELL("filename",AI1)))</f>
        <v>空調算定（導入後）</v>
      </c>
      <c r="AJ1" s="199"/>
      <c r="AK1" s="199"/>
      <c r="AL1" s="200"/>
      <c r="AX1" s="5" t="s">
        <v>119</v>
      </c>
      <c r="AY1" s="5">
        <v>0.71</v>
      </c>
    </row>
    <row r="2" spans="1:64">
      <c r="A2" s="368"/>
      <c r="B2" s="369"/>
      <c r="C2" s="369"/>
      <c r="D2" s="369"/>
      <c r="E2" s="369"/>
      <c r="F2" s="369"/>
      <c r="G2" s="369"/>
      <c r="H2" s="369"/>
      <c r="I2" s="369"/>
      <c r="J2" s="369"/>
      <c r="K2" s="370"/>
      <c r="L2" s="408"/>
      <c r="M2" s="409"/>
      <c r="N2" s="409"/>
      <c r="O2" s="409"/>
      <c r="P2" s="409"/>
      <c r="Q2" s="409"/>
      <c r="R2" s="409"/>
      <c r="S2" s="409"/>
      <c r="T2" s="409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3"/>
      <c r="AG2" s="363"/>
      <c r="AH2" s="364"/>
      <c r="AI2" s="201"/>
      <c r="AJ2" s="202"/>
      <c r="AK2" s="202"/>
      <c r="AL2" s="203"/>
      <c r="AX2" s="5" t="s">
        <v>118</v>
      </c>
      <c r="AY2" s="5">
        <v>0.71499999999999997</v>
      </c>
    </row>
    <row r="3" spans="1:64" ht="13.5" customHeight="1">
      <c r="A3" s="355"/>
      <c r="B3" s="356"/>
      <c r="C3" s="356"/>
      <c r="D3" s="356"/>
      <c r="E3" s="356"/>
      <c r="F3" s="356"/>
      <c r="G3" s="356"/>
      <c r="H3" s="356"/>
      <c r="I3" s="356"/>
      <c r="J3" s="356"/>
      <c r="K3" s="508"/>
      <c r="L3" s="173" t="s">
        <v>225</v>
      </c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5"/>
      <c r="AK3" s="31"/>
      <c r="AL3" s="28"/>
      <c r="AX3" s="5" t="s">
        <v>117</v>
      </c>
      <c r="AY3" s="5">
        <v>0.72</v>
      </c>
    </row>
    <row r="4" spans="1:64" ht="9.75" customHeight="1">
      <c r="A4" s="357"/>
      <c r="B4" s="358"/>
      <c r="C4" s="358"/>
      <c r="D4" s="358"/>
      <c r="E4" s="358"/>
      <c r="F4" s="358"/>
      <c r="G4" s="358"/>
      <c r="H4" s="358"/>
      <c r="I4" s="358"/>
      <c r="J4" s="358"/>
      <c r="K4" s="509"/>
      <c r="L4" s="176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8"/>
      <c r="AK4" s="29"/>
      <c r="AL4" s="30"/>
      <c r="AO4" s="7"/>
      <c r="AX4" s="5" t="s">
        <v>116</v>
      </c>
      <c r="AY4" s="5">
        <v>0.72499999999999998</v>
      </c>
    </row>
    <row r="5" spans="1:64" ht="8.25" customHeight="1">
      <c r="A5" s="9"/>
      <c r="B5" s="9"/>
      <c r="C5" s="9"/>
      <c r="D5" s="9"/>
      <c r="E5" s="9"/>
      <c r="F5" s="10"/>
      <c r="G5" s="9"/>
      <c r="H5" s="9"/>
      <c r="I5" s="9"/>
      <c r="J5" s="9"/>
      <c r="K5" s="10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Q5" s="9"/>
      <c r="AX5" s="10" t="s">
        <v>115</v>
      </c>
      <c r="AY5" s="10">
        <v>0.73</v>
      </c>
    </row>
    <row r="6" spans="1:64" s="10" customFormat="1" ht="24" customHeight="1">
      <c r="A6" s="9"/>
      <c r="B6" s="400" t="s">
        <v>16</v>
      </c>
      <c r="C6" s="204" t="s">
        <v>242</v>
      </c>
      <c r="D6" s="204"/>
      <c r="E6" s="204"/>
      <c r="F6" s="204"/>
      <c r="G6" s="204"/>
      <c r="H6" s="204"/>
      <c r="I6" s="204"/>
      <c r="J6" s="204"/>
      <c r="K6" s="204"/>
      <c r="L6" s="402" t="s">
        <v>57</v>
      </c>
      <c r="M6" s="403"/>
      <c r="N6" s="420" t="s">
        <v>247</v>
      </c>
      <c r="O6" s="426" t="s">
        <v>241</v>
      </c>
      <c r="P6" s="427"/>
      <c r="Q6" s="219" t="s">
        <v>150</v>
      </c>
      <c r="R6" s="219"/>
      <c r="S6" s="219"/>
      <c r="T6" s="220" t="s">
        <v>147</v>
      </c>
      <c r="U6" s="221"/>
      <c r="V6" s="222"/>
      <c r="W6" s="220" t="s">
        <v>17</v>
      </c>
      <c r="X6" s="221"/>
      <c r="Y6" s="222"/>
      <c r="Z6" s="223" t="s">
        <v>148</v>
      </c>
      <c r="AA6" s="225"/>
      <c r="AB6" s="223" t="s">
        <v>18</v>
      </c>
      <c r="AC6" s="224"/>
      <c r="AD6" s="224"/>
      <c r="AE6" s="225"/>
      <c r="AF6" s="415" t="s">
        <v>19</v>
      </c>
      <c r="AG6" s="159"/>
      <c r="AH6" s="159"/>
      <c r="AI6" s="159"/>
      <c r="AJ6" s="159"/>
      <c r="AK6" s="160"/>
      <c r="AL6" s="422" t="s">
        <v>224</v>
      </c>
      <c r="AM6" s="9"/>
      <c r="AS6" s="10" t="s">
        <v>216</v>
      </c>
      <c r="AX6" s="10" t="s">
        <v>114</v>
      </c>
      <c r="AY6" s="10">
        <v>0.73499999999999999</v>
      </c>
      <c r="BB6" s="10" t="s">
        <v>237</v>
      </c>
    </row>
    <row r="7" spans="1:64" s="10" customFormat="1" ht="17.25" customHeight="1">
      <c r="A7" s="9"/>
      <c r="B7" s="401"/>
      <c r="C7" s="205"/>
      <c r="D7" s="205"/>
      <c r="E7" s="205"/>
      <c r="F7" s="205"/>
      <c r="G7" s="205"/>
      <c r="H7" s="205"/>
      <c r="I7" s="205"/>
      <c r="J7" s="205"/>
      <c r="K7" s="205"/>
      <c r="L7" s="404"/>
      <c r="M7" s="405"/>
      <c r="N7" s="421"/>
      <c r="O7" s="424" t="s">
        <v>146</v>
      </c>
      <c r="P7" s="425"/>
      <c r="Q7" s="414" t="s">
        <v>151</v>
      </c>
      <c r="R7" s="414"/>
      <c r="S7" s="414"/>
      <c r="T7" s="206" t="s">
        <v>20</v>
      </c>
      <c r="U7" s="206"/>
      <c r="V7" s="206"/>
      <c r="W7" s="206" t="s">
        <v>21</v>
      </c>
      <c r="X7" s="206"/>
      <c r="Y7" s="206"/>
      <c r="Z7" s="424" t="s">
        <v>149</v>
      </c>
      <c r="AA7" s="425"/>
      <c r="AB7" s="206" t="s">
        <v>22</v>
      </c>
      <c r="AC7" s="206"/>
      <c r="AD7" s="206"/>
      <c r="AE7" s="206"/>
      <c r="AF7" s="416"/>
      <c r="AG7" s="162"/>
      <c r="AH7" s="162"/>
      <c r="AI7" s="162"/>
      <c r="AJ7" s="162"/>
      <c r="AK7" s="163"/>
      <c r="AL7" s="423"/>
      <c r="AM7" s="9"/>
      <c r="AQ7" s="149">
        <v>1</v>
      </c>
      <c r="AR7" s="10" t="s">
        <v>217</v>
      </c>
      <c r="AS7" s="10" t="s">
        <v>214</v>
      </c>
      <c r="AX7" s="10" t="s">
        <v>113</v>
      </c>
      <c r="AY7" s="10">
        <v>0.74</v>
      </c>
      <c r="BB7" s="10" t="s">
        <v>190</v>
      </c>
      <c r="BJ7" s="10" t="s">
        <v>232</v>
      </c>
    </row>
    <row r="8" spans="1:64" s="10" customFormat="1" ht="15" customHeight="1">
      <c r="A8" s="9"/>
      <c r="B8" s="126">
        <v>1</v>
      </c>
      <c r="C8" s="431"/>
      <c r="D8" s="431"/>
      <c r="E8" s="431"/>
      <c r="F8" s="431"/>
      <c r="G8" s="431"/>
      <c r="H8" s="431"/>
      <c r="I8" s="431"/>
      <c r="J8" s="431"/>
      <c r="K8" s="431"/>
      <c r="L8" s="417"/>
      <c r="M8" s="432"/>
      <c r="N8" s="115"/>
      <c r="O8" s="417"/>
      <c r="P8" s="432"/>
      <c r="Q8" s="431"/>
      <c r="R8" s="431"/>
      <c r="S8" s="431"/>
      <c r="T8" s="211"/>
      <c r="U8" s="211"/>
      <c r="V8" s="211"/>
      <c r="W8" s="211"/>
      <c r="X8" s="211"/>
      <c r="Y8" s="211"/>
      <c r="Z8" s="493"/>
      <c r="AA8" s="494"/>
      <c r="AB8" s="428" t="str">
        <f>IF(O8="","",IF($AQ$7=1,O8*Q8*T8*W8*AR8/AS8,O8*Q8*T8*W8*Z8))</f>
        <v/>
      </c>
      <c r="AC8" s="428"/>
      <c r="AD8" s="428"/>
      <c r="AE8" s="428"/>
      <c r="AF8" s="417"/>
      <c r="AG8" s="418"/>
      <c r="AH8" s="418"/>
      <c r="AI8" s="418"/>
      <c r="AJ8" s="418"/>
      <c r="AK8" s="419"/>
      <c r="AL8" s="128" t="str">
        <f>IFERROR(IF(O8="","",IF(Z8-AR8&gt;0,"超過","")),"?")</f>
        <v/>
      </c>
      <c r="AM8" s="13"/>
      <c r="AN8" s="13"/>
      <c r="AO8" s="13"/>
      <c r="AP8" s="113" t="str">
        <f>IF(N8="◎",1,"")</f>
        <v/>
      </c>
      <c r="AQ8" s="113" t="e">
        <f>INDEX($BI$10:$BI$21,MATCH(W8,$BI$10:$BI$21,1),1)</f>
        <v>#N/A</v>
      </c>
      <c r="AR8" s="114" t="e">
        <f>VLOOKUP(INDEX($BI$10:$BI$21,MATCH(W8,$BI$10:$BI$21,1),1),$BI$10:$BL$21,3,FALSE)</f>
        <v>#N/A</v>
      </c>
      <c r="AS8" s="112" t="e">
        <f t="shared" ref="AS8:AS39" si="0">IF(AP8=1,VLOOKUP($AS$6,inv補正COP,7,FALSE)*AR8+VLOOKUP($AS$6,inv補正COP,12,FALSE),$BO$29*AR8+$BQ$29)</f>
        <v>#N/A</v>
      </c>
      <c r="AX8" s="10" t="s">
        <v>112</v>
      </c>
      <c r="AY8" s="10">
        <v>0.745</v>
      </c>
      <c r="BB8" s="88" t="s">
        <v>235</v>
      </c>
      <c r="BC8" s="89"/>
      <c r="BD8" s="89"/>
      <c r="BJ8" s="10" t="s">
        <v>236</v>
      </c>
    </row>
    <row r="9" spans="1:64" s="10" customFormat="1" ht="15" customHeight="1">
      <c r="A9" s="9"/>
      <c r="B9" s="146">
        <f>IF(B8="","",B8+1)</f>
        <v>2</v>
      </c>
      <c r="C9" s="211"/>
      <c r="D9" s="211"/>
      <c r="E9" s="211"/>
      <c r="F9" s="211"/>
      <c r="G9" s="211"/>
      <c r="H9" s="211"/>
      <c r="I9" s="211"/>
      <c r="J9" s="211"/>
      <c r="K9" s="211"/>
      <c r="L9" s="390"/>
      <c r="M9" s="217"/>
      <c r="N9" s="115"/>
      <c r="O9" s="390"/>
      <c r="P9" s="217"/>
      <c r="Q9" s="211"/>
      <c r="R9" s="211"/>
      <c r="S9" s="211"/>
      <c r="T9" s="211"/>
      <c r="U9" s="211"/>
      <c r="V9" s="211"/>
      <c r="W9" s="211"/>
      <c r="X9" s="211"/>
      <c r="Y9" s="211"/>
      <c r="Z9" s="433"/>
      <c r="AA9" s="434"/>
      <c r="AB9" s="428" t="str">
        <f>IF(O9="","",IF($AQ$7=1,O9*Q9*T9*W9*AR9/AS9,O9*Q9*T9*W9*Z9))</f>
        <v/>
      </c>
      <c r="AC9" s="428"/>
      <c r="AD9" s="428"/>
      <c r="AE9" s="428"/>
      <c r="AF9" s="390"/>
      <c r="AG9" s="391"/>
      <c r="AH9" s="391"/>
      <c r="AI9" s="391"/>
      <c r="AJ9" s="391"/>
      <c r="AK9" s="392"/>
      <c r="AL9" s="129" t="str">
        <f t="shared" ref="AL9:AL57" si="1">IFERROR(IF(O9="","",IF(Z9-AR9&gt;0,"超過","")),"?")</f>
        <v/>
      </c>
      <c r="AM9" s="9"/>
      <c r="AN9" s="9"/>
      <c r="AO9" s="9"/>
      <c r="AP9" s="113" t="str">
        <f t="shared" ref="AP9:AP57" si="2">IF(N9="◎",1,"")</f>
        <v/>
      </c>
      <c r="AQ9" s="113" t="e">
        <f t="shared" ref="AQ9:AQ57" si="3">INDEX($BI$10:$BI$21,MATCH(W9,$BI$10:$BI$21,1),1)</f>
        <v>#N/A</v>
      </c>
      <c r="AR9" s="114" t="e">
        <f>VLOOKUP(INDEX($BI$10:$BI$21,MATCH(W9,$BI$10:$BI$21,1),1),$BI$10:$BL$21,3,FALSE)</f>
        <v>#N/A</v>
      </c>
      <c r="AS9" s="112" t="e">
        <f t="shared" si="0"/>
        <v>#N/A</v>
      </c>
      <c r="AV9" s="86">
        <v>0.5</v>
      </c>
      <c r="AX9" s="10" t="s">
        <v>111</v>
      </c>
      <c r="AY9" s="10">
        <v>0.75</v>
      </c>
      <c r="BB9" s="61" t="s">
        <v>156</v>
      </c>
      <c r="BC9" s="61" t="s">
        <v>158</v>
      </c>
      <c r="BD9" s="61" t="s">
        <v>188</v>
      </c>
      <c r="BE9" s="89" t="s">
        <v>219</v>
      </c>
      <c r="BI9" s="10" t="s">
        <v>234</v>
      </c>
      <c r="BJ9" s="61" t="s">
        <v>189</v>
      </c>
      <c r="BK9" s="89" t="s">
        <v>219</v>
      </c>
      <c r="BL9" s="10" t="s">
        <v>233</v>
      </c>
    </row>
    <row r="10" spans="1:64" s="10" customFormat="1" ht="15" customHeight="1">
      <c r="A10" s="9"/>
      <c r="B10" s="146">
        <f t="shared" ref="B10:B37" si="4">IF(B9="","",B9+1)</f>
        <v>3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90"/>
      <c r="M10" s="217"/>
      <c r="N10" s="115"/>
      <c r="O10" s="390"/>
      <c r="P10" s="217"/>
      <c r="Q10" s="211"/>
      <c r="R10" s="211"/>
      <c r="S10" s="211"/>
      <c r="T10" s="211"/>
      <c r="U10" s="211"/>
      <c r="V10" s="211"/>
      <c r="W10" s="211"/>
      <c r="X10" s="211"/>
      <c r="Y10" s="211"/>
      <c r="Z10" s="433"/>
      <c r="AA10" s="434"/>
      <c r="AB10" s="428" t="str">
        <f t="shared" ref="AB10:AB57" si="5">IF(O10="","",IF($AQ$7=1,O10*Q10*T10*W10*AR10/AS10,O10*Q10*T10*W10*Z10))</f>
        <v/>
      </c>
      <c r="AC10" s="428"/>
      <c r="AD10" s="428"/>
      <c r="AE10" s="428"/>
      <c r="AF10" s="390"/>
      <c r="AG10" s="391"/>
      <c r="AH10" s="391"/>
      <c r="AI10" s="391"/>
      <c r="AJ10" s="391"/>
      <c r="AK10" s="392"/>
      <c r="AL10" s="129" t="str">
        <f t="shared" si="1"/>
        <v/>
      </c>
      <c r="AM10" s="13"/>
      <c r="AN10" s="13"/>
      <c r="AO10" s="13"/>
      <c r="AP10" s="113" t="str">
        <f t="shared" si="2"/>
        <v/>
      </c>
      <c r="AQ10" s="113" t="e">
        <f t="shared" si="3"/>
        <v>#N/A</v>
      </c>
      <c r="AR10" s="114" t="e">
        <f>VLOOKUP(INDEX($BI$10:$BI$21,MATCH(W10,$BI$10:$BI$21,1),1),$BI$10:$BL$21,3,FALSE)</f>
        <v>#N/A</v>
      </c>
      <c r="AS10" s="112" t="e">
        <f t="shared" si="0"/>
        <v>#N/A</v>
      </c>
      <c r="AV10" s="86">
        <v>0.4</v>
      </c>
      <c r="AX10" s="10" t="s">
        <v>110</v>
      </c>
      <c r="AY10" s="10">
        <v>0.755</v>
      </c>
      <c r="BA10" s="148" t="s">
        <v>165</v>
      </c>
      <c r="BB10" s="87">
        <v>0.59050000000000002</v>
      </c>
      <c r="BC10" s="87">
        <v>0</v>
      </c>
      <c r="BD10" s="87">
        <v>0.59050000000000002</v>
      </c>
      <c r="BE10" s="91">
        <f>AVERAGE(BD$10:BD10)</f>
        <v>0.59050000000000002</v>
      </c>
      <c r="BG10" s="148" t="s">
        <v>165</v>
      </c>
      <c r="BH10" s="148" t="s">
        <v>220</v>
      </c>
      <c r="BI10" s="10">
        <v>24</v>
      </c>
      <c r="BJ10" s="87">
        <v>0.57830912500000009</v>
      </c>
      <c r="BK10" s="139">
        <f>AVERAGE(BJ$10:BJ10)</f>
        <v>0.57830912500000009</v>
      </c>
      <c r="BL10" s="10">
        <v>22</v>
      </c>
    </row>
    <row r="11" spans="1:64" s="10" customFormat="1" ht="15" customHeight="1">
      <c r="A11" s="9"/>
      <c r="B11" s="146">
        <f t="shared" si="4"/>
        <v>4</v>
      </c>
      <c r="C11" s="211"/>
      <c r="D11" s="211"/>
      <c r="E11" s="211"/>
      <c r="F11" s="211"/>
      <c r="G11" s="211"/>
      <c r="H11" s="211"/>
      <c r="I11" s="211"/>
      <c r="J11" s="211"/>
      <c r="K11" s="211"/>
      <c r="L11" s="390"/>
      <c r="M11" s="217"/>
      <c r="N11" s="115"/>
      <c r="O11" s="390"/>
      <c r="P11" s="217"/>
      <c r="Q11" s="211"/>
      <c r="R11" s="211"/>
      <c r="S11" s="211"/>
      <c r="T11" s="211"/>
      <c r="U11" s="211"/>
      <c r="V11" s="211"/>
      <c r="W11" s="211"/>
      <c r="X11" s="211"/>
      <c r="Y11" s="211"/>
      <c r="Z11" s="433"/>
      <c r="AA11" s="434"/>
      <c r="AB11" s="428" t="str">
        <f t="shared" si="5"/>
        <v/>
      </c>
      <c r="AC11" s="428"/>
      <c r="AD11" s="428"/>
      <c r="AE11" s="428"/>
      <c r="AF11" s="390"/>
      <c r="AG11" s="391"/>
      <c r="AH11" s="391"/>
      <c r="AI11" s="391"/>
      <c r="AJ11" s="391"/>
      <c r="AK11" s="392"/>
      <c r="AL11" s="129" t="str">
        <f t="shared" si="1"/>
        <v/>
      </c>
      <c r="AM11" s="9"/>
      <c r="AN11" s="9"/>
      <c r="AO11" s="9"/>
      <c r="AP11" s="113" t="str">
        <f t="shared" si="2"/>
        <v/>
      </c>
      <c r="AQ11" s="113" t="e">
        <f t="shared" si="3"/>
        <v>#N/A</v>
      </c>
      <c r="AR11" s="114" t="e">
        <f>VLOOKUP(INDEX($BI$10:$BI$21,MATCH(W11,$BI$10:$BI$21,1),1),$BI$10:$BL$21,3,FALSE)</f>
        <v>#N/A</v>
      </c>
      <c r="AS11" s="112" t="e">
        <f t="shared" si="0"/>
        <v>#N/A</v>
      </c>
      <c r="AV11" s="86">
        <v>0.3</v>
      </c>
      <c r="AX11" s="10" t="s">
        <v>109</v>
      </c>
      <c r="AY11" s="10">
        <v>0.76</v>
      </c>
      <c r="BA11" s="148" t="s">
        <v>164</v>
      </c>
      <c r="BB11" s="87">
        <v>0.5625</v>
      </c>
      <c r="BC11" s="87">
        <v>0</v>
      </c>
      <c r="BD11" s="87">
        <v>0.5625</v>
      </c>
      <c r="BE11" s="91">
        <f>AVERAGE(BD$10:BD11)</f>
        <v>0.57650000000000001</v>
      </c>
      <c r="BG11" s="148" t="s">
        <v>164</v>
      </c>
      <c r="BH11" s="148" t="s">
        <v>220</v>
      </c>
      <c r="BI11" s="10">
        <f>BI10+24</f>
        <v>48</v>
      </c>
      <c r="BJ11" s="87">
        <v>0.53148375000000003</v>
      </c>
      <c r="BK11" s="139">
        <f>AVERAGE(BJ$10:BJ11)</f>
        <v>0.55489643750000006</v>
      </c>
      <c r="BL11" s="10">
        <v>26</v>
      </c>
    </row>
    <row r="12" spans="1:64" s="10" customFormat="1" ht="15" customHeight="1">
      <c r="A12" s="9"/>
      <c r="B12" s="146">
        <f t="shared" si="4"/>
        <v>5</v>
      </c>
      <c r="C12" s="211"/>
      <c r="D12" s="211"/>
      <c r="E12" s="211"/>
      <c r="F12" s="211"/>
      <c r="G12" s="211"/>
      <c r="H12" s="211"/>
      <c r="I12" s="211"/>
      <c r="J12" s="211"/>
      <c r="K12" s="211"/>
      <c r="L12" s="390"/>
      <c r="M12" s="217"/>
      <c r="N12" s="115"/>
      <c r="O12" s="390"/>
      <c r="P12" s="217"/>
      <c r="Q12" s="211"/>
      <c r="R12" s="211"/>
      <c r="S12" s="211"/>
      <c r="T12" s="211"/>
      <c r="U12" s="211"/>
      <c r="V12" s="211"/>
      <c r="W12" s="211"/>
      <c r="X12" s="211"/>
      <c r="Y12" s="211"/>
      <c r="Z12" s="433"/>
      <c r="AA12" s="434"/>
      <c r="AB12" s="428" t="str">
        <f t="shared" si="5"/>
        <v/>
      </c>
      <c r="AC12" s="428"/>
      <c r="AD12" s="428"/>
      <c r="AE12" s="428"/>
      <c r="AF12" s="390"/>
      <c r="AG12" s="391"/>
      <c r="AH12" s="391"/>
      <c r="AI12" s="391"/>
      <c r="AJ12" s="391"/>
      <c r="AK12" s="392"/>
      <c r="AL12" s="129" t="str">
        <f t="shared" si="1"/>
        <v/>
      </c>
      <c r="AM12" s="13"/>
      <c r="AN12" s="13"/>
      <c r="AO12" s="13"/>
      <c r="AP12" s="113" t="str">
        <f t="shared" si="2"/>
        <v/>
      </c>
      <c r="AQ12" s="113" t="e">
        <f t="shared" si="3"/>
        <v>#N/A</v>
      </c>
      <c r="AR12" s="114" t="e">
        <f t="shared" ref="AR12:AR57" si="6">VLOOKUP(INDEX($BI$10:$BI$21,MATCH(W12,$BI$10:$BI$21,1),1),$BI$10:$BL$21,3,FALSE)</f>
        <v>#N/A</v>
      </c>
      <c r="AS12" s="112" t="e">
        <f t="shared" si="0"/>
        <v>#N/A</v>
      </c>
      <c r="AV12" s="86">
        <v>0.2</v>
      </c>
      <c r="AX12" s="10" t="s">
        <v>108</v>
      </c>
      <c r="AY12" s="10">
        <v>0.76500000000000001</v>
      </c>
      <c r="BA12" s="148" t="s">
        <v>166</v>
      </c>
      <c r="BB12" s="87">
        <v>0.43099999999999999</v>
      </c>
      <c r="BC12" s="87">
        <v>0</v>
      </c>
      <c r="BD12" s="87">
        <v>0.43099999999999999</v>
      </c>
      <c r="BE12" s="91">
        <f>AVERAGE(BD$10:BD12)</f>
        <v>0.52800000000000002</v>
      </c>
      <c r="BG12" s="148" t="s">
        <v>166</v>
      </c>
      <c r="BH12" s="148" t="s">
        <v>220</v>
      </c>
      <c r="BI12" s="10">
        <f>BI11+24</f>
        <v>72</v>
      </c>
      <c r="BJ12" s="87">
        <v>0.39447399999999999</v>
      </c>
      <c r="BK12" s="139">
        <f>AVERAGE(BJ$10:BJ12)</f>
        <v>0.50142229166666674</v>
      </c>
      <c r="BL12" s="10">
        <v>24</v>
      </c>
    </row>
    <row r="13" spans="1:64" s="10" customFormat="1" ht="15" customHeight="1">
      <c r="A13" s="9"/>
      <c r="B13" s="146">
        <f t="shared" si="4"/>
        <v>6</v>
      </c>
      <c r="C13" s="211"/>
      <c r="D13" s="211"/>
      <c r="E13" s="211"/>
      <c r="F13" s="211"/>
      <c r="G13" s="211"/>
      <c r="H13" s="211"/>
      <c r="I13" s="211"/>
      <c r="J13" s="211"/>
      <c r="K13" s="211"/>
      <c r="L13" s="390"/>
      <c r="M13" s="217"/>
      <c r="N13" s="115"/>
      <c r="O13" s="390"/>
      <c r="P13" s="217"/>
      <c r="Q13" s="211"/>
      <c r="R13" s="211"/>
      <c r="S13" s="211"/>
      <c r="T13" s="211"/>
      <c r="U13" s="211"/>
      <c r="V13" s="211"/>
      <c r="W13" s="211"/>
      <c r="X13" s="211"/>
      <c r="Y13" s="211"/>
      <c r="Z13" s="433"/>
      <c r="AA13" s="434"/>
      <c r="AB13" s="397" t="str">
        <f t="shared" si="5"/>
        <v/>
      </c>
      <c r="AC13" s="398"/>
      <c r="AD13" s="398"/>
      <c r="AE13" s="399"/>
      <c r="AF13" s="390"/>
      <c r="AG13" s="391"/>
      <c r="AH13" s="391"/>
      <c r="AI13" s="391"/>
      <c r="AJ13" s="391"/>
      <c r="AK13" s="392"/>
      <c r="AL13" s="129" t="str">
        <f t="shared" si="1"/>
        <v/>
      </c>
      <c r="AM13" s="9"/>
      <c r="AN13" s="9"/>
      <c r="AO13" s="9"/>
      <c r="AP13" s="113" t="str">
        <f t="shared" si="2"/>
        <v/>
      </c>
      <c r="AQ13" s="113" t="e">
        <f t="shared" si="3"/>
        <v>#N/A</v>
      </c>
      <c r="AR13" s="114" t="e">
        <f t="shared" si="6"/>
        <v>#N/A</v>
      </c>
      <c r="AS13" s="112" t="e">
        <f t="shared" si="0"/>
        <v>#N/A</v>
      </c>
      <c r="AX13" s="10" t="s">
        <v>107</v>
      </c>
      <c r="AY13" s="10">
        <v>0.77</v>
      </c>
      <c r="BA13" s="148" t="s">
        <v>170</v>
      </c>
      <c r="BB13" s="87">
        <v>0</v>
      </c>
      <c r="BC13" s="87">
        <v>0.372</v>
      </c>
      <c r="BD13" s="87">
        <v>0.372</v>
      </c>
      <c r="BE13" s="91">
        <f>AVERAGE(BD$10:BD13)</f>
        <v>0.48899999999999999</v>
      </c>
      <c r="BG13" s="148" t="s">
        <v>170</v>
      </c>
      <c r="BH13" s="148" t="s">
        <v>221</v>
      </c>
      <c r="BI13" s="10">
        <f t="shared" ref="BI13:BI21" si="7">BI12+24</f>
        <v>96</v>
      </c>
      <c r="BJ13" s="87">
        <v>0.36901874999999995</v>
      </c>
      <c r="BK13" s="139">
        <f>AVERAGE(BJ$10:BJ13)</f>
        <v>0.46832140625000002</v>
      </c>
      <c r="BL13" s="10">
        <v>23</v>
      </c>
    </row>
    <row r="14" spans="1:64" s="10" customFormat="1" ht="15" customHeight="1">
      <c r="A14" s="9"/>
      <c r="B14" s="146">
        <f t="shared" si="4"/>
        <v>7</v>
      </c>
      <c r="C14" s="211"/>
      <c r="D14" s="211"/>
      <c r="E14" s="211"/>
      <c r="F14" s="211"/>
      <c r="G14" s="211"/>
      <c r="H14" s="211"/>
      <c r="I14" s="211"/>
      <c r="J14" s="211"/>
      <c r="K14" s="211"/>
      <c r="L14" s="390"/>
      <c r="M14" s="217"/>
      <c r="N14" s="115"/>
      <c r="O14" s="390"/>
      <c r="P14" s="217"/>
      <c r="Q14" s="211"/>
      <c r="R14" s="211"/>
      <c r="S14" s="211"/>
      <c r="T14" s="211"/>
      <c r="U14" s="211"/>
      <c r="V14" s="211"/>
      <c r="W14" s="211"/>
      <c r="X14" s="211"/>
      <c r="Y14" s="211"/>
      <c r="Z14" s="433"/>
      <c r="AA14" s="434"/>
      <c r="AB14" s="397" t="str">
        <f t="shared" si="5"/>
        <v/>
      </c>
      <c r="AC14" s="398"/>
      <c r="AD14" s="398"/>
      <c r="AE14" s="399"/>
      <c r="AF14" s="390"/>
      <c r="AG14" s="391"/>
      <c r="AH14" s="391"/>
      <c r="AI14" s="391"/>
      <c r="AJ14" s="391"/>
      <c r="AK14" s="392"/>
      <c r="AL14" s="129" t="str">
        <f t="shared" si="1"/>
        <v/>
      </c>
      <c r="AM14" s="13"/>
      <c r="AN14" s="13"/>
      <c r="AO14" s="13"/>
      <c r="AP14" s="113" t="str">
        <f t="shared" si="2"/>
        <v/>
      </c>
      <c r="AQ14" s="113" t="e">
        <f t="shared" si="3"/>
        <v>#N/A</v>
      </c>
      <c r="AR14" s="114" t="e">
        <f t="shared" si="6"/>
        <v>#N/A</v>
      </c>
      <c r="AS14" s="112" t="e">
        <f t="shared" si="0"/>
        <v>#N/A</v>
      </c>
      <c r="AX14" s="10" t="s">
        <v>106</v>
      </c>
      <c r="AY14" s="10">
        <v>0.77500000000000002</v>
      </c>
      <c r="BA14" s="148" t="s">
        <v>171</v>
      </c>
      <c r="BB14" s="87">
        <v>0</v>
      </c>
      <c r="BC14" s="87">
        <v>0.35100000000000003</v>
      </c>
      <c r="BD14" s="87">
        <v>0.35100000000000003</v>
      </c>
      <c r="BE14" s="91">
        <f>AVERAGE(BD$10:BD14)</f>
        <v>0.46139999999999998</v>
      </c>
      <c r="BG14" s="148" t="s">
        <v>171</v>
      </c>
      <c r="BH14" s="148" t="s">
        <v>221</v>
      </c>
      <c r="BI14" s="10">
        <f t="shared" si="7"/>
        <v>120</v>
      </c>
      <c r="BJ14" s="87">
        <v>0.33808300000000002</v>
      </c>
      <c r="BK14" s="139">
        <f>AVERAGE(BJ$10:BJ14)</f>
        <v>0.44227372500000001</v>
      </c>
      <c r="BL14" s="10">
        <v>22</v>
      </c>
    </row>
    <row r="15" spans="1:64" s="10" customFormat="1" ht="15" customHeight="1">
      <c r="A15" s="9"/>
      <c r="B15" s="146">
        <f t="shared" si="4"/>
        <v>8</v>
      </c>
      <c r="C15" s="211"/>
      <c r="D15" s="211"/>
      <c r="E15" s="211"/>
      <c r="F15" s="211"/>
      <c r="G15" s="211"/>
      <c r="H15" s="211"/>
      <c r="I15" s="211"/>
      <c r="J15" s="211"/>
      <c r="K15" s="211"/>
      <c r="L15" s="390"/>
      <c r="M15" s="217"/>
      <c r="N15" s="115"/>
      <c r="O15" s="390"/>
      <c r="P15" s="217"/>
      <c r="Q15" s="211"/>
      <c r="R15" s="211"/>
      <c r="S15" s="211"/>
      <c r="T15" s="211"/>
      <c r="U15" s="211"/>
      <c r="V15" s="211"/>
      <c r="W15" s="211"/>
      <c r="X15" s="211"/>
      <c r="Y15" s="211"/>
      <c r="Z15" s="433"/>
      <c r="AA15" s="434"/>
      <c r="AB15" s="397" t="str">
        <f t="shared" si="5"/>
        <v/>
      </c>
      <c r="AC15" s="398"/>
      <c r="AD15" s="398"/>
      <c r="AE15" s="399"/>
      <c r="AF15" s="390"/>
      <c r="AG15" s="391"/>
      <c r="AH15" s="391"/>
      <c r="AI15" s="391"/>
      <c r="AJ15" s="391"/>
      <c r="AK15" s="392"/>
      <c r="AL15" s="129" t="str">
        <f t="shared" si="1"/>
        <v/>
      </c>
      <c r="AM15" s="9"/>
      <c r="AN15" s="9"/>
      <c r="AO15" s="9"/>
      <c r="AP15" s="113" t="str">
        <f t="shared" si="2"/>
        <v/>
      </c>
      <c r="AQ15" s="113" t="e">
        <f t="shared" si="3"/>
        <v>#N/A</v>
      </c>
      <c r="AR15" s="114" t="e">
        <f t="shared" si="6"/>
        <v>#N/A</v>
      </c>
      <c r="AS15" s="112" t="e">
        <f t="shared" si="0"/>
        <v>#N/A</v>
      </c>
      <c r="AX15" s="10" t="s">
        <v>105</v>
      </c>
      <c r="AY15" s="10">
        <v>0.78</v>
      </c>
      <c r="BA15" s="148" t="s">
        <v>163</v>
      </c>
      <c r="BB15" s="87">
        <v>0.31225000000000003</v>
      </c>
      <c r="BC15" s="87">
        <v>0</v>
      </c>
      <c r="BD15" s="87">
        <v>0.31225000000000003</v>
      </c>
      <c r="BE15" s="91">
        <f>AVERAGE(BD$10:BD15)</f>
        <v>0.43654166666666666</v>
      </c>
      <c r="BG15" s="148" t="s">
        <v>163</v>
      </c>
      <c r="BH15" s="148" t="s">
        <v>220</v>
      </c>
      <c r="BI15" s="10">
        <f t="shared" si="7"/>
        <v>144</v>
      </c>
      <c r="BJ15" s="87">
        <v>0.26025987500000003</v>
      </c>
      <c r="BK15" s="139">
        <f>AVERAGE(BJ$10:BJ15)</f>
        <v>0.41193808333333332</v>
      </c>
      <c r="BL15" s="10">
        <v>26</v>
      </c>
    </row>
    <row r="16" spans="1:64" s="10" customFormat="1" ht="15" customHeight="1">
      <c r="A16" s="9"/>
      <c r="B16" s="146">
        <f t="shared" si="4"/>
        <v>9</v>
      </c>
      <c r="C16" s="211"/>
      <c r="D16" s="211"/>
      <c r="E16" s="211"/>
      <c r="F16" s="211"/>
      <c r="G16" s="211"/>
      <c r="H16" s="211"/>
      <c r="I16" s="211"/>
      <c r="J16" s="211"/>
      <c r="K16" s="211"/>
      <c r="L16" s="390"/>
      <c r="M16" s="217"/>
      <c r="N16" s="115"/>
      <c r="O16" s="390"/>
      <c r="P16" s="217"/>
      <c r="Q16" s="211"/>
      <c r="R16" s="211"/>
      <c r="S16" s="211"/>
      <c r="T16" s="211"/>
      <c r="U16" s="211"/>
      <c r="V16" s="211"/>
      <c r="W16" s="211"/>
      <c r="X16" s="211"/>
      <c r="Y16" s="211"/>
      <c r="Z16" s="433"/>
      <c r="AA16" s="434"/>
      <c r="AB16" s="397" t="str">
        <f t="shared" si="5"/>
        <v/>
      </c>
      <c r="AC16" s="398"/>
      <c r="AD16" s="398"/>
      <c r="AE16" s="399"/>
      <c r="AF16" s="390"/>
      <c r="AG16" s="391"/>
      <c r="AH16" s="391"/>
      <c r="AI16" s="391"/>
      <c r="AJ16" s="391"/>
      <c r="AK16" s="392"/>
      <c r="AL16" s="129" t="str">
        <f t="shared" si="1"/>
        <v/>
      </c>
      <c r="AM16" s="13"/>
      <c r="AN16" s="13"/>
      <c r="AO16" s="13"/>
      <c r="AP16" s="113" t="str">
        <f t="shared" si="2"/>
        <v/>
      </c>
      <c r="AQ16" s="113" t="e">
        <f t="shared" si="3"/>
        <v>#N/A</v>
      </c>
      <c r="AR16" s="114" t="e">
        <f t="shared" si="6"/>
        <v>#N/A</v>
      </c>
      <c r="AS16" s="112" t="e">
        <f t="shared" si="0"/>
        <v>#N/A</v>
      </c>
      <c r="AX16" s="10" t="s">
        <v>104</v>
      </c>
      <c r="AY16" s="10">
        <v>0.78500000000000003</v>
      </c>
      <c r="BA16" s="148" t="s">
        <v>169</v>
      </c>
      <c r="BB16" s="87">
        <v>0</v>
      </c>
      <c r="BC16" s="87">
        <v>0.28425</v>
      </c>
      <c r="BD16" s="87">
        <v>0.28425</v>
      </c>
      <c r="BE16" s="91">
        <f>AVERAGE(BD$10:BD16)</f>
        <v>0.41478571428571431</v>
      </c>
      <c r="BG16" s="148" t="s">
        <v>169</v>
      </c>
      <c r="BH16" s="148" t="s">
        <v>221</v>
      </c>
      <c r="BI16" s="10">
        <f t="shared" si="7"/>
        <v>168</v>
      </c>
      <c r="BJ16" s="87">
        <v>0.24758137500000002</v>
      </c>
      <c r="BK16" s="139">
        <f>AVERAGE(BJ$10:BJ16)</f>
        <v>0.38845855357142861</v>
      </c>
      <c r="BL16" s="10">
        <v>25</v>
      </c>
    </row>
    <row r="17" spans="1:70" s="10" customFormat="1" ht="15" customHeight="1">
      <c r="A17" s="9"/>
      <c r="B17" s="146">
        <f t="shared" si="4"/>
        <v>10</v>
      </c>
      <c r="C17" s="211"/>
      <c r="D17" s="211"/>
      <c r="E17" s="211"/>
      <c r="F17" s="211"/>
      <c r="G17" s="211"/>
      <c r="H17" s="211"/>
      <c r="I17" s="211"/>
      <c r="J17" s="211"/>
      <c r="K17" s="211"/>
      <c r="L17" s="390"/>
      <c r="M17" s="217"/>
      <c r="N17" s="115"/>
      <c r="O17" s="390"/>
      <c r="P17" s="217"/>
      <c r="Q17" s="211"/>
      <c r="R17" s="211"/>
      <c r="S17" s="211"/>
      <c r="T17" s="211"/>
      <c r="U17" s="211"/>
      <c r="V17" s="211"/>
      <c r="W17" s="211"/>
      <c r="X17" s="211"/>
      <c r="Y17" s="211"/>
      <c r="Z17" s="433"/>
      <c r="AA17" s="434"/>
      <c r="AB17" s="397" t="str">
        <f t="shared" si="5"/>
        <v/>
      </c>
      <c r="AC17" s="398"/>
      <c r="AD17" s="398"/>
      <c r="AE17" s="399"/>
      <c r="AF17" s="390"/>
      <c r="AG17" s="391"/>
      <c r="AH17" s="391"/>
      <c r="AI17" s="391"/>
      <c r="AJ17" s="391"/>
      <c r="AK17" s="392"/>
      <c r="AL17" s="129" t="str">
        <f t="shared" si="1"/>
        <v/>
      </c>
      <c r="AM17" s="9"/>
      <c r="AN17" s="9"/>
      <c r="AO17" s="9"/>
      <c r="AP17" s="113" t="str">
        <f t="shared" si="2"/>
        <v/>
      </c>
      <c r="AQ17" s="113" t="e">
        <f t="shared" si="3"/>
        <v>#N/A</v>
      </c>
      <c r="AR17" s="114" t="e">
        <f t="shared" si="6"/>
        <v>#N/A</v>
      </c>
      <c r="AS17" s="112" t="e">
        <f t="shared" si="0"/>
        <v>#N/A</v>
      </c>
      <c r="AX17" s="10" t="s">
        <v>103</v>
      </c>
      <c r="AY17" s="10">
        <v>0.79</v>
      </c>
      <c r="BA17" s="148" t="s">
        <v>172</v>
      </c>
      <c r="BB17" s="87">
        <v>8.8249999999999995E-2</v>
      </c>
      <c r="BC17" s="87">
        <v>0.26524999999999999</v>
      </c>
      <c r="BD17" s="87">
        <v>0.26524999999999999</v>
      </c>
      <c r="BE17" s="91">
        <f>AVERAGE(BD$10:BD17)</f>
        <v>0.39609375000000002</v>
      </c>
      <c r="BG17" s="148" t="s">
        <v>172</v>
      </c>
      <c r="BH17" s="148" t="s">
        <v>221</v>
      </c>
      <c r="BI17" s="10">
        <f t="shared" si="7"/>
        <v>192</v>
      </c>
      <c r="BJ17" s="87">
        <v>0.18655075000000002</v>
      </c>
      <c r="BK17" s="139">
        <f>AVERAGE(BJ$10:BJ17)</f>
        <v>0.36322007812500001</v>
      </c>
      <c r="BL17" s="10">
        <v>25</v>
      </c>
    </row>
    <row r="18" spans="1:70" s="10" customFormat="1" ht="15" customHeight="1">
      <c r="A18" s="9"/>
      <c r="B18" s="146">
        <f t="shared" si="4"/>
        <v>11</v>
      </c>
      <c r="C18" s="211"/>
      <c r="D18" s="211"/>
      <c r="E18" s="211"/>
      <c r="F18" s="211"/>
      <c r="G18" s="211"/>
      <c r="H18" s="211"/>
      <c r="I18" s="211"/>
      <c r="J18" s="211"/>
      <c r="K18" s="211"/>
      <c r="L18" s="390"/>
      <c r="M18" s="217"/>
      <c r="N18" s="115"/>
      <c r="O18" s="390"/>
      <c r="P18" s="217"/>
      <c r="Q18" s="211"/>
      <c r="R18" s="211"/>
      <c r="S18" s="211"/>
      <c r="T18" s="211"/>
      <c r="U18" s="211"/>
      <c r="V18" s="211"/>
      <c r="W18" s="211"/>
      <c r="X18" s="211"/>
      <c r="Y18" s="211"/>
      <c r="Z18" s="433"/>
      <c r="AA18" s="434"/>
      <c r="AB18" s="397" t="str">
        <f t="shared" si="5"/>
        <v/>
      </c>
      <c r="AC18" s="398"/>
      <c r="AD18" s="398"/>
      <c r="AE18" s="399"/>
      <c r="AF18" s="390"/>
      <c r="AG18" s="391"/>
      <c r="AH18" s="391"/>
      <c r="AI18" s="391"/>
      <c r="AJ18" s="391"/>
      <c r="AK18" s="392"/>
      <c r="AL18" s="129" t="str">
        <f t="shared" si="1"/>
        <v/>
      </c>
      <c r="AM18" s="13"/>
      <c r="AN18" s="13"/>
      <c r="AO18" s="13"/>
      <c r="AP18" s="113" t="str">
        <f t="shared" si="2"/>
        <v/>
      </c>
      <c r="AQ18" s="113" t="e">
        <f t="shared" si="3"/>
        <v>#N/A</v>
      </c>
      <c r="AR18" s="114" t="e">
        <f t="shared" si="6"/>
        <v>#N/A</v>
      </c>
      <c r="AS18" s="112" t="e">
        <f t="shared" si="0"/>
        <v>#N/A</v>
      </c>
      <c r="AX18" s="10" t="s">
        <v>102</v>
      </c>
      <c r="AY18" s="10">
        <v>0.79500000000000004</v>
      </c>
      <c r="BA18" s="148" t="s">
        <v>162</v>
      </c>
      <c r="BB18" s="87">
        <v>0.24475</v>
      </c>
      <c r="BC18" s="87">
        <v>9.9250000000000005E-2</v>
      </c>
      <c r="BD18" s="87">
        <v>0.24475</v>
      </c>
      <c r="BE18" s="91">
        <f>AVERAGE(BD$10:BD18)</f>
        <v>0.37927777777777777</v>
      </c>
      <c r="BG18" s="148" t="s">
        <v>162</v>
      </c>
      <c r="BH18" s="148" t="s">
        <v>220</v>
      </c>
      <c r="BI18" s="10">
        <f t="shared" si="7"/>
        <v>216</v>
      </c>
      <c r="BJ18" s="87">
        <v>0.15887162499999999</v>
      </c>
      <c r="BK18" s="139">
        <f>AVERAGE(BJ$10:BJ18)</f>
        <v>0.34051469444444449</v>
      </c>
      <c r="BL18" s="10">
        <v>22</v>
      </c>
    </row>
    <row r="19" spans="1:70" s="10" customFormat="1" ht="15" customHeight="1">
      <c r="A19" s="9"/>
      <c r="B19" s="146">
        <f t="shared" si="4"/>
        <v>12</v>
      </c>
      <c r="C19" s="211"/>
      <c r="D19" s="211"/>
      <c r="E19" s="211"/>
      <c r="F19" s="211"/>
      <c r="G19" s="211"/>
      <c r="H19" s="211"/>
      <c r="I19" s="211"/>
      <c r="J19" s="211"/>
      <c r="K19" s="211"/>
      <c r="L19" s="390"/>
      <c r="M19" s="217"/>
      <c r="N19" s="115"/>
      <c r="O19" s="390"/>
      <c r="P19" s="217"/>
      <c r="Q19" s="211"/>
      <c r="R19" s="211"/>
      <c r="S19" s="211"/>
      <c r="T19" s="211"/>
      <c r="U19" s="211"/>
      <c r="V19" s="211"/>
      <c r="W19" s="211"/>
      <c r="X19" s="211"/>
      <c r="Y19" s="211"/>
      <c r="Z19" s="433"/>
      <c r="AA19" s="434"/>
      <c r="AB19" s="397" t="str">
        <f t="shared" si="5"/>
        <v/>
      </c>
      <c r="AC19" s="398"/>
      <c r="AD19" s="398"/>
      <c r="AE19" s="399"/>
      <c r="AF19" s="390"/>
      <c r="AG19" s="391"/>
      <c r="AH19" s="391"/>
      <c r="AI19" s="391"/>
      <c r="AJ19" s="391"/>
      <c r="AK19" s="392"/>
      <c r="AL19" s="129" t="str">
        <f t="shared" si="1"/>
        <v/>
      </c>
      <c r="AM19" s="9"/>
      <c r="AN19" s="9"/>
      <c r="AO19" s="9"/>
      <c r="AP19" s="113" t="str">
        <f t="shared" si="2"/>
        <v/>
      </c>
      <c r="AQ19" s="113" t="e">
        <f t="shared" si="3"/>
        <v>#N/A</v>
      </c>
      <c r="AR19" s="114" t="e">
        <f t="shared" si="6"/>
        <v>#N/A</v>
      </c>
      <c r="AS19" s="112" t="e">
        <f t="shared" si="0"/>
        <v>#N/A</v>
      </c>
      <c r="AX19" s="10" t="s">
        <v>101</v>
      </c>
      <c r="AY19" s="10">
        <v>0.8</v>
      </c>
      <c r="BA19" s="148" t="s">
        <v>167</v>
      </c>
      <c r="BB19" s="87">
        <v>0.20774999999999999</v>
      </c>
      <c r="BC19" s="87">
        <v>6.3750000000000001E-2</v>
      </c>
      <c r="BD19" s="87">
        <v>0.20774999999999999</v>
      </c>
      <c r="BE19" s="91">
        <f>AVERAGE(BD$10:BD19)</f>
        <v>0.36212499999999997</v>
      </c>
      <c r="BG19" s="148" t="s">
        <v>167</v>
      </c>
      <c r="BH19" s="148" t="s">
        <v>220</v>
      </c>
      <c r="BI19" s="10">
        <f t="shared" si="7"/>
        <v>240</v>
      </c>
      <c r="BJ19" s="87">
        <v>0.10243987499999999</v>
      </c>
      <c r="BK19" s="139">
        <f>AVERAGE(BJ$10:BJ19)</f>
        <v>0.3167072125</v>
      </c>
      <c r="BL19" s="10">
        <v>26</v>
      </c>
    </row>
    <row r="20" spans="1:70" s="10" customFormat="1" ht="15" customHeight="1">
      <c r="A20" s="9"/>
      <c r="B20" s="146">
        <f t="shared" si="4"/>
        <v>13</v>
      </c>
      <c r="C20" s="211"/>
      <c r="D20" s="211"/>
      <c r="E20" s="211"/>
      <c r="F20" s="211"/>
      <c r="G20" s="211"/>
      <c r="H20" s="211"/>
      <c r="I20" s="211"/>
      <c r="J20" s="211"/>
      <c r="K20" s="211"/>
      <c r="L20" s="390"/>
      <c r="M20" s="217"/>
      <c r="N20" s="115"/>
      <c r="O20" s="390"/>
      <c r="P20" s="217"/>
      <c r="Q20" s="211"/>
      <c r="R20" s="211"/>
      <c r="S20" s="211"/>
      <c r="T20" s="211"/>
      <c r="U20" s="211"/>
      <c r="V20" s="211"/>
      <c r="W20" s="211"/>
      <c r="X20" s="211"/>
      <c r="Y20" s="211"/>
      <c r="Z20" s="433"/>
      <c r="AA20" s="434"/>
      <c r="AB20" s="397" t="str">
        <f t="shared" si="5"/>
        <v/>
      </c>
      <c r="AC20" s="398"/>
      <c r="AD20" s="398"/>
      <c r="AE20" s="399"/>
      <c r="AF20" s="390"/>
      <c r="AG20" s="391"/>
      <c r="AH20" s="391"/>
      <c r="AI20" s="391"/>
      <c r="AJ20" s="391"/>
      <c r="AK20" s="392"/>
      <c r="AL20" s="129" t="str">
        <f t="shared" si="1"/>
        <v/>
      </c>
      <c r="AM20" s="13"/>
      <c r="AN20" s="13"/>
      <c r="AO20" s="13"/>
      <c r="AP20" s="113" t="str">
        <f t="shared" si="2"/>
        <v/>
      </c>
      <c r="AQ20" s="113" t="e">
        <f t="shared" si="3"/>
        <v>#N/A</v>
      </c>
      <c r="AR20" s="114" t="e">
        <f t="shared" si="6"/>
        <v>#N/A</v>
      </c>
      <c r="AS20" s="112" t="e">
        <f t="shared" si="0"/>
        <v>#N/A</v>
      </c>
      <c r="AX20" s="10" t="s">
        <v>100</v>
      </c>
      <c r="AY20" s="10">
        <v>0.80500000000000005</v>
      </c>
      <c r="BA20" s="148" t="s">
        <v>168</v>
      </c>
      <c r="BB20" s="87">
        <v>0.12975000000000003</v>
      </c>
      <c r="BC20" s="87">
        <v>0.15925</v>
      </c>
      <c r="BD20" s="87">
        <v>0.15925</v>
      </c>
      <c r="BE20" s="91">
        <f>AVERAGE(BD$10:BD20)</f>
        <v>0.3436818181818182</v>
      </c>
      <c r="BG20" s="148" t="s">
        <v>168</v>
      </c>
      <c r="BH20" s="148" t="s">
        <v>221</v>
      </c>
      <c r="BI20" s="10">
        <f t="shared" si="7"/>
        <v>264</v>
      </c>
      <c r="BJ20" s="87">
        <v>6.8722875000000003E-2</v>
      </c>
      <c r="BK20" s="139">
        <f>AVERAGE(BJ$10:BJ20)</f>
        <v>0.29416318181818185</v>
      </c>
      <c r="BL20" s="10">
        <v>25</v>
      </c>
    </row>
    <row r="21" spans="1:70" s="10" customFormat="1" ht="15" customHeight="1">
      <c r="A21" s="9"/>
      <c r="B21" s="146">
        <f t="shared" si="4"/>
        <v>14</v>
      </c>
      <c r="C21" s="211"/>
      <c r="D21" s="211"/>
      <c r="E21" s="211"/>
      <c r="F21" s="211"/>
      <c r="G21" s="211"/>
      <c r="H21" s="211"/>
      <c r="I21" s="211"/>
      <c r="J21" s="211"/>
      <c r="K21" s="211"/>
      <c r="L21" s="390"/>
      <c r="M21" s="217"/>
      <c r="N21" s="115"/>
      <c r="O21" s="390"/>
      <c r="P21" s="217"/>
      <c r="Q21" s="211"/>
      <c r="R21" s="211"/>
      <c r="S21" s="211"/>
      <c r="T21" s="211"/>
      <c r="U21" s="211"/>
      <c r="V21" s="211"/>
      <c r="W21" s="211"/>
      <c r="X21" s="211"/>
      <c r="Y21" s="211"/>
      <c r="Z21" s="433"/>
      <c r="AA21" s="434"/>
      <c r="AB21" s="397" t="str">
        <f t="shared" si="5"/>
        <v/>
      </c>
      <c r="AC21" s="398"/>
      <c r="AD21" s="398"/>
      <c r="AE21" s="399"/>
      <c r="AF21" s="390"/>
      <c r="AG21" s="391"/>
      <c r="AH21" s="391"/>
      <c r="AI21" s="391"/>
      <c r="AJ21" s="391"/>
      <c r="AK21" s="392"/>
      <c r="AL21" s="129" t="str">
        <f t="shared" si="1"/>
        <v/>
      </c>
      <c r="AM21" s="9"/>
      <c r="AN21" s="9"/>
      <c r="AO21" s="9"/>
      <c r="AP21" s="113" t="str">
        <f t="shared" si="2"/>
        <v/>
      </c>
      <c r="AQ21" s="113" t="e">
        <f t="shared" si="3"/>
        <v>#N/A</v>
      </c>
      <c r="AR21" s="114" t="e">
        <f t="shared" si="6"/>
        <v>#N/A</v>
      </c>
      <c r="AS21" s="112" t="e">
        <f t="shared" si="0"/>
        <v>#N/A</v>
      </c>
      <c r="AX21" s="10" t="s">
        <v>99</v>
      </c>
      <c r="AY21" s="10">
        <v>0.81</v>
      </c>
      <c r="BA21" s="148" t="s">
        <v>186</v>
      </c>
      <c r="BB21" s="87">
        <v>0.15200000000000002</v>
      </c>
      <c r="BC21" s="87">
        <v>0.13724999999999998</v>
      </c>
      <c r="BD21" s="87">
        <v>0.15200000000000002</v>
      </c>
      <c r="BE21" s="91">
        <f>AVERAGE(BD$10:BD21)</f>
        <v>0.32770833333333332</v>
      </c>
      <c r="BG21" s="148" t="s">
        <v>186</v>
      </c>
      <c r="BH21" s="148" t="s">
        <v>220</v>
      </c>
      <c r="BI21" s="10">
        <f t="shared" si="7"/>
        <v>288</v>
      </c>
      <c r="BJ21" s="87">
        <v>4.6761500000000011E-2</v>
      </c>
      <c r="BK21" s="139">
        <f>AVERAGE(BJ$10:BJ21)</f>
        <v>0.27354637500000006</v>
      </c>
      <c r="BL21" s="10">
        <v>25</v>
      </c>
    </row>
    <row r="22" spans="1:70" s="10" customFormat="1" ht="15" customHeight="1">
      <c r="A22" s="9"/>
      <c r="B22" s="146">
        <f t="shared" si="4"/>
        <v>15</v>
      </c>
      <c r="C22" s="211"/>
      <c r="D22" s="211"/>
      <c r="E22" s="211"/>
      <c r="F22" s="211"/>
      <c r="G22" s="211"/>
      <c r="H22" s="211"/>
      <c r="I22" s="211"/>
      <c r="J22" s="211"/>
      <c r="K22" s="211"/>
      <c r="L22" s="390"/>
      <c r="M22" s="217"/>
      <c r="N22" s="115"/>
      <c r="O22" s="390"/>
      <c r="P22" s="217"/>
      <c r="Q22" s="211"/>
      <c r="R22" s="211"/>
      <c r="S22" s="211"/>
      <c r="T22" s="211"/>
      <c r="U22" s="211"/>
      <c r="V22" s="211"/>
      <c r="W22" s="211"/>
      <c r="X22" s="211"/>
      <c r="Y22" s="211"/>
      <c r="Z22" s="433"/>
      <c r="AA22" s="434"/>
      <c r="AB22" s="397" t="str">
        <f t="shared" si="5"/>
        <v/>
      </c>
      <c r="AC22" s="398"/>
      <c r="AD22" s="398"/>
      <c r="AE22" s="399"/>
      <c r="AF22" s="390"/>
      <c r="AG22" s="391"/>
      <c r="AH22" s="391"/>
      <c r="AI22" s="391"/>
      <c r="AJ22" s="391"/>
      <c r="AK22" s="392"/>
      <c r="AL22" s="129" t="str">
        <f t="shared" si="1"/>
        <v/>
      </c>
      <c r="AM22" s="13"/>
      <c r="AN22" s="13"/>
      <c r="AO22" s="13"/>
      <c r="AP22" s="113" t="str">
        <f t="shared" si="2"/>
        <v/>
      </c>
      <c r="AQ22" s="113" t="e">
        <f t="shared" si="3"/>
        <v>#N/A</v>
      </c>
      <c r="AR22" s="114" t="e">
        <f t="shared" si="6"/>
        <v>#N/A</v>
      </c>
      <c r="AS22" s="112" t="e">
        <f t="shared" si="0"/>
        <v>#N/A</v>
      </c>
      <c r="AX22" s="10" t="s">
        <v>98</v>
      </c>
      <c r="AY22" s="10">
        <v>0.81499999999999995</v>
      </c>
      <c r="BA22" s="148" t="s">
        <v>181</v>
      </c>
      <c r="BB22" s="87">
        <f>_xlfn.AGGREGATE(1,5,BB10:BB21)</f>
        <v>0.2265625</v>
      </c>
      <c r="BC22" s="87">
        <f>_xlfn.AGGREGATE(1,5,BC10:BC21)</f>
        <v>0.14433333333333331</v>
      </c>
      <c r="BD22" s="87">
        <f>_xlfn.AGGREGATE(1,5,BD10:BD21)</f>
        <v>0.32770833333333332</v>
      </c>
      <c r="BG22" s="148" t="s">
        <v>181</v>
      </c>
      <c r="BI22" s="111">
        <f>_xlfn.AGGREGATE(1,5,BI10:BI21)</f>
        <v>156</v>
      </c>
      <c r="BJ22" s="87">
        <f>_xlfn.AGGREGATE(1,5,BJ10:BJ21)</f>
        <v>0.27354637500000006</v>
      </c>
      <c r="BL22" s="111">
        <f>SUM(BL10:BL21)</f>
        <v>291</v>
      </c>
    </row>
    <row r="23" spans="1:70" s="10" customFormat="1" ht="15" customHeight="1">
      <c r="A23" s="9"/>
      <c r="B23" s="146">
        <f t="shared" si="4"/>
        <v>16</v>
      </c>
      <c r="C23" s="211"/>
      <c r="D23" s="211"/>
      <c r="E23" s="211"/>
      <c r="F23" s="211"/>
      <c r="G23" s="211"/>
      <c r="H23" s="211"/>
      <c r="I23" s="211"/>
      <c r="J23" s="211"/>
      <c r="K23" s="211"/>
      <c r="L23" s="390"/>
      <c r="M23" s="217"/>
      <c r="N23" s="115"/>
      <c r="O23" s="390"/>
      <c r="P23" s="217"/>
      <c r="Q23" s="211"/>
      <c r="R23" s="211"/>
      <c r="S23" s="211"/>
      <c r="T23" s="211"/>
      <c r="U23" s="211"/>
      <c r="V23" s="211"/>
      <c r="W23" s="211"/>
      <c r="X23" s="211"/>
      <c r="Y23" s="211"/>
      <c r="Z23" s="433"/>
      <c r="AA23" s="434"/>
      <c r="AB23" s="397" t="str">
        <f t="shared" si="5"/>
        <v/>
      </c>
      <c r="AC23" s="398"/>
      <c r="AD23" s="398"/>
      <c r="AE23" s="399"/>
      <c r="AF23" s="390"/>
      <c r="AG23" s="391"/>
      <c r="AH23" s="391"/>
      <c r="AI23" s="391"/>
      <c r="AJ23" s="391"/>
      <c r="AK23" s="392"/>
      <c r="AL23" s="129" t="str">
        <f t="shared" si="1"/>
        <v/>
      </c>
      <c r="AM23" s="9"/>
      <c r="AN23" s="9"/>
      <c r="AO23" s="9"/>
      <c r="AP23" s="113" t="str">
        <f t="shared" si="2"/>
        <v/>
      </c>
      <c r="AQ23" s="113" t="e">
        <f t="shared" si="3"/>
        <v>#N/A</v>
      </c>
      <c r="AR23" s="114" t="e">
        <f t="shared" si="6"/>
        <v>#N/A</v>
      </c>
      <c r="AS23" s="112" t="e">
        <f t="shared" si="0"/>
        <v>#N/A</v>
      </c>
      <c r="AX23" s="10" t="s">
        <v>97</v>
      </c>
      <c r="AY23" s="10">
        <v>0.82</v>
      </c>
    </row>
    <row r="24" spans="1:70" s="10" customFormat="1" ht="15" customHeight="1">
      <c r="A24" s="9"/>
      <c r="B24" s="146">
        <f t="shared" si="4"/>
        <v>17</v>
      </c>
      <c r="C24" s="211"/>
      <c r="D24" s="211"/>
      <c r="E24" s="211"/>
      <c r="F24" s="211"/>
      <c r="G24" s="211"/>
      <c r="H24" s="211"/>
      <c r="I24" s="211"/>
      <c r="J24" s="211"/>
      <c r="K24" s="211"/>
      <c r="L24" s="390"/>
      <c r="M24" s="217"/>
      <c r="N24" s="115"/>
      <c r="O24" s="390"/>
      <c r="P24" s="217"/>
      <c r="Q24" s="211"/>
      <c r="R24" s="211"/>
      <c r="S24" s="211"/>
      <c r="T24" s="211"/>
      <c r="U24" s="211"/>
      <c r="V24" s="211"/>
      <c r="W24" s="211"/>
      <c r="X24" s="211"/>
      <c r="Y24" s="211"/>
      <c r="Z24" s="433"/>
      <c r="AA24" s="434"/>
      <c r="AB24" s="397" t="str">
        <f t="shared" si="5"/>
        <v/>
      </c>
      <c r="AC24" s="398"/>
      <c r="AD24" s="398"/>
      <c r="AE24" s="399"/>
      <c r="AF24" s="390"/>
      <c r="AG24" s="391"/>
      <c r="AH24" s="391"/>
      <c r="AI24" s="391"/>
      <c r="AJ24" s="391"/>
      <c r="AK24" s="392"/>
      <c r="AL24" s="129" t="str">
        <f t="shared" si="1"/>
        <v/>
      </c>
      <c r="AM24" s="13"/>
      <c r="AN24" s="13"/>
      <c r="AO24" s="9"/>
      <c r="AP24" s="113" t="str">
        <f t="shared" si="2"/>
        <v/>
      </c>
      <c r="AQ24" s="113" t="e">
        <f t="shared" si="3"/>
        <v>#N/A</v>
      </c>
      <c r="AR24" s="114" t="e">
        <f t="shared" si="6"/>
        <v>#N/A</v>
      </c>
      <c r="AS24" s="112" t="e">
        <f t="shared" si="0"/>
        <v>#N/A</v>
      </c>
      <c r="AX24" s="10" t="s">
        <v>96</v>
      </c>
      <c r="AY24" s="10">
        <v>0.82499999999999996</v>
      </c>
    </row>
    <row r="25" spans="1:70" s="10" customFormat="1" ht="15" customHeight="1">
      <c r="A25" s="9"/>
      <c r="B25" s="146">
        <f t="shared" si="4"/>
        <v>18</v>
      </c>
      <c r="C25" s="211"/>
      <c r="D25" s="211"/>
      <c r="E25" s="211"/>
      <c r="F25" s="211"/>
      <c r="G25" s="211"/>
      <c r="H25" s="211"/>
      <c r="I25" s="211"/>
      <c r="J25" s="211"/>
      <c r="K25" s="211"/>
      <c r="L25" s="390"/>
      <c r="M25" s="217"/>
      <c r="N25" s="115"/>
      <c r="O25" s="390"/>
      <c r="P25" s="217"/>
      <c r="Q25" s="211"/>
      <c r="R25" s="211"/>
      <c r="S25" s="211"/>
      <c r="T25" s="211"/>
      <c r="U25" s="211"/>
      <c r="V25" s="211"/>
      <c r="W25" s="211"/>
      <c r="X25" s="211"/>
      <c r="Y25" s="211"/>
      <c r="Z25" s="433"/>
      <c r="AA25" s="434"/>
      <c r="AB25" s="397" t="str">
        <f t="shared" si="5"/>
        <v/>
      </c>
      <c r="AC25" s="398"/>
      <c r="AD25" s="398"/>
      <c r="AE25" s="399"/>
      <c r="AF25" s="390"/>
      <c r="AG25" s="391"/>
      <c r="AH25" s="391"/>
      <c r="AI25" s="391"/>
      <c r="AJ25" s="391"/>
      <c r="AK25" s="392"/>
      <c r="AL25" s="129" t="str">
        <f t="shared" si="1"/>
        <v/>
      </c>
      <c r="AM25" s="13"/>
      <c r="AN25" s="13"/>
      <c r="AO25" s="9"/>
      <c r="AP25" s="113" t="str">
        <f t="shared" si="2"/>
        <v/>
      </c>
      <c r="AQ25" s="113" t="e">
        <f t="shared" si="3"/>
        <v>#N/A</v>
      </c>
      <c r="AR25" s="114" t="e">
        <f t="shared" si="6"/>
        <v>#N/A</v>
      </c>
      <c r="AS25" s="112" t="e">
        <f t="shared" si="0"/>
        <v>#N/A</v>
      </c>
      <c r="AX25" s="10" t="s">
        <v>95</v>
      </c>
      <c r="AY25" s="10">
        <v>0.83</v>
      </c>
      <c r="BD25" s="10" t="s">
        <v>238</v>
      </c>
      <c r="BN25" s="10" t="s">
        <v>211</v>
      </c>
    </row>
    <row r="26" spans="1:70" s="10" customFormat="1" ht="15" customHeight="1">
      <c r="A26" s="9"/>
      <c r="B26" s="146">
        <f t="shared" si="4"/>
        <v>19</v>
      </c>
      <c r="C26" s="211"/>
      <c r="D26" s="211"/>
      <c r="E26" s="211"/>
      <c r="F26" s="211"/>
      <c r="G26" s="211"/>
      <c r="H26" s="211"/>
      <c r="I26" s="211"/>
      <c r="J26" s="211"/>
      <c r="K26" s="211"/>
      <c r="L26" s="390"/>
      <c r="M26" s="217"/>
      <c r="N26" s="115"/>
      <c r="O26" s="390"/>
      <c r="P26" s="217"/>
      <c r="Q26" s="211"/>
      <c r="R26" s="211"/>
      <c r="S26" s="211"/>
      <c r="T26" s="211"/>
      <c r="U26" s="211"/>
      <c r="V26" s="211"/>
      <c r="W26" s="211"/>
      <c r="X26" s="211"/>
      <c r="Y26" s="211"/>
      <c r="Z26" s="433"/>
      <c r="AA26" s="434"/>
      <c r="AB26" s="397" t="str">
        <f t="shared" si="5"/>
        <v/>
      </c>
      <c r="AC26" s="398"/>
      <c r="AD26" s="398"/>
      <c r="AE26" s="399"/>
      <c r="AF26" s="390"/>
      <c r="AG26" s="391"/>
      <c r="AH26" s="391"/>
      <c r="AI26" s="391"/>
      <c r="AJ26" s="391"/>
      <c r="AK26" s="392"/>
      <c r="AL26" s="129" t="str">
        <f t="shared" si="1"/>
        <v/>
      </c>
      <c r="AM26" s="13"/>
      <c r="AN26" s="13"/>
      <c r="AO26" s="9"/>
      <c r="AP26" s="113" t="str">
        <f t="shared" si="2"/>
        <v/>
      </c>
      <c r="AQ26" s="113" t="e">
        <f t="shared" si="3"/>
        <v>#N/A</v>
      </c>
      <c r="AR26" s="114" t="e">
        <f t="shared" si="6"/>
        <v>#N/A</v>
      </c>
      <c r="AS26" s="112" t="e">
        <f t="shared" si="0"/>
        <v>#N/A</v>
      </c>
      <c r="AX26" s="10" t="s">
        <v>94</v>
      </c>
      <c r="AY26" s="10">
        <v>0.83499999999999996</v>
      </c>
      <c r="BC26" s="10" t="s">
        <v>209</v>
      </c>
      <c r="BD26" s="10" t="s">
        <v>196</v>
      </c>
      <c r="BI26" s="10" t="s">
        <v>213</v>
      </c>
      <c r="BO26" s="10" t="s">
        <v>196</v>
      </c>
      <c r="BQ26" s="10" t="s">
        <v>197</v>
      </c>
    </row>
    <row r="27" spans="1:70" s="10" customFormat="1" ht="15" customHeight="1">
      <c r="A27" s="9"/>
      <c r="B27" s="146">
        <f t="shared" si="4"/>
        <v>20</v>
      </c>
      <c r="C27" s="211"/>
      <c r="D27" s="211"/>
      <c r="E27" s="211"/>
      <c r="F27" s="211"/>
      <c r="G27" s="211"/>
      <c r="H27" s="211"/>
      <c r="I27" s="211"/>
      <c r="J27" s="211"/>
      <c r="K27" s="211"/>
      <c r="L27" s="390"/>
      <c r="M27" s="217"/>
      <c r="N27" s="115"/>
      <c r="O27" s="390"/>
      <c r="P27" s="217"/>
      <c r="Q27" s="211"/>
      <c r="R27" s="211"/>
      <c r="S27" s="211"/>
      <c r="T27" s="211"/>
      <c r="U27" s="211"/>
      <c r="V27" s="211"/>
      <c r="W27" s="211"/>
      <c r="X27" s="211"/>
      <c r="Y27" s="211"/>
      <c r="Z27" s="433"/>
      <c r="AA27" s="434"/>
      <c r="AB27" s="397" t="str">
        <f t="shared" si="5"/>
        <v/>
      </c>
      <c r="AC27" s="398"/>
      <c r="AD27" s="398"/>
      <c r="AE27" s="399"/>
      <c r="AF27" s="390"/>
      <c r="AG27" s="391"/>
      <c r="AH27" s="391"/>
      <c r="AI27" s="391"/>
      <c r="AJ27" s="391"/>
      <c r="AK27" s="392"/>
      <c r="AL27" s="129" t="str">
        <f t="shared" si="1"/>
        <v/>
      </c>
      <c r="AM27" s="13"/>
      <c r="AN27" s="13"/>
      <c r="AO27" s="9"/>
      <c r="AP27" s="113" t="str">
        <f t="shared" si="2"/>
        <v/>
      </c>
      <c r="AQ27" s="113" t="e">
        <f t="shared" si="3"/>
        <v>#N/A</v>
      </c>
      <c r="AR27" s="114" t="e">
        <f t="shared" si="6"/>
        <v>#N/A</v>
      </c>
      <c r="AS27" s="112" t="e">
        <f t="shared" si="0"/>
        <v>#N/A</v>
      </c>
      <c r="AX27" s="10" t="s">
        <v>93</v>
      </c>
      <c r="AY27" s="10">
        <v>0.84</v>
      </c>
      <c r="BD27" s="10" t="s">
        <v>156</v>
      </c>
      <c r="BE27" s="10" t="s">
        <v>158</v>
      </c>
      <c r="BF27" s="10" t="s">
        <v>156</v>
      </c>
      <c r="BG27" s="10" t="s">
        <v>158</v>
      </c>
      <c r="BH27" s="140" t="s">
        <v>223</v>
      </c>
      <c r="BI27" s="10" t="s">
        <v>156</v>
      </c>
      <c r="BJ27" s="10" t="s">
        <v>158</v>
      </c>
      <c r="BK27" s="10" t="s">
        <v>156</v>
      </c>
      <c r="BL27" s="10" t="s">
        <v>158</v>
      </c>
      <c r="BM27" s="140" t="s">
        <v>223</v>
      </c>
      <c r="BO27" s="10" t="s">
        <v>156</v>
      </c>
      <c r="BP27" s="10" t="s">
        <v>158</v>
      </c>
      <c r="BQ27" s="10" t="s">
        <v>156</v>
      </c>
      <c r="BR27" s="10" t="s">
        <v>158</v>
      </c>
    </row>
    <row r="28" spans="1:70" s="10" customFormat="1" ht="15" customHeight="1">
      <c r="A28" s="9"/>
      <c r="B28" s="146">
        <f t="shared" si="4"/>
        <v>21</v>
      </c>
      <c r="C28" s="211"/>
      <c r="D28" s="211"/>
      <c r="E28" s="211"/>
      <c r="F28" s="211"/>
      <c r="G28" s="211"/>
      <c r="H28" s="211"/>
      <c r="I28" s="211"/>
      <c r="J28" s="211"/>
      <c r="K28" s="211"/>
      <c r="L28" s="390"/>
      <c r="M28" s="217"/>
      <c r="N28" s="115"/>
      <c r="O28" s="390"/>
      <c r="P28" s="217"/>
      <c r="Q28" s="211"/>
      <c r="R28" s="211"/>
      <c r="S28" s="211"/>
      <c r="T28" s="211"/>
      <c r="U28" s="211"/>
      <c r="V28" s="211"/>
      <c r="W28" s="211"/>
      <c r="X28" s="211"/>
      <c r="Y28" s="211"/>
      <c r="Z28" s="433"/>
      <c r="AA28" s="434"/>
      <c r="AB28" s="397" t="str">
        <f t="shared" si="5"/>
        <v/>
      </c>
      <c r="AC28" s="398"/>
      <c r="AD28" s="398"/>
      <c r="AE28" s="399"/>
      <c r="AF28" s="390"/>
      <c r="AG28" s="391"/>
      <c r="AH28" s="391"/>
      <c r="AI28" s="391"/>
      <c r="AJ28" s="391"/>
      <c r="AK28" s="392"/>
      <c r="AL28" s="129" t="str">
        <f t="shared" si="1"/>
        <v/>
      </c>
      <c r="AM28" s="13"/>
      <c r="AN28" s="13"/>
      <c r="AO28" s="9"/>
      <c r="AP28" s="113" t="str">
        <f t="shared" si="2"/>
        <v/>
      </c>
      <c r="AQ28" s="113" t="e">
        <f t="shared" si="3"/>
        <v>#N/A</v>
      </c>
      <c r="AR28" s="114" t="e">
        <f t="shared" si="6"/>
        <v>#N/A</v>
      </c>
      <c r="AS28" s="112" t="e">
        <f t="shared" si="0"/>
        <v>#N/A</v>
      </c>
      <c r="AX28" s="10" t="s">
        <v>92</v>
      </c>
      <c r="AY28" s="10">
        <v>0.84499999999999997</v>
      </c>
      <c r="BD28" s="10" t="s">
        <v>202</v>
      </c>
      <c r="BE28" s="10" t="s">
        <v>202</v>
      </c>
      <c r="BF28" s="10" t="s">
        <v>203</v>
      </c>
      <c r="BG28" s="10" t="s">
        <v>203</v>
      </c>
      <c r="BH28" s="141" t="s">
        <v>203</v>
      </c>
      <c r="BI28" s="10" t="s">
        <v>202</v>
      </c>
      <c r="BJ28" s="10" t="s">
        <v>202</v>
      </c>
      <c r="BK28" s="10" t="s">
        <v>203</v>
      </c>
      <c r="BL28" s="10" t="s">
        <v>203</v>
      </c>
      <c r="BM28" s="141" t="s">
        <v>203</v>
      </c>
      <c r="BO28" s="10" t="s">
        <v>202</v>
      </c>
      <c r="BP28" s="10" t="s">
        <v>203</v>
      </c>
      <c r="BQ28" s="10" t="s">
        <v>202</v>
      </c>
      <c r="BR28" s="10" t="s">
        <v>203</v>
      </c>
    </row>
    <row r="29" spans="1:70" s="10" customFormat="1" ht="15" customHeight="1">
      <c r="A29" s="9"/>
      <c r="B29" s="146">
        <f t="shared" si="4"/>
        <v>22</v>
      </c>
      <c r="C29" s="211"/>
      <c r="D29" s="211"/>
      <c r="E29" s="211"/>
      <c r="F29" s="211"/>
      <c r="G29" s="211"/>
      <c r="H29" s="211"/>
      <c r="I29" s="211"/>
      <c r="J29" s="211"/>
      <c r="K29" s="211"/>
      <c r="L29" s="390"/>
      <c r="M29" s="217"/>
      <c r="N29" s="115"/>
      <c r="O29" s="390"/>
      <c r="P29" s="217"/>
      <c r="Q29" s="211"/>
      <c r="R29" s="211"/>
      <c r="S29" s="211"/>
      <c r="T29" s="211"/>
      <c r="U29" s="211"/>
      <c r="V29" s="211"/>
      <c r="W29" s="211"/>
      <c r="X29" s="211"/>
      <c r="Y29" s="211"/>
      <c r="Z29" s="433"/>
      <c r="AA29" s="434"/>
      <c r="AB29" s="397" t="str">
        <f t="shared" si="5"/>
        <v/>
      </c>
      <c r="AC29" s="398"/>
      <c r="AD29" s="398"/>
      <c r="AE29" s="399"/>
      <c r="AF29" s="390"/>
      <c r="AG29" s="391"/>
      <c r="AH29" s="391"/>
      <c r="AI29" s="391"/>
      <c r="AJ29" s="391"/>
      <c r="AK29" s="392"/>
      <c r="AL29" s="129" t="str">
        <f t="shared" si="1"/>
        <v/>
      </c>
      <c r="AM29" s="13"/>
      <c r="AN29" s="13"/>
      <c r="AO29" s="9"/>
      <c r="AP29" s="113" t="str">
        <f t="shared" si="2"/>
        <v/>
      </c>
      <c r="AQ29" s="113" t="e">
        <f t="shared" si="3"/>
        <v>#N/A</v>
      </c>
      <c r="AR29" s="114" t="e">
        <f t="shared" si="6"/>
        <v>#N/A</v>
      </c>
      <c r="AS29" s="112" t="e">
        <f t="shared" si="0"/>
        <v>#N/A</v>
      </c>
      <c r="AX29" s="10" t="s">
        <v>91</v>
      </c>
      <c r="AY29" s="10">
        <v>0.85</v>
      </c>
      <c r="BB29" s="10" t="s">
        <v>215</v>
      </c>
      <c r="BC29" s="10">
        <v>1995</v>
      </c>
      <c r="BD29" s="10">
        <v>1.05</v>
      </c>
      <c r="BE29" s="109">
        <v>1.0416666666666667</v>
      </c>
      <c r="BF29" s="109">
        <v>0.03</v>
      </c>
      <c r="BG29" s="109">
        <v>0.15</v>
      </c>
      <c r="BH29" s="142">
        <f>(BF29+BG29)/2</f>
        <v>0.09</v>
      </c>
      <c r="BI29" s="109">
        <v>0.7</v>
      </c>
      <c r="BJ29" s="109">
        <v>0.64</v>
      </c>
      <c r="BK29" s="109">
        <v>0.95499999999999996</v>
      </c>
      <c r="BL29" s="109">
        <v>0.86</v>
      </c>
      <c r="BM29" s="142">
        <f>(BK29+BL29)/2</f>
        <v>0.90749999999999997</v>
      </c>
      <c r="BO29" s="10">
        <v>0.25</v>
      </c>
      <c r="BP29" s="10">
        <v>0.25</v>
      </c>
      <c r="BQ29" s="10">
        <v>0.75</v>
      </c>
      <c r="BR29" s="10">
        <v>0.75</v>
      </c>
    </row>
    <row r="30" spans="1:70" s="10" customFormat="1" ht="15" customHeight="1">
      <c r="A30" s="9"/>
      <c r="B30" s="146">
        <f t="shared" si="4"/>
        <v>23</v>
      </c>
      <c r="C30" s="211"/>
      <c r="D30" s="211"/>
      <c r="E30" s="211"/>
      <c r="F30" s="211"/>
      <c r="G30" s="211"/>
      <c r="H30" s="211"/>
      <c r="I30" s="211"/>
      <c r="J30" s="211"/>
      <c r="K30" s="211"/>
      <c r="L30" s="390"/>
      <c r="M30" s="217"/>
      <c r="N30" s="115"/>
      <c r="O30" s="390"/>
      <c r="P30" s="217"/>
      <c r="Q30" s="211"/>
      <c r="R30" s="211"/>
      <c r="S30" s="211"/>
      <c r="T30" s="211"/>
      <c r="U30" s="211"/>
      <c r="V30" s="211"/>
      <c r="W30" s="211"/>
      <c r="X30" s="211"/>
      <c r="Y30" s="211"/>
      <c r="Z30" s="433"/>
      <c r="AA30" s="434"/>
      <c r="AB30" s="397" t="str">
        <f t="shared" si="5"/>
        <v/>
      </c>
      <c r="AC30" s="398"/>
      <c r="AD30" s="398"/>
      <c r="AE30" s="399"/>
      <c r="AF30" s="390"/>
      <c r="AG30" s="391"/>
      <c r="AH30" s="391"/>
      <c r="AI30" s="391"/>
      <c r="AJ30" s="391"/>
      <c r="AK30" s="392"/>
      <c r="AL30" s="129" t="str">
        <f t="shared" si="1"/>
        <v/>
      </c>
      <c r="AM30" s="13"/>
      <c r="AN30" s="13"/>
      <c r="AO30" s="9"/>
      <c r="AP30" s="113" t="str">
        <f t="shared" si="2"/>
        <v/>
      </c>
      <c r="AQ30" s="113" t="e">
        <f t="shared" si="3"/>
        <v>#N/A</v>
      </c>
      <c r="AR30" s="114" t="e">
        <f t="shared" si="6"/>
        <v>#N/A</v>
      </c>
      <c r="AS30" s="112" t="e">
        <f t="shared" si="0"/>
        <v>#N/A</v>
      </c>
      <c r="AX30" s="10" t="s">
        <v>90</v>
      </c>
      <c r="AY30" s="10">
        <v>0.85499999999999998</v>
      </c>
      <c r="BB30" s="10" t="s">
        <v>84</v>
      </c>
      <c r="BC30" s="10">
        <v>1996</v>
      </c>
      <c r="BD30" s="10">
        <v>1.05</v>
      </c>
      <c r="BE30" s="109">
        <v>1.0416666666666667</v>
      </c>
      <c r="BF30" s="109">
        <v>-4.9875000000000003E-2</v>
      </c>
      <c r="BG30" s="109">
        <v>7.4999999999999997E-2</v>
      </c>
      <c r="BH30" s="142">
        <f t="shared" ref="BH30:BH53" si="8">(BF30+BG30)/2</f>
        <v>1.2562499999999997E-2</v>
      </c>
      <c r="BI30" s="109">
        <v>0.76100000000000001</v>
      </c>
      <c r="BJ30" s="109">
        <v>0.69550000000000001</v>
      </c>
      <c r="BK30" s="109">
        <v>1.0365</v>
      </c>
      <c r="BL30" s="109">
        <v>0.9345</v>
      </c>
      <c r="BM30" s="142">
        <f t="shared" ref="BM30:BM53" si="9">(BK30+BL30)/2</f>
        <v>0.98550000000000004</v>
      </c>
      <c r="BO30" s="10">
        <v>0.25</v>
      </c>
      <c r="BP30" s="10">
        <v>0.25</v>
      </c>
      <c r="BQ30" s="10">
        <v>0.75</v>
      </c>
      <c r="BR30" s="10">
        <v>0.75</v>
      </c>
    </row>
    <row r="31" spans="1:70" s="10" customFormat="1" ht="15" customHeight="1">
      <c r="A31" s="9"/>
      <c r="B31" s="146">
        <f t="shared" si="4"/>
        <v>24</v>
      </c>
      <c r="C31" s="211"/>
      <c r="D31" s="211"/>
      <c r="E31" s="211"/>
      <c r="F31" s="211"/>
      <c r="G31" s="211"/>
      <c r="H31" s="211"/>
      <c r="I31" s="211"/>
      <c r="J31" s="211"/>
      <c r="K31" s="211"/>
      <c r="L31" s="390"/>
      <c r="M31" s="217"/>
      <c r="N31" s="115"/>
      <c r="O31" s="390"/>
      <c r="P31" s="217"/>
      <c r="Q31" s="211"/>
      <c r="R31" s="211"/>
      <c r="S31" s="211"/>
      <c r="T31" s="211"/>
      <c r="U31" s="211"/>
      <c r="V31" s="211"/>
      <c r="W31" s="211"/>
      <c r="X31" s="211"/>
      <c r="Y31" s="211"/>
      <c r="Z31" s="433"/>
      <c r="AA31" s="434"/>
      <c r="AB31" s="397" t="str">
        <f t="shared" si="5"/>
        <v/>
      </c>
      <c r="AC31" s="398"/>
      <c r="AD31" s="398"/>
      <c r="AE31" s="399"/>
      <c r="AF31" s="390"/>
      <c r="AG31" s="391"/>
      <c r="AH31" s="391"/>
      <c r="AI31" s="391"/>
      <c r="AJ31" s="391"/>
      <c r="AK31" s="392"/>
      <c r="AL31" s="129" t="str">
        <f t="shared" si="1"/>
        <v/>
      </c>
      <c r="AM31" s="13"/>
      <c r="AN31" s="13"/>
      <c r="AO31" s="9"/>
      <c r="AP31" s="113" t="str">
        <f t="shared" si="2"/>
        <v/>
      </c>
      <c r="AQ31" s="113" t="e">
        <f t="shared" si="3"/>
        <v>#N/A</v>
      </c>
      <c r="AR31" s="114" t="e">
        <f t="shared" si="6"/>
        <v>#N/A</v>
      </c>
      <c r="AS31" s="112" t="e">
        <f t="shared" si="0"/>
        <v>#N/A</v>
      </c>
      <c r="AX31" s="10" t="s">
        <v>89</v>
      </c>
      <c r="AY31" s="10">
        <v>0.86</v>
      </c>
      <c r="BB31" s="10" t="s">
        <v>83</v>
      </c>
      <c r="BC31" s="10">
        <v>1997</v>
      </c>
      <c r="BD31" s="10">
        <v>1.05</v>
      </c>
      <c r="BE31" s="109">
        <v>1.0416666666666667</v>
      </c>
      <c r="BF31" s="109">
        <v>-0.12975</v>
      </c>
      <c r="BG31" s="109">
        <v>0</v>
      </c>
      <c r="BH31" s="142">
        <f t="shared" si="8"/>
        <v>-6.4875000000000002E-2</v>
      </c>
      <c r="BI31" s="109">
        <v>0.82199999999999995</v>
      </c>
      <c r="BJ31" s="109">
        <v>0.751</v>
      </c>
      <c r="BK31" s="109">
        <v>1.1179999999999999</v>
      </c>
      <c r="BL31" s="109">
        <v>1.0089999999999999</v>
      </c>
      <c r="BM31" s="142">
        <f t="shared" si="9"/>
        <v>1.0634999999999999</v>
      </c>
    </row>
    <row r="32" spans="1:70" s="10" customFormat="1" ht="15" customHeight="1">
      <c r="A32" s="9"/>
      <c r="B32" s="146">
        <f t="shared" si="4"/>
        <v>25</v>
      </c>
      <c r="C32" s="211"/>
      <c r="D32" s="211"/>
      <c r="E32" s="211"/>
      <c r="F32" s="211"/>
      <c r="G32" s="211"/>
      <c r="H32" s="211"/>
      <c r="I32" s="211"/>
      <c r="J32" s="211"/>
      <c r="K32" s="211"/>
      <c r="L32" s="390"/>
      <c r="M32" s="217"/>
      <c r="N32" s="115"/>
      <c r="O32" s="390"/>
      <c r="P32" s="217"/>
      <c r="Q32" s="211"/>
      <c r="R32" s="211"/>
      <c r="S32" s="211"/>
      <c r="T32" s="211"/>
      <c r="U32" s="211"/>
      <c r="V32" s="211"/>
      <c r="W32" s="211"/>
      <c r="X32" s="211"/>
      <c r="Y32" s="211"/>
      <c r="Z32" s="433"/>
      <c r="AA32" s="434"/>
      <c r="AB32" s="397" t="str">
        <f t="shared" si="5"/>
        <v/>
      </c>
      <c r="AC32" s="398"/>
      <c r="AD32" s="398"/>
      <c r="AE32" s="399"/>
      <c r="AF32" s="390"/>
      <c r="AG32" s="391"/>
      <c r="AH32" s="391"/>
      <c r="AI32" s="391"/>
      <c r="AJ32" s="391"/>
      <c r="AK32" s="392"/>
      <c r="AL32" s="129" t="str">
        <f t="shared" si="1"/>
        <v/>
      </c>
      <c r="AM32" s="13"/>
      <c r="AN32" s="13"/>
      <c r="AO32" s="9"/>
      <c r="AP32" s="113" t="str">
        <f t="shared" si="2"/>
        <v/>
      </c>
      <c r="AQ32" s="113" t="e">
        <f t="shared" si="3"/>
        <v>#N/A</v>
      </c>
      <c r="AR32" s="114" t="e">
        <f t="shared" si="6"/>
        <v>#N/A</v>
      </c>
      <c r="AS32" s="112" t="e">
        <f t="shared" si="0"/>
        <v>#N/A</v>
      </c>
      <c r="AX32" s="10" t="s">
        <v>88</v>
      </c>
      <c r="AY32" s="10">
        <v>0.86499999999999999</v>
      </c>
      <c r="BB32" s="10" t="s">
        <v>82</v>
      </c>
      <c r="BC32" s="10">
        <v>1998</v>
      </c>
      <c r="BD32" s="10">
        <v>1.05</v>
      </c>
      <c r="BE32" s="109">
        <v>1.0416666666666667</v>
      </c>
      <c r="BF32" s="109">
        <v>-0.20962500000000001</v>
      </c>
      <c r="BG32" s="109">
        <v>-7.4999999999999983E-2</v>
      </c>
      <c r="BH32" s="142">
        <f t="shared" si="8"/>
        <v>-0.14231250000000001</v>
      </c>
      <c r="BI32" s="109">
        <v>0.88300000000000001</v>
      </c>
      <c r="BJ32" s="109">
        <v>0.80649999999999999</v>
      </c>
      <c r="BK32" s="109">
        <v>1.1995</v>
      </c>
      <c r="BL32" s="109">
        <v>1.0834999999999999</v>
      </c>
      <c r="BM32" s="142">
        <f t="shared" si="9"/>
        <v>1.1415</v>
      </c>
    </row>
    <row r="33" spans="1:65" s="10" customFormat="1" ht="15" customHeight="1">
      <c r="A33" s="9"/>
      <c r="B33" s="146">
        <f t="shared" si="4"/>
        <v>26</v>
      </c>
      <c r="C33" s="211"/>
      <c r="D33" s="211"/>
      <c r="E33" s="211"/>
      <c r="F33" s="211"/>
      <c r="G33" s="211"/>
      <c r="H33" s="211"/>
      <c r="I33" s="211"/>
      <c r="J33" s="211"/>
      <c r="K33" s="211"/>
      <c r="L33" s="390"/>
      <c r="M33" s="217"/>
      <c r="N33" s="115"/>
      <c r="O33" s="390"/>
      <c r="P33" s="217"/>
      <c r="Q33" s="211"/>
      <c r="R33" s="211"/>
      <c r="S33" s="211"/>
      <c r="T33" s="211"/>
      <c r="U33" s="211"/>
      <c r="V33" s="211"/>
      <c r="W33" s="211"/>
      <c r="X33" s="211"/>
      <c r="Y33" s="211"/>
      <c r="Z33" s="433"/>
      <c r="AA33" s="434"/>
      <c r="AB33" s="397" t="str">
        <f t="shared" si="5"/>
        <v/>
      </c>
      <c r="AC33" s="398"/>
      <c r="AD33" s="398"/>
      <c r="AE33" s="399"/>
      <c r="AF33" s="390"/>
      <c r="AG33" s="391"/>
      <c r="AH33" s="391"/>
      <c r="AI33" s="391"/>
      <c r="AJ33" s="391"/>
      <c r="AK33" s="392"/>
      <c r="AL33" s="129" t="str">
        <f t="shared" si="1"/>
        <v/>
      </c>
      <c r="AM33" s="13"/>
      <c r="AN33" s="13"/>
      <c r="AO33" s="9"/>
      <c r="AP33" s="113" t="str">
        <f t="shared" si="2"/>
        <v/>
      </c>
      <c r="AQ33" s="113" t="e">
        <f t="shared" si="3"/>
        <v>#N/A</v>
      </c>
      <c r="AR33" s="114" t="e">
        <f t="shared" si="6"/>
        <v>#N/A</v>
      </c>
      <c r="AS33" s="112" t="e">
        <f t="shared" si="0"/>
        <v>#N/A</v>
      </c>
      <c r="AX33" s="10" t="s">
        <v>87</v>
      </c>
      <c r="AY33" s="10">
        <v>0.87</v>
      </c>
      <c r="BB33" s="10" t="s">
        <v>81</v>
      </c>
      <c r="BC33" s="10">
        <v>1999</v>
      </c>
      <c r="BD33" s="10">
        <v>1.05</v>
      </c>
      <c r="BE33" s="109">
        <v>1.0416666666666667</v>
      </c>
      <c r="BF33" s="109">
        <v>-0.28949999999999998</v>
      </c>
      <c r="BG33" s="109">
        <v>-0.15</v>
      </c>
      <c r="BH33" s="142">
        <f t="shared" si="8"/>
        <v>-0.21975</v>
      </c>
      <c r="BI33" s="109">
        <v>0.94399999999999995</v>
      </c>
      <c r="BJ33" s="109">
        <v>0.86199999999999988</v>
      </c>
      <c r="BK33" s="109">
        <v>1.2809999999999999</v>
      </c>
      <c r="BL33" s="109">
        <v>1.1579999999999999</v>
      </c>
      <c r="BM33" s="142">
        <f t="shared" si="9"/>
        <v>1.2195</v>
      </c>
    </row>
    <row r="34" spans="1:65" s="10" customFormat="1" ht="15" customHeight="1">
      <c r="A34" s="9"/>
      <c r="B34" s="146">
        <f t="shared" si="4"/>
        <v>27</v>
      </c>
      <c r="C34" s="211"/>
      <c r="D34" s="211"/>
      <c r="E34" s="211"/>
      <c r="F34" s="211"/>
      <c r="G34" s="211"/>
      <c r="H34" s="211"/>
      <c r="I34" s="211"/>
      <c r="J34" s="211"/>
      <c r="K34" s="211"/>
      <c r="L34" s="390"/>
      <c r="M34" s="217"/>
      <c r="N34" s="115"/>
      <c r="O34" s="390"/>
      <c r="P34" s="217"/>
      <c r="Q34" s="211"/>
      <c r="R34" s="211"/>
      <c r="S34" s="211"/>
      <c r="T34" s="211"/>
      <c r="U34" s="211"/>
      <c r="V34" s="211"/>
      <c r="W34" s="211"/>
      <c r="X34" s="211"/>
      <c r="Y34" s="211"/>
      <c r="Z34" s="433"/>
      <c r="AA34" s="434"/>
      <c r="AB34" s="397" t="str">
        <f t="shared" si="5"/>
        <v/>
      </c>
      <c r="AC34" s="398"/>
      <c r="AD34" s="398"/>
      <c r="AE34" s="399"/>
      <c r="AF34" s="390"/>
      <c r="AG34" s="391"/>
      <c r="AH34" s="391"/>
      <c r="AI34" s="391"/>
      <c r="AJ34" s="391"/>
      <c r="AK34" s="392"/>
      <c r="AL34" s="129" t="str">
        <f t="shared" si="1"/>
        <v/>
      </c>
      <c r="AM34" s="13"/>
      <c r="AN34" s="13"/>
      <c r="AO34" s="9"/>
      <c r="AP34" s="113" t="str">
        <f t="shared" si="2"/>
        <v/>
      </c>
      <c r="AQ34" s="113" t="e">
        <f t="shared" si="3"/>
        <v>#N/A</v>
      </c>
      <c r="AR34" s="114" t="e">
        <f t="shared" si="6"/>
        <v>#N/A</v>
      </c>
      <c r="AS34" s="112" t="e">
        <f t="shared" si="0"/>
        <v>#N/A</v>
      </c>
      <c r="AX34" s="10" t="s">
        <v>86</v>
      </c>
      <c r="AY34" s="10">
        <v>0.875</v>
      </c>
      <c r="BB34" s="10" t="s">
        <v>80</v>
      </c>
      <c r="BC34" s="10">
        <v>2000</v>
      </c>
      <c r="BD34" s="10">
        <v>1.05</v>
      </c>
      <c r="BE34" s="109">
        <v>1.0416666666666667</v>
      </c>
      <c r="BF34" s="109">
        <v>-0.36937500000000001</v>
      </c>
      <c r="BG34" s="109">
        <v>-0.22500000000000001</v>
      </c>
      <c r="BH34" s="142">
        <f t="shared" si="8"/>
        <v>-0.29718749999999999</v>
      </c>
      <c r="BI34" s="109">
        <v>1.0049999999999999</v>
      </c>
      <c r="BJ34" s="109">
        <v>0.91749999999999998</v>
      </c>
      <c r="BK34" s="109">
        <v>1.3625</v>
      </c>
      <c r="BL34" s="109">
        <v>1.2324999999999999</v>
      </c>
      <c r="BM34" s="142">
        <f t="shared" si="9"/>
        <v>1.2974999999999999</v>
      </c>
    </row>
    <row r="35" spans="1:65" s="10" customFormat="1" ht="15" customHeight="1">
      <c r="A35" s="9"/>
      <c r="B35" s="146">
        <f t="shared" si="4"/>
        <v>28</v>
      </c>
      <c r="C35" s="211"/>
      <c r="D35" s="211"/>
      <c r="E35" s="211"/>
      <c r="F35" s="211"/>
      <c r="G35" s="211"/>
      <c r="H35" s="211"/>
      <c r="I35" s="211"/>
      <c r="J35" s="211"/>
      <c r="K35" s="211"/>
      <c r="L35" s="390"/>
      <c r="M35" s="217"/>
      <c r="N35" s="115"/>
      <c r="O35" s="390"/>
      <c r="P35" s="217"/>
      <c r="Q35" s="211"/>
      <c r="R35" s="211"/>
      <c r="S35" s="211"/>
      <c r="T35" s="211"/>
      <c r="U35" s="211"/>
      <c r="V35" s="211"/>
      <c r="W35" s="211"/>
      <c r="X35" s="211"/>
      <c r="Y35" s="211"/>
      <c r="Z35" s="433"/>
      <c r="AA35" s="434"/>
      <c r="AB35" s="397" t="str">
        <f t="shared" si="5"/>
        <v/>
      </c>
      <c r="AC35" s="398"/>
      <c r="AD35" s="398"/>
      <c r="AE35" s="399"/>
      <c r="AF35" s="390"/>
      <c r="AG35" s="391"/>
      <c r="AH35" s="391"/>
      <c r="AI35" s="391"/>
      <c r="AJ35" s="391"/>
      <c r="AK35" s="392"/>
      <c r="AL35" s="129" t="str">
        <f t="shared" si="1"/>
        <v/>
      </c>
      <c r="AM35" s="13"/>
      <c r="AN35" s="13"/>
      <c r="AO35" s="9"/>
      <c r="AP35" s="113" t="str">
        <f t="shared" si="2"/>
        <v/>
      </c>
      <c r="AQ35" s="113" t="e">
        <f t="shared" si="3"/>
        <v>#N/A</v>
      </c>
      <c r="AR35" s="114" t="e">
        <f t="shared" si="6"/>
        <v>#N/A</v>
      </c>
      <c r="AS35" s="112" t="e">
        <f t="shared" si="0"/>
        <v>#N/A</v>
      </c>
      <c r="AX35" s="10" t="s">
        <v>218</v>
      </c>
      <c r="BB35" s="10" t="s">
        <v>79</v>
      </c>
      <c r="BC35" s="10">
        <v>2001</v>
      </c>
      <c r="BD35" s="10">
        <v>1.05</v>
      </c>
      <c r="BE35" s="109">
        <v>1.0416666666666667</v>
      </c>
      <c r="BF35" s="109">
        <v>-0.44925000000000004</v>
      </c>
      <c r="BG35" s="109">
        <v>-0.29999999999999993</v>
      </c>
      <c r="BH35" s="142">
        <f t="shared" si="8"/>
        <v>-0.37462499999999999</v>
      </c>
      <c r="BI35" s="109">
        <v>1.0660000000000001</v>
      </c>
      <c r="BJ35" s="109">
        <v>0.97299999999999986</v>
      </c>
      <c r="BK35" s="109">
        <v>1.444</v>
      </c>
      <c r="BL35" s="109">
        <v>1.3069999999999999</v>
      </c>
      <c r="BM35" s="142">
        <f t="shared" si="9"/>
        <v>1.3754999999999999</v>
      </c>
    </row>
    <row r="36" spans="1:65" s="10" customFormat="1" ht="15" customHeight="1">
      <c r="A36" s="9"/>
      <c r="B36" s="146">
        <f t="shared" si="4"/>
        <v>29</v>
      </c>
      <c r="C36" s="211"/>
      <c r="D36" s="211"/>
      <c r="E36" s="211"/>
      <c r="F36" s="211"/>
      <c r="G36" s="211"/>
      <c r="H36" s="211"/>
      <c r="I36" s="211"/>
      <c r="J36" s="211"/>
      <c r="K36" s="211"/>
      <c r="L36" s="390"/>
      <c r="M36" s="217"/>
      <c r="N36" s="115"/>
      <c r="O36" s="390"/>
      <c r="P36" s="217"/>
      <c r="Q36" s="211"/>
      <c r="R36" s="211"/>
      <c r="S36" s="211"/>
      <c r="T36" s="211"/>
      <c r="U36" s="211"/>
      <c r="V36" s="211"/>
      <c r="W36" s="211"/>
      <c r="X36" s="211"/>
      <c r="Y36" s="211"/>
      <c r="Z36" s="433"/>
      <c r="AA36" s="434"/>
      <c r="AB36" s="397" t="str">
        <f t="shared" si="5"/>
        <v/>
      </c>
      <c r="AC36" s="398"/>
      <c r="AD36" s="398"/>
      <c r="AE36" s="399"/>
      <c r="AF36" s="390"/>
      <c r="AG36" s="391"/>
      <c r="AH36" s="391"/>
      <c r="AI36" s="391"/>
      <c r="AJ36" s="391"/>
      <c r="AK36" s="392"/>
      <c r="AL36" s="129" t="str">
        <f t="shared" si="1"/>
        <v/>
      </c>
      <c r="AM36" s="13"/>
      <c r="AN36" s="13"/>
      <c r="AO36" s="9"/>
      <c r="AP36" s="113" t="str">
        <f t="shared" si="2"/>
        <v/>
      </c>
      <c r="AQ36" s="113" t="e">
        <f t="shared" si="3"/>
        <v>#N/A</v>
      </c>
      <c r="AR36" s="114" t="e">
        <f t="shared" si="6"/>
        <v>#N/A</v>
      </c>
      <c r="AS36" s="112" t="e">
        <f t="shared" si="0"/>
        <v>#N/A</v>
      </c>
      <c r="AX36" s="10" t="s">
        <v>215</v>
      </c>
      <c r="AY36" s="10">
        <v>0.88</v>
      </c>
      <c r="BB36" s="10" t="s">
        <v>78</v>
      </c>
      <c r="BC36" s="10">
        <v>2002</v>
      </c>
      <c r="BD36" s="10">
        <v>1.05</v>
      </c>
      <c r="BE36" s="109">
        <v>1.0416666666666667</v>
      </c>
      <c r="BF36" s="109">
        <v>-0.52912499999999996</v>
      </c>
      <c r="BG36" s="109">
        <v>-0.375</v>
      </c>
      <c r="BH36" s="142">
        <f t="shared" si="8"/>
        <v>-0.45206249999999998</v>
      </c>
      <c r="BI36" s="109">
        <v>1.127</v>
      </c>
      <c r="BJ36" s="109">
        <v>1.0284999999999997</v>
      </c>
      <c r="BK36" s="109">
        <v>1.5255000000000001</v>
      </c>
      <c r="BL36" s="109">
        <v>1.3815</v>
      </c>
      <c r="BM36" s="142">
        <f t="shared" si="9"/>
        <v>1.4535</v>
      </c>
    </row>
    <row r="37" spans="1:65" s="10" customFormat="1" ht="15" customHeight="1">
      <c r="A37" s="9"/>
      <c r="B37" s="146">
        <f t="shared" si="4"/>
        <v>30</v>
      </c>
      <c r="C37" s="211"/>
      <c r="D37" s="211"/>
      <c r="E37" s="211"/>
      <c r="F37" s="211"/>
      <c r="G37" s="211"/>
      <c r="H37" s="211"/>
      <c r="I37" s="211"/>
      <c r="J37" s="211"/>
      <c r="K37" s="211"/>
      <c r="L37" s="390"/>
      <c r="M37" s="217"/>
      <c r="N37" s="115"/>
      <c r="O37" s="390"/>
      <c r="P37" s="217"/>
      <c r="Q37" s="211"/>
      <c r="R37" s="211"/>
      <c r="S37" s="211"/>
      <c r="T37" s="211"/>
      <c r="U37" s="211"/>
      <c r="V37" s="211"/>
      <c r="W37" s="211"/>
      <c r="X37" s="211"/>
      <c r="Y37" s="211"/>
      <c r="Z37" s="433"/>
      <c r="AA37" s="434"/>
      <c r="AB37" s="397" t="str">
        <f t="shared" si="5"/>
        <v/>
      </c>
      <c r="AC37" s="398"/>
      <c r="AD37" s="398"/>
      <c r="AE37" s="399"/>
      <c r="AF37" s="390"/>
      <c r="AG37" s="391"/>
      <c r="AH37" s="391"/>
      <c r="AI37" s="391"/>
      <c r="AJ37" s="391"/>
      <c r="AK37" s="392"/>
      <c r="AL37" s="129" t="str">
        <f t="shared" si="1"/>
        <v/>
      </c>
      <c r="AM37" s="13"/>
      <c r="AN37" s="13"/>
      <c r="AO37" s="9"/>
      <c r="AP37" s="113" t="str">
        <f t="shared" si="2"/>
        <v/>
      </c>
      <c r="AQ37" s="113" t="e">
        <f t="shared" si="3"/>
        <v>#N/A</v>
      </c>
      <c r="AR37" s="114" t="e">
        <f t="shared" si="6"/>
        <v>#N/A</v>
      </c>
      <c r="AS37" s="112" t="e">
        <f t="shared" si="0"/>
        <v>#N/A</v>
      </c>
      <c r="AX37" s="10" t="s">
        <v>84</v>
      </c>
      <c r="AY37" s="10">
        <v>0.88500000000000001</v>
      </c>
      <c r="BB37" s="10" t="s">
        <v>77</v>
      </c>
      <c r="BC37" s="10">
        <v>2003</v>
      </c>
      <c r="BD37" s="10">
        <v>1.05</v>
      </c>
      <c r="BE37" s="109">
        <v>1.0416666666666667</v>
      </c>
      <c r="BF37" s="109">
        <v>-0.60899999999999999</v>
      </c>
      <c r="BG37" s="109">
        <v>-0.44999999999999996</v>
      </c>
      <c r="BH37" s="142">
        <f t="shared" si="8"/>
        <v>-0.52949999999999997</v>
      </c>
      <c r="BI37" s="109">
        <v>1.1880000000000002</v>
      </c>
      <c r="BJ37" s="109">
        <v>1.0839999999999999</v>
      </c>
      <c r="BK37" s="109">
        <v>1.607</v>
      </c>
      <c r="BL37" s="109">
        <v>1.456</v>
      </c>
      <c r="BM37" s="142">
        <f t="shared" si="9"/>
        <v>1.5314999999999999</v>
      </c>
    </row>
    <row r="38" spans="1:65" s="10" customFormat="1" ht="15" customHeight="1">
      <c r="A38" s="9"/>
      <c r="B38" s="146">
        <f>IF(B37="","",B37+1)</f>
        <v>31</v>
      </c>
      <c r="C38" s="211"/>
      <c r="D38" s="211"/>
      <c r="E38" s="211"/>
      <c r="F38" s="211"/>
      <c r="G38" s="211"/>
      <c r="H38" s="211"/>
      <c r="I38" s="211"/>
      <c r="J38" s="211"/>
      <c r="K38" s="211"/>
      <c r="L38" s="390"/>
      <c r="M38" s="217"/>
      <c r="N38" s="115"/>
      <c r="O38" s="390"/>
      <c r="P38" s="217"/>
      <c r="Q38" s="211"/>
      <c r="R38" s="211"/>
      <c r="S38" s="211"/>
      <c r="T38" s="211"/>
      <c r="U38" s="211"/>
      <c r="V38" s="211"/>
      <c r="W38" s="211"/>
      <c r="X38" s="211"/>
      <c r="Y38" s="211"/>
      <c r="Z38" s="433"/>
      <c r="AA38" s="434"/>
      <c r="AB38" s="397" t="str">
        <f t="shared" si="5"/>
        <v/>
      </c>
      <c r="AC38" s="398"/>
      <c r="AD38" s="398"/>
      <c r="AE38" s="399"/>
      <c r="AF38" s="390"/>
      <c r="AG38" s="391"/>
      <c r="AH38" s="391"/>
      <c r="AI38" s="391"/>
      <c r="AJ38" s="391"/>
      <c r="AK38" s="392"/>
      <c r="AL38" s="129" t="str">
        <f t="shared" si="1"/>
        <v/>
      </c>
      <c r="AM38" s="13"/>
      <c r="AN38" s="13"/>
      <c r="AO38" s="9"/>
      <c r="AP38" s="113" t="str">
        <f t="shared" si="2"/>
        <v/>
      </c>
      <c r="AQ38" s="113" t="e">
        <f t="shared" si="3"/>
        <v>#N/A</v>
      </c>
      <c r="AR38" s="114" t="e">
        <f t="shared" si="6"/>
        <v>#N/A</v>
      </c>
      <c r="AS38" s="112" t="e">
        <f t="shared" si="0"/>
        <v>#N/A</v>
      </c>
      <c r="AX38" s="10" t="s">
        <v>83</v>
      </c>
      <c r="AY38" s="10">
        <v>0.89</v>
      </c>
      <c r="BB38" s="10" t="s">
        <v>76</v>
      </c>
      <c r="BC38" s="10">
        <v>2004</v>
      </c>
      <c r="BD38" s="10">
        <v>1.05</v>
      </c>
      <c r="BE38" s="109">
        <v>1.0416666666666667</v>
      </c>
      <c r="BF38" s="109">
        <v>-0.68887500000000002</v>
      </c>
      <c r="BG38" s="109">
        <v>-0.52499999999999991</v>
      </c>
      <c r="BH38" s="142">
        <f t="shared" si="8"/>
        <v>-0.60693749999999991</v>
      </c>
      <c r="BI38" s="109">
        <v>1.2490000000000001</v>
      </c>
      <c r="BJ38" s="109">
        <v>1.1395</v>
      </c>
      <c r="BK38" s="109">
        <v>1.6884999999999999</v>
      </c>
      <c r="BL38" s="109">
        <v>1.5305</v>
      </c>
      <c r="BM38" s="142">
        <f t="shared" si="9"/>
        <v>1.6094999999999999</v>
      </c>
    </row>
    <row r="39" spans="1:65" s="10" customFormat="1" ht="15" customHeight="1">
      <c r="A39" s="9"/>
      <c r="B39" s="146">
        <f t="shared" ref="B39:B57" si="10">IF(B38="","",B38+1)</f>
        <v>32</v>
      </c>
      <c r="C39" s="211"/>
      <c r="D39" s="211"/>
      <c r="E39" s="211"/>
      <c r="F39" s="211"/>
      <c r="G39" s="211"/>
      <c r="H39" s="211"/>
      <c r="I39" s="211"/>
      <c r="J39" s="211"/>
      <c r="K39" s="211"/>
      <c r="L39" s="390"/>
      <c r="M39" s="217"/>
      <c r="N39" s="115"/>
      <c r="O39" s="390"/>
      <c r="P39" s="217"/>
      <c r="Q39" s="211"/>
      <c r="R39" s="211"/>
      <c r="S39" s="211"/>
      <c r="T39" s="211"/>
      <c r="U39" s="211"/>
      <c r="V39" s="211"/>
      <c r="W39" s="211"/>
      <c r="X39" s="211"/>
      <c r="Y39" s="211"/>
      <c r="Z39" s="433"/>
      <c r="AA39" s="434"/>
      <c r="AB39" s="397" t="str">
        <f t="shared" si="5"/>
        <v/>
      </c>
      <c r="AC39" s="398"/>
      <c r="AD39" s="398"/>
      <c r="AE39" s="399"/>
      <c r="AF39" s="390"/>
      <c r="AG39" s="391"/>
      <c r="AH39" s="391"/>
      <c r="AI39" s="391"/>
      <c r="AJ39" s="391"/>
      <c r="AK39" s="392"/>
      <c r="AL39" s="129" t="str">
        <f t="shared" si="1"/>
        <v/>
      </c>
      <c r="AM39" s="13"/>
      <c r="AN39" s="13"/>
      <c r="AO39" s="9"/>
      <c r="AP39" s="113" t="str">
        <f t="shared" si="2"/>
        <v/>
      </c>
      <c r="AQ39" s="113" t="e">
        <f t="shared" si="3"/>
        <v>#N/A</v>
      </c>
      <c r="AR39" s="114" t="e">
        <f t="shared" si="6"/>
        <v>#N/A</v>
      </c>
      <c r="AS39" s="112" t="e">
        <f t="shared" si="0"/>
        <v>#N/A</v>
      </c>
      <c r="AX39" s="10" t="s">
        <v>82</v>
      </c>
      <c r="AY39" s="10">
        <v>0.89500000000000002</v>
      </c>
      <c r="BB39" s="10" t="s">
        <v>75</v>
      </c>
      <c r="BC39" s="10">
        <v>2005</v>
      </c>
      <c r="BD39" s="10">
        <v>1.05</v>
      </c>
      <c r="BE39" s="109">
        <v>1.0416666666666667</v>
      </c>
      <c r="BF39" s="109">
        <v>-0.77</v>
      </c>
      <c r="BG39" s="109">
        <v>-0.60499999999999998</v>
      </c>
      <c r="BH39" s="142">
        <f t="shared" si="8"/>
        <v>-0.6875</v>
      </c>
      <c r="BI39" s="109">
        <v>1.31</v>
      </c>
      <c r="BJ39" s="109">
        <v>1.1950000000000001</v>
      </c>
      <c r="BK39" s="109">
        <v>1.77</v>
      </c>
      <c r="BL39" s="109">
        <v>1.605</v>
      </c>
      <c r="BM39" s="142">
        <f t="shared" si="9"/>
        <v>1.6875</v>
      </c>
    </row>
    <row r="40" spans="1:65" s="10" customFormat="1" ht="15" customHeight="1">
      <c r="A40" s="9"/>
      <c r="B40" s="146">
        <f t="shared" si="10"/>
        <v>33</v>
      </c>
      <c r="C40" s="211"/>
      <c r="D40" s="211"/>
      <c r="E40" s="211"/>
      <c r="F40" s="211"/>
      <c r="G40" s="211"/>
      <c r="H40" s="211"/>
      <c r="I40" s="211"/>
      <c r="J40" s="211"/>
      <c r="K40" s="211"/>
      <c r="L40" s="390"/>
      <c r="M40" s="217"/>
      <c r="N40" s="115"/>
      <c r="O40" s="390"/>
      <c r="P40" s="217"/>
      <c r="Q40" s="211"/>
      <c r="R40" s="211"/>
      <c r="S40" s="211"/>
      <c r="T40" s="211"/>
      <c r="U40" s="211"/>
      <c r="V40" s="211"/>
      <c r="W40" s="211"/>
      <c r="X40" s="211"/>
      <c r="Y40" s="211"/>
      <c r="Z40" s="433"/>
      <c r="AA40" s="434"/>
      <c r="AB40" s="397" t="str">
        <f t="shared" si="5"/>
        <v/>
      </c>
      <c r="AC40" s="398"/>
      <c r="AD40" s="398"/>
      <c r="AE40" s="399"/>
      <c r="AF40" s="390"/>
      <c r="AG40" s="391"/>
      <c r="AH40" s="391"/>
      <c r="AI40" s="391"/>
      <c r="AJ40" s="391"/>
      <c r="AK40" s="392"/>
      <c r="AL40" s="129" t="str">
        <f t="shared" si="1"/>
        <v/>
      </c>
      <c r="AM40" s="13"/>
      <c r="AN40" s="13"/>
      <c r="AO40" s="9"/>
      <c r="AP40" s="113" t="str">
        <f t="shared" si="2"/>
        <v/>
      </c>
      <c r="AQ40" s="113" t="e">
        <f t="shared" si="3"/>
        <v>#N/A</v>
      </c>
      <c r="AR40" s="114" t="e">
        <f t="shared" si="6"/>
        <v>#N/A</v>
      </c>
      <c r="AS40" s="112" t="e">
        <f t="shared" ref="AS40:AS57" si="11">IF(AP40=1,VLOOKUP($AS$6,inv補正COP,7,FALSE)*AR40+VLOOKUP($AS$6,inv補正COP,12,FALSE),$BO$29*AR40+$BQ$29)</f>
        <v>#N/A</v>
      </c>
      <c r="AX40" s="10" t="s">
        <v>81</v>
      </c>
      <c r="AY40" s="10">
        <v>0.9</v>
      </c>
      <c r="BB40" s="10" t="s">
        <v>74</v>
      </c>
      <c r="BC40" s="10">
        <v>2006</v>
      </c>
      <c r="BD40" s="10">
        <v>1.05</v>
      </c>
      <c r="BE40" s="109">
        <v>1.0416666666666667</v>
      </c>
      <c r="BF40" s="109">
        <v>-0.84087500000000004</v>
      </c>
      <c r="BG40" s="109">
        <v>-0.63575000000000004</v>
      </c>
      <c r="BH40" s="142">
        <f t="shared" si="8"/>
        <v>-0.73831250000000004</v>
      </c>
      <c r="BI40" s="109">
        <v>1.363</v>
      </c>
      <c r="BJ40" s="109">
        <v>1.218</v>
      </c>
      <c r="BK40" s="109">
        <v>1.841</v>
      </c>
      <c r="BL40" s="109">
        <v>1.6359999999999999</v>
      </c>
      <c r="BM40" s="142">
        <f t="shared" si="9"/>
        <v>1.7384999999999999</v>
      </c>
    </row>
    <row r="41" spans="1:65" s="10" customFormat="1" ht="15" customHeight="1">
      <c r="A41" s="9"/>
      <c r="B41" s="146">
        <f t="shared" si="10"/>
        <v>34</v>
      </c>
      <c r="C41" s="211"/>
      <c r="D41" s="211"/>
      <c r="E41" s="211"/>
      <c r="F41" s="211"/>
      <c r="G41" s="211"/>
      <c r="H41" s="211"/>
      <c r="I41" s="211"/>
      <c r="J41" s="211"/>
      <c r="K41" s="211"/>
      <c r="L41" s="390"/>
      <c r="M41" s="217"/>
      <c r="N41" s="115"/>
      <c r="O41" s="390"/>
      <c r="P41" s="217"/>
      <c r="Q41" s="211"/>
      <c r="R41" s="211"/>
      <c r="S41" s="211"/>
      <c r="T41" s="211"/>
      <c r="U41" s="211"/>
      <c r="V41" s="211"/>
      <c r="W41" s="211"/>
      <c r="X41" s="211"/>
      <c r="Y41" s="211"/>
      <c r="Z41" s="433"/>
      <c r="AA41" s="434"/>
      <c r="AB41" s="397" t="str">
        <f t="shared" si="5"/>
        <v/>
      </c>
      <c r="AC41" s="398"/>
      <c r="AD41" s="398"/>
      <c r="AE41" s="399"/>
      <c r="AF41" s="390"/>
      <c r="AG41" s="391"/>
      <c r="AH41" s="391"/>
      <c r="AI41" s="391"/>
      <c r="AJ41" s="391"/>
      <c r="AK41" s="392"/>
      <c r="AL41" s="129" t="str">
        <f t="shared" si="1"/>
        <v/>
      </c>
      <c r="AM41" s="13"/>
      <c r="AN41" s="13"/>
      <c r="AO41" s="9"/>
      <c r="AP41" s="113" t="str">
        <f t="shared" si="2"/>
        <v/>
      </c>
      <c r="AQ41" s="113" t="e">
        <f t="shared" si="3"/>
        <v>#N/A</v>
      </c>
      <c r="AR41" s="114" t="e">
        <f t="shared" si="6"/>
        <v>#N/A</v>
      </c>
      <c r="AS41" s="112" t="e">
        <f t="shared" si="11"/>
        <v>#N/A</v>
      </c>
      <c r="AX41" s="10" t="s">
        <v>80</v>
      </c>
      <c r="AY41" s="10">
        <v>0.90500000000000003</v>
      </c>
      <c r="BB41" s="10" t="s">
        <v>73</v>
      </c>
      <c r="BC41" s="10">
        <v>2007</v>
      </c>
      <c r="BD41" s="10">
        <v>1.05</v>
      </c>
      <c r="BE41" s="109">
        <v>1.0416666666666667</v>
      </c>
      <c r="BF41" s="109">
        <v>-0.91175000000000006</v>
      </c>
      <c r="BG41" s="109">
        <v>-0.66649999999999998</v>
      </c>
      <c r="BH41" s="142">
        <f t="shared" si="8"/>
        <v>-0.78912500000000008</v>
      </c>
      <c r="BI41" s="109">
        <v>1.4159999999999999</v>
      </c>
      <c r="BJ41" s="109">
        <v>1.2410000000000001</v>
      </c>
      <c r="BK41" s="109">
        <v>1.9119999999999999</v>
      </c>
      <c r="BL41" s="109">
        <v>1.667</v>
      </c>
      <c r="BM41" s="142">
        <f t="shared" si="9"/>
        <v>1.7894999999999999</v>
      </c>
    </row>
    <row r="42" spans="1:65" s="10" customFormat="1" ht="15" customHeight="1">
      <c r="A42" s="9"/>
      <c r="B42" s="146">
        <f t="shared" si="10"/>
        <v>35</v>
      </c>
      <c r="C42" s="211"/>
      <c r="D42" s="211"/>
      <c r="E42" s="211"/>
      <c r="F42" s="211"/>
      <c r="G42" s="211"/>
      <c r="H42" s="211"/>
      <c r="I42" s="211"/>
      <c r="J42" s="211"/>
      <c r="K42" s="211"/>
      <c r="L42" s="390"/>
      <c r="M42" s="217"/>
      <c r="N42" s="115"/>
      <c r="O42" s="390"/>
      <c r="P42" s="217"/>
      <c r="Q42" s="211"/>
      <c r="R42" s="211"/>
      <c r="S42" s="211"/>
      <c r="T42" s="211"/>
      <c r="U42" s="211"/>
      <c r="V42" s="211"/>
      <c r="W42" s="211"/>
      <c r="X42" s="211"/>
      <c r="Y42" s="211"/>
      <c r="Z42" s="433"/>
      <c r="AA42" s="434"/>
      <c r="AB42" s="397" t="str">
        <f t="shared" si="5"/>
        <v/>
      </c>
      <c r="AC42" s="398"/>
      <c r="AD42" s="398"/>
      <c r="AE42" s="399"/>
      <c r="AF42" s="390"/>
      <c r="AG42" s="391"/>
      <c r="AH42" s="391"/>
      <c r="AI42" s="391"/>
      <c r="AJ42" s="391"/>
      <c r="AK42" s="392"/>
      <c r="AL42" s="129" t="str">
        <f t="shared" si="1"/>
        <v/>
      </c>
      <c r="AM42" s="13"/>
      <c r="AN42" s="13"/>
      <c r="AO42" s="9"/>
      <c r="AP42" s="113" t="str">
        <f t="shared" si="2"/>
        <v/>
      </c>
      <c r="AQ42" s="113" t="e">
        <f t="shared" si="3"/>
        <v>#N/A</v>
      </c>
      <c r="AR42" s="114" t="e">
        <f t="shared" si="6"/>
        <v>#N/A</v>
      </c>
      <c r="AS42" s="112" t="e">
        <f t="shared" si="11"/>
        <v>#N/A</v>
      </c>
      <c r="AX42" s="10" t="s">
        <v>79</v>
      </c>
      <c r="AY42" s="10">
        <v>0.91</v>
      </c>
      <c r="BB42" s="10" t="s">
        <v>72</v>
      </c>
      <c r="BC42" s="5">
        <v>2008</v>
      </c>
      <c r="BD42" s="5">
        <v>1.05</v>
      </c>
      <c r="BE42" s="110">
        <v>1.0416666666666667</v>
      </c>
      <c r="BF42" s="110">
        <v>-0.98262499999999997</v>
      </c>
      <c r="BG42" s="110">
        <v>-0.69724999999999993</v>
      </c>
      <c r="BH42" s="142">
        <f t="shared" si="8"/>
        <v>-0.8399375</v>
      </c>
      <c r="BI42" s="110">
        <v>1.4689999999999999</v>
      </c>
      <c r="BJ42" s="110">
        <v>1.264</v>
      </c>
      <c r="BK42" s="110">
        <v>1.9830000000000001</v>
      </c>
      <c r="BL42" s="110">
        <v>1.698</v>
      </c>
      <c r="BM42" s="142">
        <f t="shared" si="9"/>
        <v>1.8405</v>
      </c>
    </row>
    <row r="43" spans="1:65" s="10" customFormat="1" ht="15" customHeight="1">
      <c r="A43" s="9"/>
      <c r="B43" s="146">
        <f t="shared" si="10"/>
        <v>36</v>
      </c>
      <c r="C43" s="211"/>
      <c r="D43" s="211"/>
      <c r="E43" s="211"/>
      <c r="F43" s="211"/>
      <c r="G43" s="211"/>
      <c r="H43" s="211"/>
      <c r="I43" s="211"/>
      <c r="J43" s="211"/>
      <c r="K43" s="211"/>
      <c r="L43" s="390"/>
      <c r="M43" s="217"/>
      <c r="N43" s="115"/>
      <c r="O43" s="390"/>
      <c r="P43" s="217"/>
      <c r="Q43" s="211"/>
      <c r="R43" s="211"/>
      <c r="S43" s="211"/>
      <c r="T43" s="211"/>
      <c r="U43" s="211"/>
      <c r="V43" s="211"/>
      <c r="W43" s="211"/>
      <c r="X43" s="211"/>
      <c r="Y43" s="211"/>
      <c r="Z43" s="433"/>
      <c r="AA43" s="434"/>
      <c r="AB43" s="397" t="str">
        <f t="shared" si="5"/>
        <v/>
      </c>
      <c r="AC43" s="398"/>
      <c r="AD43" s="398"/>
      <c r="AE43" s="399"/>
      <c r="AF43" s="390"/>
      <c r="AG43" s="391"/>
      <c r="AH43" s="391"/>
      <c r="AI43" s="391"/>
      <c r="AJ43" s="391"/>
      <c r="AK43" s="392"/>
      <c r="AL43" s="129" t="str">
        <f t="shared" si="1"/>
        <v/>
      </c>
      <c r="AM43" s="13"/>
      <c r="AN43" s="13"/>
      <c r="AO43" s="9"/>
      <c r="AP43" s="113" t="str">
        <f t="shared" si="2"/>
        <v/>
      </c>
      <c r="AQ43" s="113" t="e">
        <f t="shared" si="3"/>
        <v>#N/A</v>
      </c>
      <c r="AR43" s="114" t="e">
        <f t="shared" si="6"/>
        <v>#N/A</v>
      </c>
      <c r="AS43" s="112" t="e">
        <f t="shared" si="11"/>
        <v>#N/A</v>
      </c>
      <c r="AX43" s="10" t="s">
        <v>78</v>
      </c>
      <c r="AY43" s="10">
        <v>0.91500000000000004</v>
      </c>
      <c r="BB43" s="10" t="s">
        <v>71</v>
      </c>
      <c r="BC43" s="5">
        <v>2009</v>
      </c>
      <c r="BD43" s="5">
        <v>1.05</v>
      </c>
      <c r="BE43" s="110">
        <v>1.0416666666666667</v>
      </c>
      <c r="BF43" s="110">
        <v>-1.0535000000000001</v>
      </c>
      <c r="BG43" s="110">
        <v>-0.72799999999999998</v>
      </c>
      <c r="BH43" s="142">
        <f t="shared" si="8"/>
        <v>-0.89075000000000004</v>
      </c>
      <c r="BI43" s="110">
        <v>1.522</v>
      </c>
      <c r="BJ43" s="110">
        <v>1.2870000000000001</v>
      </c>
      <c r="BK43" s="110">
        <v>2.0539999999999998</v>
      </c>
      <c r="BL43" s="110">
        <v>1.7290000000000001</v>
      </c>
      <c r="BM43" s="142">
        <f t="shared" si="9"/>
        <v>1.8915</v>
      </c>
    </row>
    <row r="44" spans="1:65" s="10" customFormat="1" ht="15" customHeight="1">
      <c r="A44" s="9"/>
      <c r="B44" s="146">
        <f t="shared" si="10"/>
        <v>37</v>
      </c>
      <c r="C44" s="211"/>
      <c r="D44" s="211"/>
      <c r="E44" s="211"/>
      <c r="F44" s="211"/>
      <c r="G44" s="211"/>
      <c r="H44" s="211"/>
      <c r="I44" s="211"/>
      <c r="J44" s="211"/>
      <c r="K44" s="211"/>
      <c r="L44" s="390"/>
      <c r="M44" s="217"/>
      <c r="N44" s="115"/>
      <c r="O44" s="390"/>
      <c r="P44" s="217"/>
      <c r="Q44" s="211"/>
      <c r="R44" s="211"/>
      <c r="S44" s="211"/>
      <c r="T44" s="211"/>
      <c r="U44" s="211"/>
      <c r="V44" s="211"/>
      <c r="W44" s="211"/>
      <c r="X44" s="211"/>
      <c r="Y44" s="211"/>
      <c r="Z44" s="433"/>
      <c r="AA44" s="434"/>
      <c r="AB44" s="397" t="str">
        <f t="shared" si="5"/>
        <v/>
      </c>
      <c r="AC44" s="398"/>
      <c r="AD44" s="398"/>
      <c r="AE44" s="399"/>
      <c r="AF44" s="390"/>
      <c r="AG44" s="391"/>
      <c r="AH44" s="391"/>
      <c r="AI44" s="391"/>
      <c r="AJ44" s="391"/>
      <c r="AK44" s="392"/>
      <c r="AL44" s="129" t="str">
        <f t="shared" si="1"/>
        <v/>
      </c>
      <c r="AM44" s="13"/>
      <c r="AN44" s="13"/>
      <c r="AO44" s="9"/>
      <c r="AP44" s="113" t="str">
        <f t="shared" si="2"/>
        <v/>
      </c>
      <c r="AQ44" s="113" t="e">
        <f t="shared" si="3"/>
        <v>#N/A</v>
      </c>
      <c r="AR44" s="114" t="e">
        <f t="shared" si="6"/>
        <v>#N/A</v>
      </c>
      <c r="AS44" s="112" t="e">
        <f t="shared" si="11"/>
        <v>#N/A</v>
      </c>
      <c r="AX44" s="10" t="s">
        <v>77</v>
      </c>
      <c r="AY44" s="10">
        <v>0.92</v>
      </c>
      <c r="BB44" s="10" t="s">
        <v>70</v>
      </c>
      <c r="BC44" s="5">
        <v>2010</v>
      </c>
      <c r="BD44" s="5">
        <v>1.05</v>
      </c>
      <c r="BE44" s="110">
        <v>1.0416666666666667</v>
      </c>
      <c r="BF44" s="110">
        <v>-1.1243750000000001</v>
      </c>
      <c r="BG44" s="110">
        <v>-0.75875000000000004</v>
      </c>
      <c r="BH44" s="142">
        <f t="shared" si="8"/>
        <v>-0.94156250000000008</v>
      </c>
      <c r="BI44" s="110">
        <v>1.575</v>
      </c>
      <c r="BJ44" s="110">
        <v>1.31</v>
      </c>
      <c r="BK44" s="110">
        <v>2.125</v>
      </c>
      <c r="BL44" s="110">
        <v>1.76</v>
      </c>
      <c r="BM44" s="142">
        <f t="shared" si="9"/>
        <v>1.9424999999999999</v>
      </c>
    </row>
    <row r="45" spans="1:65" s="10" customFormat="1" ht="15" customHeight="1">
      <c r="A45" s="9"/>
      <c r="B45" s="146">
        <f t="shared" si="10"/>
        <v>38</v>
      </c>
      <c r="C45" s="211"/>
      <c r="D45" s="211"/>
      <c r="E45" s="211"/>
      <c r="F45" s="211"/>
      <c r="G45" s="211"/>
      <c r="H45" s="211"/>
      <c r="I45" s="211"/>
      <c r="J45" s="211"/>
      <c r="K45" s="211"/>
      <c r="L45" s="390"/>
      <c r="M45" s="217"/>
      <c r="N45" s="115"/>
      <c r="O45" s="390"/>
      <c r="P45" s="217"/>
      <c r="Q45" s="211"/>
      <c r="R45" s="211"/>
      <c r="S45" s="211"/>
      <c r="T45" s="211"/>
      <c r="U45" s="211"/>
      <c r="V45" s="211"/>
      <c r="W45" s="211"/>
      <c r="X45" s="211"/>
      <c r="Y45" s="211"/>
      <c r="Z45" s="433"/>
      <c r="AA45" s="434"/>
      <c r="AB45" s="397" t="str">
        <f t="shared" si="5"/>
        <v/>
      </c>
      <c r="AC45" s="398"/>
      <c r="AD45" s="398"/>
      <c r="AE45" s="399"/>
      <c r="AF45" s="390"/>
      <c r="AG45" s="391"/>
      <c r="AH45" s="391"/>
      <c r="AI45" s="391"/>
      <c r="AJ45" s="391"/>
      <c r="AK45" s="392"/>
      <c r="AL45" s="129" t="str">
        <f t="shared" si="1"/>
        <v/>
      </c>
      <c r="AM45" s="13"/>
      <c r="AN45" s="13"/>
      <c r="AO45" s="9"/>
      <c r="AP45" s="113" t="str">
        <f t="shared" si="2"/>
        <v/>
      </c>
      <c r="AQ45" s="113" t="e">
        <f t="shared" si="3"/>
        <v>#N/A</v>
      </c>
      <c r="AR45" s="114" t="e">
        <f t="shared" si="6"/>
        <v>#N/A</v>
      </c>
      <c r="AS45" s="112" t="e">
        <f t="shared" si="11"/>
        <v>#N/A</v>
      </c>
      <c r="AX45" s="10" t="s">
        <v>76</v>
      </c>
      <c r="AY45" s="10">
        <v>0.92500000000000004</v>
      </c>
      <c r="BB45" s="10" t="s">
        <v>69</v>
      </c>
      <c r="BC45" s="5">
        <v>2011</v>
      </c>
      <c r="BD45" s="5">
        <v>1.05</v>
      </c>
      <c r="BE45" s="110">
        <v>1.0416666666666667</v>
      </c>
      <c r="BF45" s="110">
        <v>-1.1952499999999999</v>
      </c>
      <c r="BG45" s="110">
        <v>-0.78949999999999998</v>
      </c>
      <c r="BH45" s="142">
        <f t="shared" si="8"/>
        <v>-0.99237500000000001</v>
      </c>
      <c r="BI45" s="110">
        <v>1.6279999999999999</v>
      </c>
      <c r="BJ45" s="110">
        <v>1.3330000000000002</v>
      </c>
      <c r="BK45" s="110">
        <v>2.1959999999999997</v>
      </c>
      <c r="BL45" s="110">
        <v>1.7909999999999999</v>
      </c>
      <c r="BM45" s="142">
        <f t="shared" si="9"/>
        <v>1.9934999999999998</v>
      </c>
    </row>
    <row r="46" spans="1:65" s="10" customFormat="1" ht="15" customHeight="1">
      <c r="A46" s="9"/>
      <c r="B46" s="146">
        <f t="shared" si="10"/>
        <v>39</v>
      </c>
      <c r="C46" s="211"/>
      <c r="D46" s="211"/>
      <c r="E46" s="211"/>
      <c r="F46" s="211"/>
      <c r="G46" s="211"/>
      <c r="H46" s="211"/>
      <c r="I46" s="211"/>
      <c r="J46" s="211"/>
      <c r="K46" s="211"/>
      <c r="L46" s="390"/>
      <c r="M46" s="217"/>
      <c r="N46" s="115"/>
      <c r="O46" s="390"/>
      <c r="P46" s="217"/>
      <c r="Q46" s="211"/>
      <c r="R46" s="211"/>
      <c r="S46" s="211"/>
      <c r="T46" s="211"/>
      <c r="U46" s="211"/>
      <c r="V46" s="211"/>
      <c r="W46" s="211"/>
      <c r="X46" s="211"/>
      <c r="Y46" s="211"/>
      <c r="Z46" s="433"/>
      <c r="AA46" s="434"/>
      <c r="AB46" s="397" t="str">
        <f t="shared" si="5"/>
        <v/>
      </c>
      <c r="AC46" s="398"/>
      <c r="AD46" s="398"/>
      <c r="AE46" s="399"/>
      <c r="AF46" s="390"/>
      <c r="AG46" s="391"/>
      <c r="AH46" s="391"/>
      <c r="AI46" s="391"/>
      <c r="AJ46" s="391"/>
      <c r="AK46" s="392"/>
      <c r="AL46" s="129" t="str">
        <f t="shared" si="1"/>
        <v/>
      </c>
      <c r="AM46" s="13"/>
      <c r="AN46" s="13"/>
      <c r="AO46" s="9"/>
      <c r="AP46" s="113" t="str">
        <f t="shared" si="2"/>
        <v/>
      </c>
      <c r="AQ46" s="113" t="e">
        <f t="shared" si="3"/>
        <v>#N/A</v>
      </c>
      <c r="AR46" s="114" t="e">
        <f t="shared" si="6"/>
        <v>#N/A</v>
      </c>
      <c r="AS46" s="112" t="e">
        <f t="shared" si="11"/>
        <v>#N/A</v>
      </c>
      <c r="AX46" s="10" t="s">
        <v>75</v>
      </c>
      <c r="AY46" s="10">
        <v>0.93</v>
      </c>
      <c r="BB46" s="10" t="s">
        <v>67</v>
      </c>
      <c r="BC46" s="5">
        <v>2012</v>
      </c>
      <c r="BD46" s="5">
        <v>1.05</v>
      </c>
      <c r="BE46" s="110">
        <v>1.0416666666666667</v>
      </c>
      <c r="BF46" s="110">
        <v>-1.2661249999999999</v>
      </c>
      <c r="BG46" s="110">
        <v>-0.82024999999999992</v>
      </c>
      <c r="BH46" s="142">
        <f t="shared" si="8"/>
        <v>-1.0431874999999999</v>
      </c>
      <c r="BI46" s="110">
        <v>1.6809999999999998</v>
      </c>
      <c r="BJ46" s="110">
        <v>1.3560000000000001</v>
      </c>
      <c r="BK46" s="110">
        <v>2.2669999999999999</v>
      </c>
      <c r="BL46" s="110">
        <v>1.8220000000000001</v>
      </c>
      <c r="BM46" s="142">
        <f t="shared" si="9"/>
        <v>2.0445000000000002</v>
      </c>
    </row>
    <row r="47" spans="1:65" s="10" customFormat="1" ht="15" customHeight="1">
      <c r="A47" s="9"/>
      <c r="B47" s="145">
        <f t="shared" si="10"/>
        <v>40</v>
      </c>
      <c r="C47" s="435"/>
      <c r="D47" s="435"/>
      <c r="E47" s="435"/>
      <c r="F47" s="435"/>
      <c r="G47" s="435"/>
      <c r="H47" s="435"/>
      <c r="I47" s="435"/>
      <c r="J47" s="435"/>
      <c r="K47" s="435"/>
      <c r="L47" s="436"/>
      <c r="M47" s="437"/>
      <c r="N47" s="136"/>
      <c r="O47" s="436"/>
      <c r="P47" s="437"/>
      <c r="Q47" s="435"/>
      <c r="R47" s="435"/>
      <c r="S47" s="435"/>
      <c r="T47" s="435"/>
      <c r="U47" s="435"/>
      <c r="V47" s="435"/>
      <c r="W47" s="435"/>
      <c r="X47" s="435"/>
      <c r="Y47" s="435"/>
      <c r="Z47" s="488"/>
      <c r="AA47" s="489"/>
      <c r="AB47" s="490" t="str">
        <f t="shared" si="5"/>
        <v/>
      </c>
      <c r="AC47" s="491"/>
      <c r="AD47" s="491"/>
      <c r="AE47" s="492"/>
      <c r="AF47" s="390"/>
      <c r="AG47" s="391"/>
      <c r="AH47" s="391"/>
      <c r="AI47" s="391"/>
      <c r="AJ47" s="391"/>
      <c r="AK47" s="392"/>
      <c r="AL47" s="129" t="str">
        <f t="shared" si="1"/>
        <v/>
      </c>
      <c r="AM47" s="13"/>
      <c r="AN47" s="13"/>
      <c r="AO47" s="9"/>
      <c r="AP47" s="113" t="str">
        <f t="shared" si="2"/>
        <v/>
      </c>
      <c r="AQ47" s="113" t="e">
        <f t="shared" si="3"/>
        <v>#N/A</v>
      </c>
      <c r="AR47" s="114" t="e">
        <f t="shared" si="6"/>
        <v>#N/A</v>
      </c>
      <c r="AS47" s="112" t="e">
        <f t="shared" si="11"/>
        <v>#N/A</v>
      </c>
      <c r="AX47" s="10" t="s">
        <v>74</v>
      </c>
      <c r="AY47" s="10">
        <v>0.93500000000000005</v>
      </c>
      <c r="BB47" s="10" t="s">
        <v>65</v>
      </c>
      <c r="BC47" s="5">
        <v>2013</v>
      </c>
      <c r="BD47" s="5">
        <v>1.05</v>
      </c>
      <c r="BE47" s="110">
        <v>1.0416666666666667</v>
      </c>
      <c r="BF47" s="110">
        <v>-1.337</v>
      </c>
      <c r="BG47" s="110">
        <v>-0.85099999999999998</v>
      </c>
      <c r="BH47" s="142">
        <f t="shared" si="8"/>
        <v>-1.0939999999999999</v>
      </c>
      <c r="BI47" s="110">
        <v>1.734</v>
      </c>
      <c r="BJ47" s="110">
        <v>1.379</v>
      </c>
      <c r="BK47" s="110">
        <v>2.3380000000000001</v>
      </c>
      <c r="BL47" s="110">
        <v>1.853</v>
      </c>
      <c r="BM47" s="142">
        <f t="shared" si="9"/>
        <v>2.0954999999999999</v>
      </c>
    </row>
    <row r="48" spans="1:65" s="10" customFormat="1" ht="15" hidden="1" customHeight="1">
      <c r="A48" s="9"/>
      <c r="B48" s="126">
        <f t="shared" si="10"/>
        <v>41</v>
      </c>
      <c r="C48" s="210"/>
      <c r="D48" s="210"/>
      <c r="E48" s="210"/>
      <c r="F48" s="210"/>
      <c r="G48" s="210"/>
      <c r="H48" s="210"/>
      <c r="I48" s="210"/>
      <c r="J48" s="210"/>
      <c r="K48" s="210"/>
      <c r="L48" s="440"/>
      <c r="M48" s="441"/>
      <c r="N48" s="127"/>
      <c r="O48" s="440"/>
      <c r="P48" s="441"/>
      <c r="Q48" s="210"/>
      <c r="R48" s="210"/>
      <c r="S48" s="210"/>
      <c r="T48" s="210"/>
      <c r="U48" s="210"/>
      <c r="V48" s="210"/>
      <c r="W48" s="210"/>
      <c r="X48" s="210"/>
      <c r="Y48" s="210"/>
      <c r="Z48" s="483"/>
      <c r="AA48" s="484"/>
      <c r="AB48" s="485" t="str">
        <f t="shared" si="5"/>
        <v/>
      </c>
      <c r="AC48" s="486"/>
      <c r="AD48" s="486"/>
      <c r="AE48" s="487"/>
      <c r="AF48" s="395"/>
      <c r="AG48" s="207"/>
      <c r="AH48" s="207"/>
      <c r="AI48" s="207"/>
      <c r="AJ48" s="207"/>
      <c r="AK48" s="396"/>
      <c r="AL48" s="129" t="str">
        <f t="shared" si="1"/>
        <v/>
      </c>
      <c r="AM48" s="13"/>
      <c r="AN48" s="13"/>
      <c r="AO48" s="9"/>
      <c r="AP48" s="113" t="str">
        <f t="shared" si="2"/>
        <v/>
      </c>
      <c r="AQ48" s="113" t="e">
        <f t="shared" si="3"/>
        <v>#N/A</v>
      </c>
      <c r="AR48" s="114" t="e">
        <f t="shared" si="6"/>
        <v>#N/A</v>
      </c>
      <c r="AS48" s="112" t="e">
        <f t="shared" si="11"/>
        <v>#N/A</v>
      </c>
      <c r="AX48" s="10" t="s">
        <v>73</v>
      </c>
      <c r="AY48" s="10">
        <v>0.94</v>
      </c>
      <c r="BB48" s="10" t="s">
        <v>63</v>
      </c>
      <c r="BC48" s="5">
        <v>2014</v>
      </c>
      <c r="BD48" s="5">
        <v>1.05</v>
      </c>
      <c r="BE48" s="110">
        <v>1.0416666666666667</v>
      </c>
      <c r="BF48" s="110">
        <v>-1.407875</v>
      </c>
      <c r="BG48" s="110">
        <v>-0.88175000000000003</v>
      </c>
      <c r="BH48" s="142">
        <f t="shared" si="8"/>
        <v>-1.1448125</v>
      </c>
      <c r="BI48" s="110">
        <v>1.7869999999999999</v>
      </c>
      <c r="BJ48" s="110">
        <v>1.4020000000000001</v>
      </c>
      <c r="BK48" s="110">
        <v>2.4089999999999998</v>
      </c>
      <c r="BL48" s="110">
        <v>1.8840000000000001</v>
      </c>
      <c r="BM48" s="142">
        <f t="shared" si="9"/>
        <v>2.1465000000000001</v>
      </c>
    </row>
    <row r="49" spans="1:65" s="10" customFormat="1" ht="15" hidden="1" customHeight="1">
      <c r="A49" s="9"/>
      <c r="B49" s="146">
        <f t="shared" si="10"/>
        <v>42</v>
      </c>
      <c r="C49" s="209"/>
      <c r="D49" s="209"/>
      <c r="E49" s="209"/>
      <c r="F49" s="209"/>
      <c r="G49" s="209"/>
      <c r="H49" s="209"/>
      <c r="I49" s="209"/>
      <c r="J49" s="209"/>
      <c r="K49" s="209"/>
      <c r="L49" s="395"/>
      <c r="M49" s="208"/>
      <c r="N49" s="127"/>
      <c r="O49" s="395"/>
      <c r="P49" s="208"/>
      <c r="Q49" s="209"/>
      <c r="R49" s="209"/>
      <c r="S49" s="209"/>
      <c r="T49" s="209"/>
      <c r="U49" s="209"/>
      <c r="V49" s="209"/>
      <c r="W49" s="209"/>
      <c r="X49" s="209"/>
      <c r="Y49" s="209"/>
      <c r="Z49" s="438"/>
      <c r="AA49" s="439"/>
      <c r="AB49" s="397" t="str">
        <f t="shared" si="5"/>
        <v/>
      </c>
      <c r="AC49" s="398"/>
      <c r="AD49" s="398"/>
      <c r="AE49" s="399"/>
      <c r="AF49" s="395"/>
      <c r="AG49" s="207"/>
      <c r="AH49" s="207"/>
      <c r="AI49" s="207"/>
      <c r="AJ49" s="207"/>
      <c r="AK49" s="396"/>
      <c r="AL49" s="129" t="str">
        <f t="shared" si="1"/>
        <v/>
      </c>
      <c r="AM49" s="13"/>
      <c r="AN49" s="13"/>
      <c r="AO49" s="9"/>
      <c r="AP49" s="113" t="str">
        <f t="shared" si="2"/>
        <v/>
      </c>
      <c r="AQ49" s="113" t="e">
        <f t="shared" si="3"/>
        <v>#N/A</v>
      </c>
      <c r="AR49" s="114" t="e">
        <f t="shared" si="6"/>
        <v>#N/A</v>
      </c>
      <c r="AS49" s="112" t="e">
        <f t="shared" si="11"/>
        <v>#N/A</v>
      </c>
      <c r="AX49" s="10" t="s">
        <v>72</v>
      </c>
      <c r="AY49" s="10">
        <v>0.94499999999999995</v>
      </c>
      <c r="BB49" s="10" t="s">
        <v>216</v>
      </c>
      <c r="BC49" s="5">
        <v>2015</v>
      </c>
      <c r="BD49" s="5">
        <v>1.05</v>
      </c>
      <c r="BE49" s="110">
        <v>1.0416666666666667</v>
      </c>
      <c r="BF49" s="110">
        <v>-1.47875</v>
      </c>
      <c r="BG49" s="110">
        <v>-0.91249999999999998</v>
      </c>
      <c r="BH49" s="142">
        <f t="shared" si="8"/>
        <v>-1.1956249999999999</v>
      </c>
      <c r="BI49" s="110">
        <v>1.8399999999999999</v>
      </c>
      <c r="BJ49" s="110">
        <v>1.425</v>
      </c>
      <c r="BK49" s="110">
        <v>2.48</v>
      </c>
      <c r="BL49" s="110">
        <v>1.915</v>
      </c>
      <c r="BM49" s="142">
        <f t="shared" si="9"/>
        <v>2.1974999999999998</v>
      </c>
    </row>
    <row r="50" spans="1:65" s="10" customFormat="1" ht="15" hidden="1" customHeight="1">
      <c r="A50" s="9"/>
      <c r="B50" s="146">
        <f t="shared" si="10"/>
        <v>43</v>
      </c>
      <c r="C50" s="209"/>
      <c r="D50" s="209"/>
      <c r="E50" s="209"/>
      <c r="F50" s="209"/>
      <c r="G50" s="209"/>
      <c r="H50" s="209"/>
      <c r="I50" s="209"/>
      <c r="J50" s="209"/>
      <c r="K50" s="209"/>
      <c r="L50" s="395"/>
      <c r="M50" s="208"/>
      <c r="N50" s="127"/>
      <c r="O50" s="395"/>
      <c r="P50" s="208"/>
      <c r="Q50" s="209"/>
      <c r="R50" s="209"/>
      <c r="S50" s="209"/>
      <c r="T50" s="209"/>
      <c r="U50" s="209"/>
      <c r="V50" s="209"/>
      <c r="W50" s="209"/>
      <c r="X50" s="209"/>
      <c r="Y50" s="209"/>
      <c r="Z50" s="438"/>
      <c r="AA50" s="439"/>
      <c r="AB50" s="397" t="str">
        <f t="shared" si="5"/>
        <v/>
      </c>
      <c r="AC50" s="398"/>
      <c r="AD50" s="398"/>
      <c r="AE50" s="399"/>
      <c r="AF50" s="395"/>
      <c r="AG50" s="207"/>
      <c r="AH50" s="207"/>
      <c r="AI50" s="207"/>
      <c r="AJ50" s="207"/>
      <c r="AK50" s="396"/>
      <c r="AL50" s="129" t="str">
        <f t="shared" si="1"/>
        <v/>
      </c>
      <c r="AM50" s="13"/>
      <c r="AN50" s="13"/>
      <c r="AO50" s="9"/>
      <c r="AP50" s="113" t="str">
        <f t="shared" si="2"/>
        <v/>
      </c>
      <c r="AQ50" s="113" t="e">
        <f t="shared" si="3"/>
        <v>#N/A</v>
      </c>
      <c r="AR50" s="114" t="e">
        <f t="shared" si="6"/>
        <v>#N/A</v>
      </c>
      <c r="AS50" s="112" t="e">
        <f t="shared" si="11"/>
        <v>#N/A</v>
      </c>
      <c r="AX50" s="10" t="s">
        <v>71</v>
      </c>
      <c r="AY50" s="10">
        <v>0.95</v>
      </c>
      <c r="BB50" s="116" t="s">
        <v>218</v>
      </c>
      <c r="BC50" s="116">
        <v>2009</v>
      </c>
      <c r="BD50" s="116">
        <v>1.05</v>
      </c>
      <c r="BE50" s="116">
        <v>1.0416666666666667</v>
      </c>
      <c r="BF50" s="116">
        <v>-1.5496249999999998</v>
      </c>
      <c r="BG50" s="116">
        <v>-0.94324999999999992</v>
      </c>
      <c r="BH50" s="142">
        <f t="shared" si="8"/>
        <v>-1.2464374999999999</v>
      </c>
      <c r="BI50" s="116">
        <v>1.8929999999999998</v>
      </c>
      <c r="BJ50" s="116">
        <v>1.448</v>
      </c>
      <c r="BK50" s="116">
        <v>2.5510000000000002</v>
      </c>
      <c r="BL50" s="116">
        <v>1.9460000000000002</v>
      </c>
      <c r="BM50" s="142">
        <f t="shared" si="9"/>
        <v>2.2484999999999999</v>
      </c>
    </row>
    <row r="51" spans="1:65" s="10" customFormat="1" ht="15" hidden="1" customHeight="1">
      <c r="A51" s="9"/>
      <c r="B51" s="146">
        <f t="shared" si="10"/>
        <v>44</v>
      </c>
      <c r="C51" s="209"/>
      <c r="D51" s="209"/>
      <c r="E51" s="209"/>
      <c r="F51" s="209"/>
      <c r="G51" s="209"/>
      <c r="H51" s="209"/>
      <c r="I51" s="209"/>
      <c r="J51" s="209"/>
      <c r="K51" s="209"/>
      <c r="L51" s="395"/>
      <c r="M51" s="208"/>
      <c r="N51" s="127"/>
      <c r="O51" s="395"/>
      <c r="P51" s="208"/>
      <c r="Q51" s="209"/>
      <c r="R51" s="209"/>
      <c r="S51" s="209"/>
      <c r="T51" s="209"/>
      <c r="U51" s="209"/>
      <c r="V51" s="209"/>
      <c r="W51" s="209"/>
      <c r="X51" s="209"/>
      <c r="Y51" s="209"/>
      <c r="Z51" s="438"/>
      <c r="AA51" s="439"/>
      <c r="AB51" s="397" t="str">
        <f t="shared" si="5"/>
        <v/>
      </c>
      <c r="AC51" s="398"/>
      <c r="AD51" s="398"/>
      <c r="AE51" s="399"/>
      <c r="AF51" s="395"/>
      <c r="AG51" s="207"/>
      <c r="AH51" s="207"/>
      <c r="AI51" s="207"/>
      <c r="AJ51" s="207"/>
      <c r="AK51" s="396"/>
      <c r="AL51" s="129" t="str">
        <f t="shared" si="1"/>
        <v/>
      </c>
      <c r="AM51" s="13"/>
      <c r="AN51" s="13"/>
      <c r="AO51" s="9"/>
      <c r="AP51" s="113" t="str">
        <f t="shared" si="2"/>
        <v/>
      </c>
      <c r="AQ51" s="113" t="e">
        <f t="shared" si="3"/>
        <v>#N/A</v>
      </c>
      <c r="AR51" s="114" t="e">
        <f t="shared" si="6"/>
        <v>#N/A</v>
      </c>
      <c r="AS51" s="112" t="e">
        <f t="shared" si="11"/>
        <v>#N/A</v>
      </c>
      <c r="AX51" s="10" t="s">
        <v>70</v>
      </c>
      <c r="AY51" s="10">
        <v>0.95499999999999996</v>
      </c>
      <c r="BC51" s="5">
        <v>2016</v>
      </c>
      <c r="BD51" s="5">
        <v>1.05</v>
      </c>
      <c r="BE51" s="110">
        <v>1.0416666666666667</v>
      </c>
      <c r="BF51" s="110">
        <v>-1.6204999999999998</v>
      </c>
      <c r="BG51" s="110">
        <v>-0.97399999999999998</v>
      </c>
      <c r="BH51" s="142">
        <f t="shared" si="8"/>
        <v>-1.29725</v>
      </c>
      <c r="BI51" s="110">
        <v>1.9459999999999997</v>
      </c>
      <c r="BJ51" s="110">
        <v>1.4710000000000001</v>
      </c>
      <c r="BK51" s="110">
        <v>2.6219999999999999</v>
      </c>
      <c r="BL51" s="110">
        <v>1.9770000000000001</v>
      </c>
      <c r="BM51" s="142">
        <f t="shared" si="9"/>
        <v>2.2995000000000001</v>
      </c>
    </row>
    <row r="52" spans="1:65" s="10" customFormat="1" ht="15" hidden="1" customHeight="1">
      <c r="A52" s="9"/>
      <c r="B52" s="146">
        <f t="shared" si="10"/>
        <v>45</v>
      </c>
      <c r="C52" s="209"/>
      <c r="D52" s="209"/>
      <c r="E52" s="209"/>
      <c r="F52" s="209"/>
      <c r="G52" s="209"/>
      <c r="H52" s="209"/>
      <c r="I52" s="209"/>
      <c r="J52" s="209"/>
      <c r="K52" s="209"/>
      <c r="L52" s="395"/>
      <c r="M52" s="208"/>
      <c r="N52" s="127"/>
      <c r="O52" s="395"/>
      <c r="P52" s="208"/>
      <c r="Q52" s="209"/>
      <c r="R52" s="209"/>
      <c r="S52" s="209"/>
      <c r="T52" s="209"/>
      <c r="U52" s="209"/>
      <c r="V52" s="209"/>
      <c r="W52" s="209"/>
      <c r="X52" s="209"/>
      <c r="Y52" s="209"/>
      <c r="Z52" s="438"/>
      <c r="AA52" s="439"/>
      <c r="AB52" s="397" t="str">
        <f t="shared" si="5"/>
        <v/>
      </c>
      <c r="AC52" s="398"/>
      <c r="AD52" s="398"/>
      <c r="AE52" s="399"/>
      <c r="AF52" s="395"/>
      <c r="AG52" s="207"/>
      <c r="AH52" s="207"/>
      <c r="AI52" s="207"/>
      <c r="AJ52" s="207"/>
      <c r="AK52" s="396"/>
      <c r="AL52" s="129" t="str">
        <f t="shared" si="1"/>
        <v/>
      </c>
      <c r="AM52" s="13"/>
      <c r="AN52" s="13"/>
      <c r="AO52" s="9"/>
      <c r="AP52" s="113" t="str">
        <f t="shared" si="2"/>
        <v/>
      </c>
      <c r="AQ52" s="113" t="e">
        <f t="shared" si="3"/>
        <v>#N/A</v>
      </c>
      <c r="AR52" s="114" t="e">
        <f t="shared" si="6"/>
        <v>#N/A</v>
      </c>
      <c r="AS52" s="112" t="e">
        <f t="shared" si="11"/>
        <v>#N/A</v>
      </c>
      <c r="AX52" s="10" t="s">
        <v>69</v>
      </c>
      <c r="AY52" s="10">
        <v>0.96</v>
      </c>
      <c r="BC52" s="5">
        <v>2017</v>
      </c>
      <c r="BD52" s="5">
        <v>1.05</v>
      </c>
      <c r="BE52" s="110">
        <v>1.0416666666666667</v>
      </c>
      <c r="BF52" s="110">
        <v>-1.6913749999999999</v>
      </c>
      <c r="BG52" s="110">
        <v>-1.00475</v>
      </c>
      <c r="BH52" s="142">
        <f t="shared" si="8"/>
        <v>-1.3480624999999999</v>
      </c>
      <c r="BI52" s="110">
        <v>1.9989999999999997</v>
      </c>
      <c r="BJ52" s="110">
        <v>1.494</v>
      </c>
      <c r="BK52" s="110">
        <v>2.6930000000000001</v>
      </c>
      <c r="BL52" s="110">
        <v>2.008</v>
      </c>
      <c r="BM52" s="142">
        <f t="shared" si="9"/>
        <v>2.3505000000000003</v>
      </c>
    </row>
    <row r="53" spans="1:65" s="10" customFormat="1" ht="15" hidden="1" customHeight="1">
      <c r="A53" s="9"/>
      <c r="B53" s="146">
        <f t="shared" si="10"/>
        <v>46</v>
      </c>
      <c r="C53" s="209"/>
      <c r="D53" s="209"/>
      <c r="E53" s="209"/>
      <c r="F53" s="209"/>
      <c r="G53" s="209"/>
      <c r="H53" s="209"/>
      <c r="I53" s="209"/>
      <c r="J53" s="209"/>
      <c r="K53" s="209"/>
      <c r="L53" s="395"/>
      <c r="M53" s="208"/>
      <c r="N53" s="127"/>
      <c r="O53" s="395"/>
      <c r="P53" s="208"/>
      <c r="Q53" s="209"/>
      <c r="R53" s="209"/>
      <c r="S53" s="209"/>
      <c r="T53" s="209"/>
      <c r="U53" s="209"/>
      <c r="V53" s="209"/>
      <c r="W53" s="209"/>
      <c r="X53" s="209"/>
      <c r="Y53" s="209"/>
      <c r="Z53" s="438"/>
      <c r="AA53" s="439"/>
      <c r="AB53" s="397" t="str">
        <f t="shared" si="5"/>
        <v/>
      </c>
      <c r="AC53" s="398"/>
      <c r="AD53" s="398"/>
      <c r="AE53" s="399"/>
      <c r="AF53" s="395"/>
      <c r="AG53" s="207"/>
      <c r="AH53" s="207"/>
      <c r="AI53" s="207"/>
      <c r="AJ53" s="207"/>
      <c r="AK53" s="396"/>
      <c r="AL53" s="129" t="str">
        <f t="shared" si="1"/>
        <v/>
      </c>
      <c r="AM53" s="13"/>
      <c r="AN53" s="13"/>
      <c r="AO53" s="9"/>
      <c r="AP53" s="113" t="str">
        <f t="shared" si="2"/>
        <v/>
      </c>
      <c r="AQ53" s="113" t="e">
        <f t="shared" si="3"/>
        <v>#N/A</v>
      </c>
      <c r="AR53" s="114" t="e">
        <f t="shared" si="6"/>
        <v>#N/A</v>
      </c>
      <c r="AS53" s="112" t="e">
        <f t="shared" si="11"/>
        <v>#N/A</v>
      </c>
      <c r="AX53" s="10" t="s">
        <v>67</v>
      </c>
      <c r="AY53" s="10">
        <v>0.96499999999999997</v>
      </c>
      <c r="BC53" s="5">
        <v>2018</v>
      </c>
      <c r="BD53" s="5">
        <v>1.05</v>
      </c>
      <c r="BE53" s="110">
        <v>1.0416666666666667</v>
      </c>
      <c r="BF53" s="110">
        <v>-1.7036249999999999</v>
      </c>
      <c r="BG53" s="110">
        <v>-1.0661250000000002</v>
      </c>
      <c r="BH53" s="142">
        <f t="shared" si="8"/>
        <v>-1.3848750000000001</v>
      </c>
      <c r="BI53" s="110">
        <v>2.0110000000000001</v>
      </c>
      <c r="BJ53" s="110">
        <v>1.5427499999999998</v>
      </c>
      <c r="BK53" s="110">
        <v>2.7087499999999998</v>
      </c>
      <c r="BL53" s="110">
        <v>2.0732499999999998</v>
      </c>
      <c r="BM53" s="142">
        <f t="shared" si="9"/>
        <v>2.391</v>
      </c>
    </row>
    <row r="54" spans="1:65" s="10" customFormat="1" ht="15" hidden="1" customHeight="1">
      <c r="A54" s="9"/>
      <c r="B54" s="146">
        <f t="shared" si="10"/>
        <v>47</v>
      </c>
      <c r="C54" s="209"/>
      <c r="D54" s="209"/>
      <c r="E54" s="209"/>
      <c r="F54" s="209"/>
      <c r="G54" s="209"/>
      <c r="H54" s="209"/>
      <c r="I54" s="209"/>
      <c r="J54" s="209"/>
      <c r="K54" s="209"/>
      <c r="L54" s="395"/>
      <c r="M54" s="208"/>
      <c r="N54" s="127"/>
      <c r="O54" s="395"/>
      <c r="P54" s="208"/>
      <c r="Q54" s="209"/>
      <c r="R54" s="209"/>
      <c r="S54" s="209"/>
      <c r="T54" s="209"/>
      <c r="U54" s="209"/>
      <c r="V54" s="209"/>
      <c r="W54" s="209"/>
      <c r="X54" s="209"/>
      <c r="Y54" s="209"/>
      <c r="Z54" s="438"/>
      <c r="AA54" s="439"/>
      <c r="AB54" s="397" t="str">
        <f t="shared" si="5"/>
        <v/>
      </c>
      <c r="AC54" s="398"/>
      <c r="AD54" s="398"/>
      <c r="AE54" s="399"/>
      <c r="AF54" s="395"/>
      <c r="AG54" s="207"/>
      <c r="AH54" s="207"/>
      <c r="AI54" s="207"/>
      <c r="AJ54" s="207"/>
      <c r="AK54" s="396"/>
      <c r="AL54" s="129" t="str">
        <f t="shared" si="1"/>
        <v/>
      </c>
      <c r="AM54" s="13"/>
      <c r="AN54" s="13"/>
      <c r="AO54" s="9"/>
      <c r="AP54" s="113" t="str">
        <f t="shared" si="2"/>
        <v/>
      </c>
      <c r="AQ54" s="113" t="e">
        <f t="shared" si="3"/>
        <v>#N/A</v>
      </c>
      <c r="AR54" s="114" t="e">
        <f t="shared" si="6"/>
        <v>#N/A</v>
      </c>
      <c r="AS54" s="112" t="e">
        <f t="shared" si="11"/>
        <v>#N/A</v>
      </c>
      <c r="AX54" s="10" t="s">
        <v>65</v>
      </c>
      <c r="AY54" s="10">
        <v>0.97</v>
      </c>
      <c r="BC54" s="5"/>
      <c r="BD54" s="5"/>
      <c r="BE54" s="5"/>
      <c r="BF54" s="5"/>
      <c r="BG54" s="5"/>
      <c r="BH54" s="141"/>
      <c r="BI54" s="5"/>
      <c r="BJ54" s="5"/>
      <c r="BK54" s="5"/>
      <c r="BM54" s="141"/>
    </row>
    <row r="55" spans="1:65" s="10" customFormat="1" ht="15" hidden="1" customHeight="1">
      <c r="A55" s="9"/>
      <c r="B55" s="146">
        <f t="shared" si="10"/>
        <v>48</v>
      </c>
      <c r="C55" s="209"/>
      <c r="D55" s="209"/>
      <c r="E55" s="209"/>
      <c r="F55" s="209"/>
      <c r="G55" s="209"/>
      <c r="H55" s="209"/>
      <c r="I55" s="209"/>
      <c r="J55" s="209"/>
      <c r="K55" s="209"/>
      <c r="L55" s="395"/>
      <c r="M55" s="208"/>
      <c r="N55" s="127"/>
      <c r="O55" s="395"/>
      <c r="P55" s="208"/>
      <c r="Q55" s="209"/>
      <c r="R55" s="209"/>
      <c r="S55" s="209"/>
      <c r="T55" s="209"/>
      <c r="U55" s="209"/>
      <c r="V55" s="209"/>
      <c r="W55" s="209"/>
      <c r="X55" s="209"/>
      <c r="Y55" s="209"/>
      <c r="Z55" s="438"/>
      <c r="AA55" s="439"/>
      <c r="AB55" s="397" t="str">
        <f t="shared" si="5"/>
        <v/>
      </c>
      <c r="AC55" s="398"/>
      <c r="AD55" s="398"/>
      <c r="AE55" s="399"/>
      <c r="AF55" s="395"/>
      <c r="AG55" s="207"/>
      <c r="AH55" s="207"/>
      <c r="AI55" s="207"/>
      <c r="AJ55" s="207"/>
      <c r="AK55" s="396"/>
      <c r="AL55" s="129" t="str">
        <f t="shared" si="1"/>
        <v/>
      </c>
      <c r="AM55" s="13"/>
      <c r="AN55" s="13"/>
      <c r="AO55" s="9"/>
      <c r="AP55" s="113" t="str">
        <f t="shared" si="2"/>
        <v/>
      </c>
      <c r="AQ55" s="113" t="e">
        <f t="shared" si="3"/>
        <v>#N/A</v>
      </c>
      <c r="AR55" s="114" t="e">
        <f t="shared" si="6"/>
        <v>#N/A</v>
      </c>
      <c r="AS55" s="112" t="e">
        <f t="shared" si="11"/>
        <v>#N/A</v>
      </c>
      <c r="AX55" s="10" t="s">
        <v>63</v>
      </c>
      <c r="AY55" s="10">
        <v>0.97499999999999998</v>
      </c>
      <c r="BC55" s="5"/>
      <c r="BD55" s="5"/>
      <c r="BE55" s="5"/>
      <c r="BF55" s="5"/>
      <c r="BG55" s="5"/>
      <c r="BH55" s="141"/>
      <c r="BI55" s="5"/>
      <c r="BJ55" s="5"/>
      <c r="BK55" s="5"/>
      <c r="BM55" s="141"/>
    </row>
    <row r="56" spans="1:65" ht="15" hidden="1" customHeight="1">
      <c r="A56" s="9"/>
      <c r="B56" s="146">
        <f t="shared" si="10"/>
        <v>49</v>
      </c>
      <c r="C56" s="209"/>
      <c r="D56" s="209"/>
      <c r="E56" s="209"/>
      <c r="F56" s="209"/>
      <c r="G56" s="209"/>
      <c r="H56" s="209"/>
      <c r="I56" s="209"/>
      <c r="J56" s="209"/>
      <c r="K56" s="209"/>
      <c r="L56" s="395"/>
      <c r="M56" s="208"/>
      <c r="N56" s="127"/>
      <c r="O56" s="395"/>
      <c r="P56" s="208"/>
      <c r="Q56" s="209"/>
      <c r="R56" s="209"/>
      <c r="S56" s="209"/>
      <c r="T56" s="209"/>
      <c r="U56" s="209"/>
      <c r="V56" s="209"/>
      <c r="W56" s="209"/>
      <c r="X56" s="209"/>
      <c r="Y56" s="209"/>
      <c r="Z56" s="438"/>
      <c r="AA56" s="439"/>
      <c r="AB56" s="397" t="str">
        <f t="shared" si="5"/>
        <v/>
      </c>
      <c r="AC56" s="398"/>
      <c r="AD56" s="398"/>
      <c r="AE56" s="399"/>
      <c r="AF56" s="395"/>
      <c r="AG56" s="207"/>
      <c r="AH56" s="207"/>
      <c r="AI56" s="207"/>
      <c r="AJ56" s="207"/>
      <c r="AK56" s="396"/>
      <c r="AL56" s="129" t="str">
        <f t="shared" si="1"/>
        <v/>
      </c>
      <c r="AP56" s="113" t="str">
        <f t="shared" si="2"/>
        <v/>
      </c>
      <c r="AQ56" s="113" t="e">
        <f t="shared" si="3"/>
        <v>#N/A</v>
      </c>
      <c r="AR56" s="114" t="e">
        <f t="shared" si="6"/>
        <v>#N/A</v>
      </c>
      <c r="AS56" s="112" t="e">
        <f t="shared" si="11"/>
        <v>#N/A</v>
      </c>
      <c r="AT56" s="10"/>
      <c r="AU56" s="10"/>
      <c r="AV56" s="10"/>
      <c r="AX56" s="5" t="s">
        <v>216</v>
      </c>
      <c r="AY56" s="5">
        <v>0.98</v>
      </c>
      <c r="BH56" s="141"/>
      <c r="BM56" s="141"/>
    </row>
    <row r="57" spans="1:65" ht="14.25" hidden="1" thickBot="1">
      <c r="A57" s="9"/>
      <c r="B57" s="145">
        <f t="shared" si="10"/>
        <v>50</v>
      </c>
      <c r="C57" s="213"/>
      <c r="D57" s="213"/>
      <c r="E57" s="213"/>
      <c r="F57" s="213"/>
      <c r="G57" s="213"/>
      <c r="H57" s="213"/>
      <c r="I57" s="213"/>
      <c r="J57" s="453"/>
      <c r="K57" s="453"/>
      <c r="L57" s="477"/>
      <c r="M57" s="478"/>
      <c r="N57" s="127"/>
      <c r="O57" s="457"/>
      <c r="P57" s="458"/>
      <c r="Q57" s="213"/>
      <c r="R57" s="213"/>
      <c r="S57" s="213"/>
      <c r="T57" s="213"/>
      <c r="U57" s="213"/>
      <c r="V57" s="213"/>
      <c r="W57" s="213"/>
      <c r="X57" s="213"/>
      <c r="Y57" s="213"/>
      <c r="Z57" s="475"/>
      <c r="AA57" s="476"/>
      <c r="AB57" s="454" t="str">
        <f t="shared" si="5"/>
        <v/>
      </c>
      <c r="AC57" s="455"/>
      <c r="AD57" s="455"/>
      <c r="AE57" s="456"/>
      <c r="AF57" s="479"/>
      <c r="AG57" s="212"/>
      <c r="AH57" s="212"/>
      <c r="AI57" s="212"/>
      <c r="AJ57" s="212"/>
      <c r="AK57" s="480"/>
      <c r="AL57" s="130" t="str">
        <f t="shared" si="1"/>
        <v/>
      </c>
      <c r="AP57" s="113" t="str">
        <f t="shared" si="2"/>
        <v/>
      </c>
      <c r="AQ57" s="113" t="e">
        <f t="shared" si="3"/>
        <v>#N/A</v>
      </c>
      <c r="AR57" s="114" t="e">
        <f t="shared" si="6"/>
        <v>#N/A</v>
      </c>
      <c r="AS57" s="112" t="e">
        <f t="shared" si="11"/>
        <v>#N/A</v>
      </c>
      <c r="AT57" s="10"/>
      <c r="AU57" s="10"/>
      <c r="AX57" s="5" t="s">
        <v>53</v>
      </c>
      <c r="AY57" s="5">
        <v>0.98499999999999999</v>
      </c>
      <c r="BH57" s="141"/>
      <c r="BM57" s="141"/>
    </row>
    <row r="58" spans="1:65" ht="16.5" customHeight="1">
      <c r="A58" s="9"/>
      <c r="B58" s="9"/>
      <c r="C58" s="9"/>
      <c r="I58" s="123"/>
      <c r="J58" s="123"/>
      <c r="K58" s="123"/>
      <c r="L58" s="123"/>
      <c r="M58" s="123"/>
      <c r="X58" s="48"/>
      <c r="Y58" s="41"/>
      <c r="Z58" s="41"/>
      <c r="AA58" s="123" t="s">
        <v>23</v>
      </c>
      <c r="AB58" s="482">
        <f>SUM(AB8:AE57)</f>
        <v>0</v>
      </c>
      <c r="AC58" s="482"/>
      <c r="AD58" s="482"/>
      <c r="AE58" s="482"/>
      <c r="AF58" s="48" t="s">
        <v>123</v>
      </c>
      <c r="AG58" s="125"/>
      <c r="AH58" s="41"/>
      <c r="AI58" s="7"/>
      <c r="AJ58" s="144"/>
      <c r="AK58" s="41"/>
      <c r="AL58" s="132" t="str">
        <f>IFERROR(IF(AN58&lt;1,"","負荷率超過有"),"?")</f>
        <v/>
      </c>
      <c r="AN58" s="17">
        <f>COUNTIF(AL8:AL57,"超過")</f>
        <v>0</v>
      </c>
      <c r="AR58" s="17"/>
      <c r="AS58" s="112"/>
      <c r="AU58" s="18"/>
      <c r="AX58" s="5" t="s">
        <v>51</v>
      </c>
      <c r="AY58" s="5">
        <v>0.99</v>
      </c>
      <c r="BH58" s="143"/>
      <c r="BM58" s="143"/>
    </row>
    <row r="59" spans="1:65" ht="16.5" customHeight="1" thickBot="1">
      <c r="A59" s="9"/>
      <c r="B59" s="9"/>
      <c r="C59" s="9"/>
      <c r="D59" s="147"/>
      <c r="E59" s="147"/>
      <c r="F59" s="147"/>
      <c r="G59" s="62"/>
      <c r="H59" s="131"/>
      <c r="I59" s="131"/>
      <c r="J59" s="131"/>
      <c r="K59" s="131"/>
      <c r="L59" s="131"/>
      <c r="M59" s="9"/>
      <c r="N59" s="9"/>
      <c r="O59" s="10"/>
      <c r="P59" s="9"/>
      <c r="Q59" s="9"/>
      <c r="R59" s="9"/>
      <c r="S59" s="9"/>
      <c r="T59" s="9"/>
      <c r="U59" s="147"/>
      <c r="V59" s="147"/>
      <c r="W59" s="147"/>
      <c r="X59" s="147"/>
      <c r="Y59" s="19"/>
      <c r="Z59" s="19"/>
      <c r="AA59" s="19"/>
      <c r="AB59" s="19"/>
      <c r="AC59" s="19"/>
      <c r="AD59" s="19"/>
      <c r="AE59" s="20"/>
      <c r="AF59" s="9"/>
      <c r="AG59" s="9"/>
      <c r="AH59" s="122"/>
      <c r="AI59" s="122"/>
      <c r="AJ59" s="122"/>
      <c r="AK59" s="122"/>
      <c r="AL59" s="9"/>
      <c r="AX59" s="5" t="s">
        <v>49</v>
      </c>
      <c r="AY59" s="5">
        <v>0.995</v>
      </c>
    </row>
    <row r="60" spans="1:65">
      <c r="A60" s="21"/>
      <c r="B60" s="124"/>
      <c r="C60" s="292" t="s">
        <v>8</v>
      </c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4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10"/>
      <c r="Z60" s="1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X60" s="5" t="s">
        <v>120</v>
      </c>
      <c r="AY60" s="5">
        <v>0.70499999999999996</v>
      </c>
    </row>
    <row r="61" spans="1:65" ht="13.5" customHeight="1">
      <c r="A61" s="21"/>
      <c r="B61" s="22"/>
      <c r="C61" s="481">
        <f>AB58*0.495*0.001</f>
        <v>0</v>
      </c>
      <c r="D61" s="389"/>
      <c r="E61" s="389"/>
      <c r="F61" s="389"/>
      <c r="G61" s="389"/>
      <c r="H61" s="389"/>
      <c r="I61" s="459" t="s">
        <v>4</v>
      </c>
      <c r="J61" s="459"/>
      <c r="K61" s="459"/>
      <c r="L61" s="459"/>
      <c r="M61" s="459"/>
      <c r="N61" s="466"/>
      <c r="O61" s="24"/>
      <c r="P61" s="24"/>
      <c r="Q61" s="24"/>
      <c r="R61" s="24"/>
      <c r="S61" s="24"/>
      <c r="T61" s="24"/>
      <c r="U61" s="20"/>
      <c r="V61" s="20"/>
      <c r="W61" s="20"/>
      <c r="X61" s="20"/>
      <c r="Y61" s="20"/>
      <c r="Z61" s="20"/>
      <c r="AA61" s="24"/>
      <c r="AB61" s="133"/>
      <c r="AC61" s="133"/>
      <c r="AD61" s="133"/>
      <c r="AE61" s="133"/>
      <c r="AF61" s="133"/>
      <c r="AG61" s="133"/>
      <c r="AH61" s="133"/>
      <c r="AI61" s="20"/>
      <c r="AJ61" s="20"/>
      <c r="AK61" s="20"/>
      <c r="AL61" s="20"/>
    </row>
    <row r="62" spans="1:65" ht="13.5" customHeight="1" thickBot="1">
      <c r="A62" s="23"/>
      <c r="B62" s="23"/>
      <c r="C62" s="282"/>
      <c r="D62" s="283"/>
      <c r="E62" s="283"/>
      <c r="F62" s="283"/>
      <c r="G62" s="283"/>
      <c r="H62" s="283"/>
      <c r="I62" s="467"/>
      <c r="J62" s="467"/>
      <c r="K62" s="467"/>
      <c r="L62" s="467"/>
      <c r="M62" s="467"/>
      <c r="N62" s="468"/>
      <c r="O62" s="24"/>
      <c r="P62" s="24"/>
      <c r="Q62" s="24"/>
      <c r="R62" s="24"/>
      <c r="S62" s="24"/>
      <c r="T62" s="24"/>
      <c r="U62" s="20"/>
      <c r="V62" s="20"/>
      <c r="W62" s="20"/>
      <c r="X62" s="20"/>
      <c r="Y62" s="20"/>
      <c r="Z62" s="20"/>
      <c r="AA62" s="133"/>
      <c r="AB62" s="133"/>
      <c r="AC62" s="133"/>
      <c r="AD62" s="133"/>
      <c r="AE62" s="133"/>
      <c r="AF62" s="133"/>
      <c r="AG62" s="133"/>
      <c r="AH62" s="133"/>
      <c r="AI62" s="20"/>
      <c r="AJ62" s="20"/>
      <c r="AK62" s="20"/>
      <c r="AL62" s="20"/>
    </row>
    <row r="63" spans="1:65">
      <c r="A63" s="10"/>
      <c r="B63" s="2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65" ht="13.5" customHeight="1">
      <c r="Q64" s="134"/>
      <c r="R64" s="134"/>
      <c r="S64" s="134"/>
      <c r="T64" s="134"/>
      <c r="U64" s="134"/>
      <c r="V64" s="10"/>
      <c r="W64" s="10"/>
      <c r="X64" s="10"/>
      <c r="Y64" s="10"/>
      <c r="Z64" s="1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</row>
    <row r="65" spans="17:51" ht="14.25" customHeight="1">
      <c r="Q65" s="133"/>
      <c r="R65" s="133"/>
      <c r="S65" s="133"/>
      <c r="T65" s="20"/>
      <c r="U65" s="20"/>
      <c r="V65" s="10"/>
      <c r="W65" s="10"/>
      <c r="X65" s="10"/>
      <c r="Y65" s="10"/>
      <c r="Z65" s="10"/>
      <c r="AA65" s="24"/>
      <c r="AB65" s="133"/>
      <c r="AC65" s="133"/>
      <c r="AD65" s="133"/>
      <c r="AE65" s="133"/>
      <c r="AF65" s="133"/>
      <c r="AG65" s="133"/>
      <c r="AH65" s="133"/>
      <c r="AI65" s="135"/>
      <c r="AJ65" s="20"/>
      <c r="AK65" s="20"/>
      <c r="AL65" s="20"/>
    </row>
    <row r="66" spans="17:51" ht="13.5" customHeight="1">
      <c r="Q66" s="133"/>
      <c r="R66" s="133"/>
      <c r="S66" s="133"/>
      <c r="T66" s="20"/>
      <c r="U66" s="20"/>
      <c r="V66" s="10"/>
      <c r="W66" s="10"/>
      <c r="X66" s="10"/>
      <c r="Y66" s="10"/>
      <c r="Z66" s="10"/>
      <c r="AA66" s="133"/>
      <c r="AB66" s="133"/>
      <c r="AC66" s="133"/>
      <c r="AD66" s="133"/>
      <c r="AE66" s="133"/>
      <c r="AF66" s="133"/>
      <c r="AG66" s="133"/>
      <c r="AH66" s="133"/>
      <c r="AI66" s="20"/>
      <c r="AJ66" s="20"/>
      <c r="AK66" s="20"/>
      <c r="AL66" s="20"/>
    </row>
    <row r="67" spans="17:51" ht="14.25">
      <c r="Q67" s="25"/>
    </row>
    <row r="68" spans="17:51" ht="13.5" customHeight="1"/>
    <row r="69" spans="17:51" ht="14.25" customHeight="1"/>
    <row r="72" spans="17:51">
      <c r="AX72" s="5" t="s">
        <v>47</v>
      </c>
      <c r="AY72" s="5">
        <v>1</v>
      </c>
    </row>
  </sheetData>
  <sheetProtection password="D73A" sheet="1" objects="1" formatCells="0"/>
  <mergeCells count="479">
    <mergeCell ref="A3:K4"/>
    <mergeCell ref="U1:AF2"/>
    <mergeCell ref="AG1:AH2"/>
    <mergeCell ref="AI1:AL2"/>
    <mergeCell ref="L3:AJ4"/>
    <mergeCell ref="B6:B7"/>
    <mergeCell ref="C6:K7"/>
    <mergeCell ref="L6:M7"/>
    <mergeCell ref="N6:N7"/>
    <mergeCell ref="O6:P6"/>
    <mergeCell ref="Q6:S6"/>
    <mergeCell ref="O7:P7"/>
    <mergeCell ref="Q7:S7"/>
    <mergeCell ref="A1:K2"/>
    <mergeCell ref="L1:T2"/>
    <mergeCell ref="T6:V6"/>
    <mergeCell ref="W6:Y6"/>
    <mergeCell ref="Z6:AA6"/>
    <mergeCell ref="AB6:AE6"/>
    <mergeCell ref="AF6:AK7"/>
    <mergeCell ref="AL6:AL7"/>
    <mergeCell ref="T7:V7"/>
    <mergeCell ref="W7:Y7"/>
    <mergeCell ref="Z7:AA7"/>
    <mergeCell ref="AB7:AE7"/>
    <mergeCell ref="Z8:AA8"/>
    <mergeCell ref="AB8:AE8"/>
    <mergeCell ref="AF8:AK8"/>
    <mergeCell ref="C9:K9"/>
    <mergeCell ref="L9:M9"/>
    <mergeCell ref="O9:P9"/>
    <mergeCell ref="Q9:S9"/>
    <mergeCell ref="T9:V9"/>
    <mergeCell ref="W9:Y9"/>
    <mergeCell ref="Z9:AA9"/>
    <mergeCell ref="C8:K8"/>
    <mergeCell ref="L8:M8"/>
    <mergeCell ref="O8:P8"/>
    <mergeCell ref="Q8:S8"/>
    <mergeCell ref="T8:V8"/>
    <mergeCell ref="W8:Y8"/>
    <mergeCell ref="AB9:AE9"/>
    <mergeCell ref="AF9:AK9"/>
    <mergeCell ref="C10:K10"/>
    <mergeCell ref="L10:M10"/>
    <mergeCell ref="O10:P10"/>
    <mergeCell ref="Q10:S10"/>
    <mergeCell ref="T10:V10"/>
    <mergeCell ref="W10:Y10"/>
    <mergeCell ref="Z10:AA10"/>
    <mergeCell ref="AB10:AE10"/>
    <mergeCell ref="AF10:AK10"/>
    <mergeCell ref="C11:K11"/>
    <mergeCell ref="L11:M11"/>
    <mergeCell ref="O11:P11"/>
    <mergeCell ref="Q11:S11"/>
    <mergeCell ref="T11:V11"/>
    <mergeCell ref="W11:Y11"/>
    <mergeCell ref="Z11:AA11"/>
    <mergeCell ref="AB11:AE11"/>
    <mergeCell ref="AF11:AK11"/>
    <mergeCell ref="Z12:AA12"/>
    <mergeCell ref="AB12:AE12"/>
    <mergeCell ref="AF12:AK12"/>
    <mergeCell ref="C13:K13"/>
    <mergeCell ref="L13:M13"/>
    <mergeCell ref="O13:P13"/>
    <mergeCell ref="Q13:S13"/>
    <mergeCell ref="T13:V13"/>
    <mergeCell ref="W13:Y13"/>
    <mergeCell ref="Z13:AA13"/>
    <mergeCell ref="C12:K12"/>
    <mergeCell ref="L12:M12"/>
    <mergeCell ref="O12:P12"/>
    <mergeCell ref="Q12:S12"/>
    <mergeCell ref="T12:V12"/>
    <mergeCell ref="W12:Y12"/>
    <mergeCell ref="AB13:AE13"/>
    <mergeCell ref="AF13:AK13"/>
    <mergeCell ref="C14:K14"/>
    <mergeCell ref="L14:M14"/>
    <mergeCell ref="O14:P14"/>
    <mergeCell ref="Q14:S14"/>
    <mergeCell ref="T14:V14"/>
    <mergeCell ref="W14:Y14"/>
    <mergeCell ref="Z14:AA14"/>
    <mergeCell ref="AB14:AE14"/>
    <mergeCell ref="AF14:AK14"/>
    <mergeCell ref="C15:K15"/>
    <mergeCell ref="L15:M15"/>
    <mergeCell ref="O15:P15"/>
    <mergeCell ref="Q15:S15"/>
    <mergeCell ref="T15:V15"/>
    <mergeCell ref="W15:Y15"/>
    <mergeCell ref="Z15:AA15"/>
    <mergeCell ref="AB15:AE15"/>
    <mergeCell ref="AF15:AK15"/>
    <mergeCell ref="Z16:AA16"/>
    <mergeCell ref="AB16:AE16"/>
    <mergeCell ref="AF16:AK16"/>
    <mergeCell ref="C17:K17"/>
    <mergeCell ref="L17:M17"/>
    <mergeCell ref="O17:P17"/>
    <mergeCell ref="Q17:S17"/>
    <mergeCell ref="T17:V17"/>
    <mergeCell ref="W17:Y17"/>
    <mergeCell ref="Z17:AA17"/>
    <mergeCell ref="C16:K16"/>
    <mergeCell ref="L16:M16"/>
    <mergeCell ref="O16:P16"/>
    <mergeCell ref="Q16:S16"/>
    <mergeCell ref="T16:V16"/>
    <mergeCell ref="W16:Y16"/>
    <mergeCell ref="AB17:AE17"/>
    <mergeCell ref="AF17:AK17"/>
    <mergeCell ref="C18:K18"/>
    <mergeCell ref="L18:M18"/>
    <mergeCell ref="O18:P18"/>
    <mergeCell ref="Q18:S18"/>
    <mergeCell ref="T18:V18"/>
    <mergeCell ref="W18:Y18"/>
    <mergeCell ref="Z18:AA18"/>
    <mergeCell ref="AB18:AE18"/>
    <mergeCell ref="AF18:AK18"/>
    <mergeCell ref="C19:K19"/>
    <mergeCell ref="L19:M19"/>
    <mergeCell ref="O19:P19"/>
    <mergeCell ref="Q19:S19"/>
    <mergeCell ref="T19:V19"/>
    <mergeCell ref="W19:Y19"/>
    <mergeCell ref="Z19:AA19"/>
    <mergeCell ref="AB19:AE19"/>
    <mergeCell ref="AF19:AK19"/>
    <mergeCell ref="Z20:AA20"/>
    <mergeCell ref="AB20:AE20"/>
    <mergeCell ref="AF20:AK20"/>
    <mergeCell ref="C21:K21"/>
    <mergeCell ref="L21:M21"/>
    <mergeCell ref="O21:P21"/>
    <mergeCell ref="Q21:S21"/>
    <mergeCell ref="T21:V21"/>
    <mergeCell ref="W21:Y21"/>
    <mergeCell ref="Z21:AA21"/>
    <mergeCell ref="C20:K20"/>
    <mergeCell ref="L20:M20"/>
    <mergeCell ref="O20:P20"/>
    <mergeCell ref="Q20:S20"/>
    <mergeCell ref="T20:V20"/>
    <mergeCell ref="W20:Y20"/>
    <mergeCell ref="AB21:AE21"/>
    <mergeCell ref="AF21:AK21"/>
    <mergeCell ref="C22:K22"/>
    <mergeCell ref="L22:M22"/>
    <mergeCell ref="O22:P22"/>
    <mergeCell ref="Q22:S22"/>
    <mergeCell ref="T22:V22"/>
    <mergeCell ref="W22:Y22"/>
    <mergeCell ref="Z22:AA22"/>
    <mergeCell ref="AB22:AE22"/>
    <mergeCell ref="AF22:AK22"/>
    <mergeCell ref="C23:K23"/>
    <mergeCell ref="L23:M23"/>
    <mergeCell ref="O23:P23"/>
    <mergeCell ref="Q23:S23"/>
    <mergeCell ref="T23:V23"/>
    <mergeCell ref="W23:Y23"/>
    <mergeCell ref="Z23:AA23"/>
    <mergeCell ref="AB23:AE23"/>
    <mergeCell ref="AF23:AK23"/>
    <mergeCell ref="Z24:AA24"/>
    <mergeCell ref="AB24:AE24"/>
    <mergeCell ref="AF24:AK24"/>
    <mergeCell ref="C25:K25"/>
    <mergeCell ref="L25:M25"/>
    <mergeCell ref="O25:P25"/>
    <mergeCell ref="Q25:S25"/>
    <mergeCell ref="T25:V25"/>
    <mergeCell ref="W25:Y25"/>
    <mergeCell ref="Z25:AA25"/>
    <mergeCell ref="C24:K24"/>
    <mergeCell ref="L24:M24"/>
    <mergeCell ref="O24:P24"/>
    <mergeCell ref="Q24:S24"/>
    <mergeCell ref="T24:V24"/>
    <mergeCell ref="W24:Y24"/>
    <mergeCell ref="AB25:AE25"/>
    <mergeCell ref="AF25:AK25"/>
    <mergeCell ref="C26:K26"/>
    <mergeCell ref="L26:M26"/>
    <mergeCell ref="O26:P26"/>
    <mergeCell ref="Q26:S26"/>
    <mergeCell ref="T26:V26"/>
    <mergeCell ref="W26:Y26"/>
    <mergeCell ref="Z26:AA26"/>
    <mergeCell ref="AB26:AE26"/>
    <mergeCell ref="AF26:AK26"/>
    <mergeCell ref="C27:K27"/>
    <mergeCell ref="L27:M27"/>
    <mergeCell ref="O27:P27"/>
    <mergeCell ref="Q27:S27"/>
    <mergeCell ref="T27:V27"/>
    <mergeCell ref="W27:Y27"/>
    <mergeCell ref="Z27:AA27"/>
    <mergeCell ref="AB27:AE27"/>
    <mergeCell ref="AF27:AK27"/>
    <mergeCell ref="Z28:AA28"/>
    <mergeCell ref="AB28:AE28"/>
    <mergeCell ref="AF28:AK28"/>
    <mergeCell ref="C29:K29"/>
    <mergeCell ref="L29:M29"/>
    <mergeCell ref="O29:P29"/>
    <mergeCell ref="Q29:S29"/>
    <mergeCell ref="T29:V29"/>
    <mergeCell ref="W29:Y29"/>
    <mergeCell ref="Z29:AA29"/>
    <mergeCell ref="C28:K28"/>
    <mergeCell ref="L28:M28"/>
    <mergeCell ref="O28:P28"/>
    <mergeCell ref="Q28:S28"/>
    <mergeCell ref="T28:V28"/>
    <mergeCell ref="W28:Y28"/>
    <mergeCell ref="AB29:AE29"/>
    <mergeCell ref="AF29:AK29"/>
    <mergeCell ref="C30:K30"/>
    <mergeCell ref="L30:M30"/>
    <mergeCell ref="O30:P30"/>
    <mergeCell ref="Q30:S30"/>
    <mergeCell ref="T30:V30"/>
    <mergeCell ref="W30:Y30"/>
    <mergeCell ref="Z30:AA30"/>
    <mergeCell ref="AB30:AE30"/>
    <mergeCell ref="AF30:AK30"/>
    <mergeCell ref="C31:K31"/>
    <mergeCell ref="L31:M31"/>
    <mergeCell ref="O31:P31"/>
    <mergeCell ref="Q31:S31"/>
    <mergeCell ref="T31:V31"/>
    <mergeCell ref="W31:Y31"/>
    <mergeCell ref="Z31:AA31"/>
    <mergeCell ref="AB31:AE31"/>
    <mergeCell ref="AF31:AK31"/>
    <mergeCell ref="Z32:AA32"/>
    <mergeCell ref="AB32:AE32"/>
    <mergeCell ref="AF32:AK32"/>
    <mergeCell ref="C33:K33"/>
    <mergeCell ref="L33:M33"/>
    <mergeCell ref="O33:P33"/>
    <mergeCell ref="Q33:S33"/>
    <mergeCell ref="T33:V33"/>
    <mergeCell ref="W33:Y33"/>
    <mergeCell ref="Z33:AA33"/>
    <mergeCell ref="C32:K32"/>
    <mergeCell ref="L32:M32"/>
    <mergeCell ref="O32:P32"/>
    <mergeCell ref="Q32:S32"/>
    <mergeCell ref="T32:V32"/>
    <mergeCell ref="W32:Y32"/>
    <mergeCell ref="AB33:AE33"/>
    <mergeCell ref="AF33:AK33"/>
    <mergeCell ref="C34:K34"/>
    <mergeCell ref="L34:M34"/>
    <mergeCell ref="O34:P34"/>
    <mergeCell ref="Q34:S34"/>
    <mergeCell ref="T34:V34"/>
    <mergeCell ref="W34:Y34"/>
    <mergeCell ref="Z34:AA34"/>
    <mergeCell ref="AB34:AE34"/>
    <mergeCell ref="AF34:AK34"/>
    <mergeCell ref="C35:K35"/>
    <mergeCell ref="L35:M35"/>
    <mergeCell ref="O35:P35"/>
    <mergeCell ref="Q35:S35"/>
    <mergeCell ref="T35:V35"/>
    <mergeCell ref="W35:Y35"/>
    <mergeCell ref="Z35:AA35"/>
    <mergeCell ref="AB35:AE35"/>
    <mergeCell ref="AF35:AK35"/>
    <mergeCell ref="Z36:AA36"/>
    <mergeCell ref="AB36:AE36"/>
    <mergeCell ref="AF36:AK36"/>
    <mergeCell ref="C37:K37"/>
    <mergeCell ref="L37:M37"/>
    <mergeCell ref="O37:P37"/>
    <mergeCell ref="Q37:S37"/>
    <mergeCell ref="T37:V37"/>
    <mergeCell ref="W37:Y37"/>
    <mergeCell ref="Z37:AA37"/>
    <mergeCell ref="C36:K36"/>
    <mergeCell ref="L36:M36"/>
    <mergeCell ref="O36:P36"/>
    <mergeCell ref="Q36:S36"/>
    <mergeCell ref="T36:V36"/>
    <mergeCell ref="W36:Y36"/>
    <mergeCell ref="AB37:AE37"/>
    <mergeCell ref="AF37:AK37"/>
    <mergeCell ref="C38:K38"/>
    <mergeCell ref="L38:M38"/>
    <mergeCell ref="O38:P38"/>
    <mergeCell ref="Q38:S38"/>
    <mergeCell ref="T38:V38"/>
    <mergeCell ref="W38:Y38"/>
    <mergeCell ref="Z38:AA38"/>
    <mergeCell ref="AB38:AE38"/>
    <mergeCell ref="AF38:AK38"/>
    <mergeCell ref="C39:K39"/>
    <mergeCell ref="L39:M39"/>
    <mergeCell ref="O39:P39"/>
    <mergeCell ref="Q39:S39"/>
    <mergeCell ref="T39:V39"/>
    <mergeCell ref="W39:Y39"/>
    <mergeCell ref="Z39:AA39"/>
    <mergeCell ref="AB39:AE39"/>
    <mergeCell ref="AF39:AK39"/>
    <mergeCell ref="Z40:AA40"/>
    <mergeCell ref="AB40:AE40"/>
    <mergeCell ref="AF40:AK40"/>
    <mergeCell ref="C41:K41"/>
    <mergeCell ref="L41:M41"/>
    <mergeCell ref="O41:P41"/>
    <mergeCell ref="Q41:S41"/>
    <mergeCell ref="T41:V41"/>
    <mergeCell ref="W41:Y41"/>
    <mergeCell ref="Z41:AA41"/>
    <mergeCell ref="C40:K40"/>
    <mergeCell ref="L40:M40"/>
    <mergeCell ref="O40:P40"/>
    <mergeCell ref="Q40:S40"/>
    <mergeCell ref="T40:V40"/>
    <mergeCell ref="W40:Y40"/>
    <mergeCell ref="AB41:AE41"/>
    <mergeCell ref="AF41:AK41"/>
    <mergeCell ref="C42:K42"/>
    <mergeCell ref="L42:M42"/>
    <mergeCell ref="O42:P42"/>
    <mergeCell ref="Q42:S42"/>
    <mergeCell ref="T42:V42"/>
    <mergeCell ref="W42:Y42"/>
    <mergeCell ref="Z42:AA42"/>
    <mergeCell ref="AB42:AE42"/>
    <mergeCell ref="AF42:AK42"/>
    <mergeCell ref="C43:K43"/>
    <mergeCell ref="L43:M43"/>
    <mergeCell ref="O43:P43"/>
    <mergeCell ref="Q43:S43"/>
    <mergeCell ref="T43:V43"/>
    <mergeCell ref="W43:Y43"/>
    <mergeCell ref="Z43:AA43"/>
    <mergeCell ref="AB43:AE43"/>
    <mergeCell ref="AF43:AK43"/>
    <mergeCell ref="Z44:AA44"/>
    <mergeCell ref="AB44:AE44"/>
    <mergeCell ref="AF44:AK44"/>
    <mergeCell ref="C45:K45"/>
    <mergeCell ref="L45:M45"/>
    <mergeCell ref="O45:P45"/>
    <mergeCell ref="Q45:S45"/>
    <mergeCell ref="T45:V45"/>
    <mergeCell ref="W45:Y45"/>
    <mergeCell ref="Z45:AA45"/>
    <mergeCell ref="C44:K44"/>
    <mergeCell ref="L44:M44"/>
    <mergeCell ref="O44:P44"/>
    <mergeCell ref="Q44:S44"/>
    <mergeCell ref="T44:V44"/>
    <mergeCell ref="W44:Y44"/>
    <mergeCell ref="AB45:AE45"/>
    <mergeCell ref="AF45:AK45"/>
    <mergeCell ref="C46:K46"/>
    <mergeCell ref="L46:M46"/>
    <mergeCell ref="O46:P46"/>
    <mergeCell ref="Q46:S46"/>
    <mergeCell ref="T46:V46"/>
    <mergeCell ref="W46:Y46"/>
    <mergeCell ref="Z46:AA46"/>
    <mergeCell ref="AB46:AE46"/>
    <mergeCell ref="AF46:AK46"/>
    <mergeCell ref="C47:K47"/>
    <mergeCell ref="L47:M47"/>
    <mergeCell ref="O47:P47"/>
    <mergeCell ref="Q47:S47"/>
    <mergeCell ref="T47:V47"/>
    <mergeCell ref="W47:Y47"/>
    <mergeCell ref="Z47:AA47"/>
    <mergeCell ref="AB47:AE47"/>
    <mergeCell ref="AF47:AK47"/>
    <mergeCell ref="Z48:AA48"/>
    <mergeCell ref="AB48:AE48"/>
    <mergeCell ref="AF48:AK48"/>
    <mergeCell ref="C49:K49"/>
    <mergeCell ref="L49:M49"/>
    <mergeCell ref="O49:P49"/>
    <mergeCell ref="Q49:S49"/>
    <mergeCell ref="T49:V49"/>
    <mergeCell ref="W49:Y49"/>
    <mergeCell ref="Z49:AA49"/>
    <mergeCell ref="C48:K48"/>
    <mergeCell ref="L48:M48"/>
    <mergeCell ref="O48:P48"/>
    <mergeCell ref="Q48:S48"/>
    <mergeCell ref="T48:V48"/>
    <mergeCell ref="W48:Y48"/>
    <mergeCell ref="AB49:AE49"/>
    <mergeCell ref="AF49:AK49"/>
    <mergeCell ref="C50:K50"/>
    <mergeCell ref="L50:M50"/>
    <mergeCell ref="O50:P50"/>
    <mergeCell ref="Q50:S50"/>
    <mergeCell ref="T50:V50"/>
    <mergeCell ref="W50:Y50"/>
    <mergeCell ref="Z50:AA50"/>
    <mergeCell ref="AB50:AE50"/>
    <mergeCell ref="AF50:AK50"/>
    <mergeCell ref="C51:K51"/>
    <mergeCell ref="L51:M51"/>
    <mergeCell ref="O51:P51"/>
    <mergeCell ref="Q51:S51"/>
    <mergeCell ref="T51:V51"/>
    <mergeCell ref="W51:Y51"/>
    <mergeCell ref="Z51:AA51"/>
    <mergeCell ref="AB51:AE51"/>
    <mergeCell ref="AF51:AK51"/>
    <mergeCell ref="Z52:AA52"/>
    <mergeCell ref="AB52:AE52"/>
    <mergeCell ref="AF52:AK52"/>
    <mergeCell ref="C53:K53"/>
    <mergeCell ref="L53:M53"/>
    <mergeCell ref="O53:P53"/>
    <mergeCell ref="Q53:S53"/>
    <mergeCell ref="T53:V53"/>
    <mergeCell ref="W53:Y53"/>
    <mergeCell ref="Z53:AA53"/>
    <mergeCell ref="C52:K52"/>
    <mergeCell ref="L52:M52"/>
    <mergeCell ref="O52:P52"/>
    <mergeCell ref="Q52:S52"/>
    <mergeCell ref="T52:V52"/>
    <mergeCell ref="W52:Y52"/>
    <mergeCell ref="AB53:AE53"/>
    <mergeCell ref="AF53:AK53"/>
    <mergeCell ref="C54:K54"/>
    <mergeCell ref="L54:M54"/>
    <mergeCell ref="O54:P54"/>
    <mergeCell ref="Q54:S54"/>
    <mergeCell ref="T54:V54"/>
    <mergeCell ref="W54:Y54"/>
    <mergeCell ref="Z54:AA54"/>
    <mergeCell ref="AB54:AE54"/>
    <mergeCell ref="AF54:AK54"/>
    <mergeCell ref="C55:K55"/>
    <mergeCell ref="L55:M55"/>
    <mergeCell ref="O55:P55"/>
    <mergeCell ref="Q55:S55"/>
    <mergeCell ref="T55:V55"/>
    <mergeCell ref="W55:Y55"/>
    <mergeCell ref="Z55:AA55"/>
    <mergeCell ref="AB55:AE55"/>
    <mergeCell ref="AF55:AK55"/>
    <mergeCell ref="C61:H62"/>
    <mergeCell ref="I61:N62"/>
    <mergeCell ref="AB57:AE57"/>
    <mergeCell ref="AF57:AK57"/>
    <mergeCell ref="AB58:AE58"/>
    <mergeCell ref="C60:N60"/>
    <mergeCell ref="Z56:AA56"/>
    <mergeCell ref="AB56:AE56"/>
    <mergeCell ref="AF56:AK56"/>
    <mergeCell ref="C57:K57"/>
    <mergeCell ref="L57:M57"/>
    <mergeCell ref="O57:P57"/>
    <mergeCell ref="Q57:S57"/>
    <mergeCell ref="T57:V57"/>
    <mergeCell ref="W57:Y57"/>
    <mergeCell ref="Z57:AA57"/>
    <mergeCell ref="C56:K56"/>
    <mergeCell ref="L56:M56"/>
    <mergeCell ref="O56:P56"/>
    <mergeCell ref="Q56:S56"/>
    <mergeCell ref="T56:V56"/>
    <mergeCell ref="W56:Y56"/>
  </mergeCells>
  <phoneticPr fontId="14"/>
  <conditionalFormatting sqref="N8:N57">
    <cfRule type="containsBlanks" dxfId="12" priority="26">
      <formula>LEN(TRIM(N8))=0</formula>
    </cfRule>
  </conditionalFormatting>
  <conditionalFormatting sqref="W8:Y57">
    <cfRule type="containsBlanks" dxfId="11" priority="28">
      <formula>LEN(TRIM(W8))=0</formula>
    </cfRule>
  </conditionalFormatting>
  <conditionalFormatting sqref="L3:AJ4">
    <cfRule type="expression" dxfId="10" priority="20">
      <formula>$AQ$7&lt;&gt;2</formula>
    </cfRule>
  </conditionalFormatting>
  <conditionalFormatting sqref="L3:AJ4">
    <cfRule type="expression" dxfId="9" priority="19">
      <formula>$AQ$7=2</formula>
    </cfRule>
  </conditionalFormatting>
  <conditionalFormatting sqref="T8:V57">
    <cfRule type="containsBlanks" dxfId="8" priority="27">
      <formula>LEN(TRIM(T8))=0</formula>
    </cfRule>
  </conditionalFormatting>
  <conditionalFormatting sqref="C8:K57">
    <cfRule type="containsBlanks" dxfId="7" priority="14">
      <formula>LEN(TRIM(C8))=0</formula>
    </cfRule>
  </conditionalFormatting>
  <conditionalFormatting sqref="O8:S56 O57 Q57:S57">
    <cfRule type="containsBlanks" dxfId="6" priority="13">
      <formula>LEN(TRIM(O8))=0</formula>
    </cfRule>
  </conditionalFormatting>
  <conditionalFormatting sqref="AF8:AK57">
    <cfRule type="containsBlanks" dxfId="5" priority="12">
      <formula>LEN(TRIM(AF8))=0</formula>
    </cfRule>
  </conditionalFormatting>
  <conditionalFormatting sqref="L8:M57">
    <cfRule type="containsBlanks" dxfId="4" priority="11">
      <formula>LEN(TRIM(L8))=0</formula>
    </cfRule>
  </conditionalFormatting>
  <conditionalFormatting sqref="AB8:AE8">
    <cfRule type="expression" dxfId="3" priority="10">
      <formula>Z8-AR8&gt;0</formula>
    </cfRule>
  </conditionalFormatting>
  <conditionalFormatting sqref="Z8:AA57">
    <cfRule type="expression" dxfId="2" priority="2">
      <formula>$AQ$7=1</formula>
    </cfRule>
  </conditionalFormatting>
  <conditionalFormatting sqref="Z8:AA47">
    <cfRule type="containsBlanks" dxfId="1" priority="3">
      <formula>LEN(TRIM(Z8))=0</formula>
    </cfRule>
  </conditionalFormatting>
  <dataValidations count="8">
    <dataValidation type="list" allowBlank="1" showInputMessage="1" showErrorMessage="1" prompt="現行機の年式もしくは設置年を記入する。" sqref="L8:M57">
      <formula1>$AX$35:$AX$57</formula1>
    </dataValidation>
    <dataValidation type="list" allowBlank="1" showInputMessage="1" showErrorMessage="1" sqref="N8:N57">
      <formula1>"◎"</formula1>
    </dataValidation>
    <dataValidation type="decimal" allowBlank="1" showInputMessage="1" showErrorMessage="1" error="０～２４の数値で記入します" sqref="T8:V57">
      <formula1>0</formula1>
      <formula2>24</formula2>
    </dataValidation>
    <dataValidation type="decimal" allowBlank="1" showInputMessage="1" showErrorMessage="1" error="０～３６５の数値で記入します" sqref="W8:Y57 Z48:AA57">
      <formula1>0</formula1>
      <formula2>365</formula2>
    </dataValidation>
    <dataValidation type="whole" allowBlank="1" showInputMessage="1" showErrorMessage="1" error="数値で記入します" sqref="Q8:S57 O48:O57">
      <formula1>0</formula1>
      <formula2>1000000</formula2>
    </dataValidation>
    <dataValidation type="list" allowBlank="1" showInputMessage="1" showErrorMessage="1" prompt="リストから選択" sqref="Z8:AA57">
      <formula1>$AV$9:$AV$12</formula1>
    </dataValidation>
    <dataValidation type="decimal" allowBlank="1" showInputMessage="1" showErrorMessage="1" error="数値で記入します" sqref="O8:P47">
      <formula1>0</formula1>
      <formula2>1000000</formula2>
    </dataValidation>
    <dataValidation type="list" allowBlank="1" showInputMessage="1" showErrorMessage="1" error="０～３６５の数値で記入します" sqref="Z8:AA47">
      <formula1>$AV$9:$AV$12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orientation="portrait" r:id="rId1"/>
  <headerFooter>
    <oddHeader>&amp;L６．CO₂排出削減量算定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45" r:id="rId4" name="Option Button 1">
              <controlPr defaultSize="0" autoFill="0" autoLine="0" autoPict="0">
                <anchor moveWithCells="1">
                  <from>
                    <xdr:col>19</xdr:col>
                    <xdr:colOff>152400</xdr:colOff>
                    <xdr:row>0</xdr:row>
                    <xdr:rowOff>47625</xdr:rowOff>
                  </from>
                  <to>
                    <xdr:col>21</xdr:col>
                    <xdr:colOff>133350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6" r:id="rId5" name="Option Button 2">
              <controlPr defaultSize="0" autoFill="0" autoLine="0" autoPict="0">
                <anchor moveWithCells="1">
                  <from>
                    <xdr:col>26</xdr:col>
                    <xdr:colOff>171450</xdr:colOff>
                    <xdr:row>0</xdr:row>
                    <xdr:rowOff>47625</xdr:rowOff>
                  </from>
                  <to>
                    <xdr:col>28</xdr:col>
                    <xdr:colOff>76200</xdr:colOff>
                    <xdr:row>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5:AL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1:38">
      <c r="A5" s="1"/>
      <c r="B5" s="1"/>
      <c r="C5" s="1"/>
      <c r="D5" s="1"/>
      <c r="E5" s="1"/>
      <c r="F5" s="504"/>
      <c r="G5" s="507" t="s">
        <v>153</v>
      </c>
      <c r="H5" s="507"/>
      <c r="I5" s="507"/>
      <c r="J5" s="507"/>
      <c r="K5" s="507" t="s">
        <v>154</v>
      </c>
      <c r="L5" s="507"/>
      <c r="M5" s="507"/>
      <c r="N5" s="50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505"/>
      <c r="G6" s="501" t="s">
        <v>156</v>
      </c>
      <c r="H6" s="503"/>
      <c r="I6" s="501" t="s">
        <v>158</v>
      </c>
      <c r="J6" s="503"/>
      <c r="K6" s="501" t="s">
        <v>156</v>
      </c>
      <c r="L6" s="503"/>
      <c r="M6" s="501" t="s">
        <v>158</v>
      </c>
      <c r="N6" s="503"/>
    </row>
    <row r="7" spans="1:38">
      <c r="A7" s="1"/>
      <c r="F7" s="506"/>
      <c r="G7" s="37" t="s">
        <v>159</v>
      </c>
      <c r="H7" s="37" t="s">
        <v>160</v>
      </c>
      <c r="I7" s="37" t="s">
        <v>159</v>
      </c>
      <c r="J7" s="37" t="s">
        <v>160</v>
      </c>
      <c r="K7" s="37" t="s">
        <v>159</v>
      </c>
      <c r="L7" s="37" t="s">
        <v>160</v>
      </c>
      <c r="M7" s="37" t="s">
        <v>159</v>
      </c>
      <c r="N7" s="37" t="s">
        <v>160</v>
      </c>
    </row>
    <row r="8" spans="1:38">
      <c r="A8" s="1"/>
      <c r="F8" s="75" t="s">
        <v>161</v>
      </c>
      <c r="G8" s="76">
        <v>0.14699999999999999</v>
      </c>
      <c r="H8" s="76">
        <v>0.13700000000000001</v>
      </c>
      <c r="I8" s="77">
        <v>0.20799999999999999</v>
      </c>
      <c r="J8" s="77">
        <v>0.151</v>
      </c>
      <c r="K8" s="76">
        <v>0.16400000000000001</v>
      </c>
      <c r="L8" s="76">
        <v>0.16</v>
      </c>
      <c r="M8" s="77">
        <v>0.10199999999999999</v>
      </c>
      <c r="N8" s="77">
        <v>8.7999999999999995E-2</v>
      </c>
    </row>
    <row r="9" spans="1:38">
      <c r="A9" s="1"/>
      <c r="F9" s="37" t="s">
        <v>162</v>
      </c>
      <c r="G9" s="76">
        <v>0.248</v>
      </c>
      <c r="H9" s="76">
        <v>0.20599999999999999</v>
      </c>
      <c r="I9" s="77">
        <v>0.14399999999999999</v>
      </c>
      <c r="J9" s="77">
        <v>0.13200000000000001</v>
      </c>
      <c r="K9" s="76">
        <v>0.26800000000000002</v>
      </c>
      <c r="L9" s="76">
        <v>0.25700000000000001</v>
      </c>
      <c r="M9" s="77">
        <v>7.5999999999999998E-2</v>
      </c>
      <c r="N9" s="77">
        <v>4.4999999999999998E-2</v>
      </c>
    </row>
    <row r="10" spans="1:38">
      <c r="A10" s="1"/>
      <c r="F10" s="37" t="s">
        <v>163</v>
      </c>
      <c r="G10" s="76">
        <v>0.30499999999999999</v>
      </c>
      <c r="H10" s="76">
        <v>0.249</v>
      </c>
      <c r="I10" s="77">
        <v>0</v>
      </c>
      <c r="J10" s="77">
        <v>0</v>
      </c>
      <c r="K10" s="76">
        <v>0.378</v>
      </c>
      <c r="L10" s="76">
        <v>0.317</v>
      </c>
      <c r="M10" s="77">
        <v>0</v>
      </c>
      <c r="N10" s="77">
        <v>0</v>
      </c>
    </row>
    <row r="11" spans="1:38">
      <c r="A11" s="1"/>
      <c r="F11" s="37" t="s">
        <v>164</v>
      </c>
      <c r="G11" s="76">
        <v>0.54600000000000004</v>
      </c>
      <c r="H11" s="76">
        <v>0.54400000000000004</v>
      </c>
      <c r="I11" s="77">
        <v>0</v>
      </c>
      <c r="J11" s="77">
        <v>0</v>
      </c>
      <c r="K11" s="76">
        <v>0.58699999999999997</v>
      </c>
      <c r="L11" s="76">
        <v>0.57299999999999995</v>
      </c>
      <c r="M11" s="77">
        <v>0</v>
      </c>
      <c r="N11" s="77">
        <v>0</v>
      </c>
    </row>
    <row r="12" spans="1:38">
      <c r="A12" s="1"/>
      <c r="F12" s="37" t="s">
        <v>165</v>
      </c>
      <c r="G12" s="76">
        <v>0.58699999999999997</v>
      </c>
      <c r="H12" s="76">
        <v>0.53400000000000003</v>
      </c>
      <c r="I12" s="77">
        <v>0</v>
      </c>
      <c r="J12" s="77">
        <v>0</v>
      </c>
      <c r="K12" s="76">
        <v>0.626</v>
      </c>
      <c r="L12" s="76">
        <v>0.61499999999999999</v>
      </c>
      <c r="M12" s="77">
        <v>0</v>
      </c>
      <c r="N12" s="77">
        <v>0</v>
      </c>
    </row>
    <row r="13" spans="1:38">
      <c r="A13" s="1"/>
      <c r="F13" s="37" t="s">
        <v>166</v>
      </c>
      <c r="G13" s="76">
        <v>0.372</v>
      </c>
      <c r="H13" s="76">
        <v>0.432</v>
      </c>
      <c r="I13" s="77">
        <v>0</v>
      </c>
      <c r="J13" s="77">
        <v>0</v>
      </c>
      <c r="K13" s="76">
        <v>0.436</v>
      </c>
      <c r="L13" s="76">
        <v>0.48399999999999999</v>
      </c>
      <c r="M13" s="77">
        <v>0</v>
      </c>
      <c r="N13" s="77">
        <v>0</v>
      </c>
    </row>
    <row r="14" spans="1:38">
      <c r="A14" s="1"/>
      <c r="F14" s="37" t="s">
        <v>167</v>
      </c>
      <c r="G14" s="76">
        <v>0.18</v>
      </c>
      <c r="H14" s="76">
        <v>0.20599999999999999</v>
      </c>
      <c r="I14" s="77">
        <v>0.14799999999999999</v>
      </c>
      <c r="J14" s="77">
        <v>6.2E-2</v>
      </c>
      <c r="K14" s="76">
        <v>0.21</v>
      </c>
      <c r="L14" s="76">
        <v>0.23499999999999999</v>
      </c>
      <c r="M14" s="77">
        <v>4.4999999999999998E-2</v>
      </c>
      <c r="N14" s="77">
        <v>0</v>
      </c>
    </row>
    <row r="15" spans="1:38">
      <c r="A15" s="1"/>
      <c r="F15" s="37" t="s">
        <v>168</v>
      </c>
      <c r="G15" s="76">
        <v>8.5000000000000006E-2</v>
      </c>
      <c r="H15" s="76">
        <v>0.129</v>
      </c>
      <c r="I15" s="77">
        <v>0.245</v>
      </c>
      <c r="J15" s="77">
        <v>0.17100000000000001</v>
      </c>
      <c r="K15" s="76">
        <v>0.16900000000000001</v>
      </c>
      <c r="L15" s="76">
        <v>0.13600000000000001</v>
      </c>
      <c r="M15" s="77">
        <v>0.13100000000000001</v>
      </c>
      <c r="N15" s="77">
        <v>0.09</v>
      </c>
    </row>
    <row r="16" spans="1:38">
      <c r="A16" s="1"/>
      <c r="F16" s="37" t="s">
        <v>169</v>
      </c>
      <c r="G16" s="76">
        <v>0</v>
      </c>
      <c r="H16" s="76">
        <v>0</v>
      </c>
      <c r="I16" s="77">
        <v>0.45</v>
      </c>
      <c r="J16" s="77">
        <v>0.312</v>
      </c>
      <c r="K16" s="76">
        <v>0</v>
      </c>
      <c r="L16" s="76">
        <v>0</v>
      </c>
      <c r="M16" s="77">
        <v>0.224</v>
      </c>
      <c r="N16" s="77">
        <v>0.151</v>
      </c>
    </row>
    <row r="17" spans="1:23">
      <c r="A17" s="1"/>
      <c r="F17" s="37" t="s">
        <v>170</v>
      </c>
      <c r="G17" s="76">
        <v>0</v>
      </c>
      <c r="H17" s="76">
        <v>0</v>
      </c>
      <c r="I17" s="77">
        <v>0.56499999999999995</v>
      </c>
      <c r="J17" s="77">
        <v>0.44600000000000001</v>
      </c>
      <c r="K17" s="76">
        <v>0</v>
      </c>
      <c r="L17" s="76">
        <v>0</v>
      </c>
      <c r="M17" s="77">
        <v>0.27800000000000002</v>
      </c>
      <c r="N17" s="77">
        <v>0.19900000000000001</v>
      </c>
    </row>
    <row r="18" spans="1:23">
      <c r="A18" s="1"/>
      <c r="F18" s="37" t="s">
        <v>171</v>
      </c>
      <c r="G18" s="76">
        <v>0</v>
      </c>
      <c r="H18" s="76">
        <v>0</v>
      </c>
      <c r="I18" s="77">
        <v>0.52900000000000003</v>
      </c>
      <c r="J18" s="77">
        <v>0.432</v>
      </c>
      <c r="K18" s="76">
        <v>0</v>
      </c>
      <c r="L18" s="76">
        <v>0</v>
      </c>
      <c r="M18" s="77">
        <v>0.25</v>
      </c>
      <c r="N18" s="77">
        <v>0.193</v>
      </c>
    </row>
    <row r="19" spans="1:23">
      <c r="A19" s="1"/>
      <c r="F19" s="37" t="s">
        <v>172</v>
      </c>
      <c r="G19" s="76">
        <v>0</v>
      </c>
      <c r="H19" s="76">
        <v>0.107</v>
      </c>
      <c r="I19" s="77">
        <v>0.38900000000000001</v>
      </c>
      <c r="J19" s="77">
        <v>0.32500000000000001</v>
      </c>
      <c r="K19" s="76">
        <v>5.8000000000000003E-2</v>
      </c>
      <c r="L19" s="76">
        <v>0.188</v>
      </c>
      <c r="M19" s="77">
        <v>0.20100000000000001</v>
      </c>
      <c r="N19" s="77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173</v>
      </c>
      <c r="G22" s="4" t="s">
        <v>153</v>
      </c>
      <c r="H22" s="4"/>
      <c r="I22" s="4"/>
      <c r="J22" s="4"/>
      <c r="K22" s="4" t="s">
        <v>154</v>
      </c>
      <c r="L22" s="4"/>
      <c r="M22" s="4"/>
      <c r="N22" s="4"/>
      <c r="P22" t="s">
        <v>176</v>
      </c>
      <c r="U22" t="s">
        <v>183</v>
      </c>
    </row>
    <row r="23" spans="1:23">
      <c r="A23" s="1"/>
      <c r="F23" s="4"/>
      <c r="G23" s="4" t="s">
        <v>156</v>
      </c>
      <c r="H23" s="4"/>
      <c r="I23" s="4" t="s">
        <v>158</v>
      </c>
      <c r="J23" s="4"/>
      <c r="K23" s="4" t="s">
        <v>156</v>
      </c>
      <c r="L23" s="4"/>
      <c r="M23" s="4" t="s">
        <v>158</v>
      </c>
      <c r="N23" s="4"/>
    </row>
    <row r="24" spans="1:23">
      <c r="A24" s="1"/>
      <c r="F24" s="4"/>
      <c r="G24" s="4" t="s">
        <v>159</v>
      </c>
      <c r="H24" s="4" t="s">
        <v>160</v>
      </c>
      <c r="I24" s="4" t="s">
        <v>159</v>
      </c>
      <c r="J24" s="4" t="s">
        <v>160</v>
      </c>
      <c r="K24" s="4" t="s">
        <v>159</v>
      </c>
      <c r="L24" s="4" t="s">
        <v>160</v>
      </c>
      <c r="M24" s="4" t="s">
        <v>159</v>
      </c>
      <c r="N24" s="4" t="s">
        <v>160</v>
      </c>
      <c r="P24" s="4" t="s">
        <v>153</v>
      </c>
      <c r="R24" s="4" t="s">
        <v>154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156</v>
      </c>
      <c r="Q25" s="4" t="s">
        <v>158</v>
      </c>
      <c r="R25" s="4" t="s">
        <v>156</v>
      </c>
      <c r="S25" s="4" t="s">
        <v>158</v>
      </c>
      <c r="U25" s="4" t="s">
        <v>156</v>
      </c>
      <c r="V25" s="4" t="s">
        <v>158</v>
      </c>
      <c r="W25" s="4" t="s">
        <v>182</v>
      </c>
    </row>
    <row r="26" spans="1:23">
      <c r="A26" s="1"/>
      <c r="F26" s="4" t="s">
        <v>161</v>
      </c>
      <c r="G26" s="78">
        <v>0.14699999999999999</v>
      </c>
      <c r="H26" s="78">
        <v>0.13700000000000001</v>
      </c>
      <c r="I26" s="79">
        <v>0.20799999999999999</v>
      </c>
      <c r="J26" s="79">
        <v>0.151</v>
      </c>
      <c r="K26" s="78">
        <v>0.16400000000000001</v>
      </c>
      <c r="L26" s="78">
        <v>0.16</v>
      </c>
      <c r="M26" s="79">
        <v>0.10199999999999999</v>
      </c>
      <c r="N26" s="79">
        <v>8.7999999999999995E-2</v>
      </c>
      <c r="P26" s="83">
        <f>(G26+H26)/2</f>
        <v>0.14200000000000002</v>
      </c>
      <c r="Q26" s="82">
        <f t="shared" ref="Q26:Q37" si="0">(I26+J26)/2</f>
        <v>0.17949999999999999</v>
      </c>
      <c r="R26" s="83">
        <f t="shared" ref="R26:R37" si="1">(K26+L26)/2</f>
        <v>0.16200000000000001</v>
      </c>
      <c r="S26" s="82">
        <f t="shared" ref="S26:S37" si="2">(M26+N26)/2</f>
        <v>9.5000000000000001E-2</v>
      </c>
      <c r="U26" s="83">
        <f>(P26+R26)/2</f>
        <v>0.15200000000000002</v>
      </c>
      <c r="V26" s="82">
        <f>(Q26+S26)/2</f>
        <v>0.13724999999999998</v>
      </c>
      <c r="W26" s="85">
        <f>MAX(U26:V26)</f>
        <v>0.15200000000000002</v>
      </c>
    </row>
    <row r="27" spans="1:23">
      <c r="A27" s="1"/>
      <c r="F27" s="4" t="s">
        <v>162</v>
      </c>
      <c r="G27" s="78">
        <v>0.248</v>
      </c>
      <c r="H27" s="78">
        <v>0.20599999999999999</v>
      </c>
      <c r="I27" s="79">
        <v>0.14399999999999999</v>
      </c>
      <c r="J27" s="79">
        <v>0.13200000000000001</v>
      </c>
      <c r="K27" s="78">
        <v>0.26800000000000002</v>
      </c>
      <c r="L27" s="78">
        <v>0.25700000000000001</v>
      </c>
      <c r="M27" s="79">
        <v>7.5999999999999998E-2</v>
      </c>
      <c r="N27" s="79">
        <v>4.4999999999999998E-2</v>
      </c>
      <c r="P27" s="83">
        <f t="shared" ref="P27:P37" si="3">(G27+H27)/2</f>
        <v>0.22699999999999998</v>
      </c>
      <c r="Q27" s="82">
        <f t="shared" si="0"/>
        <v>0.13800000000000001</v>
      </c>
      <c r="R27" s="83">
        <f t="shared" si="1"/>
        <v>0.26250000000000001</v>
      </c>
      <c r="S27" s="82">
        <f t="shared" si="2"/>
        <v>6.0499999999999998E-2</v>
      </c>
      <c r="U27" s="83">
        <f t="shared" ref="U27:V37" si="4">(P27+R27)/2</f>
        <v>0.24475</v>
      </c>
      <c r="V27" s="82">
        <f t="shared" si="4"/>
        <v>9.9250000000000005E-2</v>
      </c>
      <c r="W27" s="85">
        <f t="shared" ref="W27:W37" si="5">MAX(U27:V27)</f>
        <v>0.24475</v>
      </c>
    </row>
    <row r="28" spans="1:23">
      <c r="A28" s="1"/>
      <c r="F28" s="4" t="s">
        <v>163</v>
      </c>
      <c r="G28" s="78">
        <v>0.30499999999999999</v>
      </c>
      <c r="H28" s="78">
        <v>0.249</v>
      </c>
      <c r="I28" s="79">
        <v>0</v>
      </c>
      <c r="J28" s="79">
        <v>0</v>
      </c>
      <c r="K28" s="78">
        <v>0.378</v>
      </c>
      <c r="L28" s="78">
        <v>0.317</v>
      </c>
      <c r="M28" s="79">
        <v>0</v>
      </c>
      <c r="N28" s="79">
        <v>0</v>
      </c>
      <c r="P28" s="83">
        <f t="shared" si="3"/>
        <v>0.27700000000000002</v>
      </c>
      <c r="Q28" s="82">
        <f t="shared" si="0"/>
        <v>0</v>
      </c>
      <c r="R28" s="83">
        <f t="shared" si="1"/>
        <v>0.34750000000000003</v>
      </c>
      <c r="S28" s="82">
        <f t="shared" si="2"/>
        <v>0</v>
      </c>
      <c r="U28" s="83">
        <f t="shared" si="4"/>
        <v>0.31225000000000003</v>
      </c>
      <c r="V28" s="82">
        <f t="shared" si="4"/>
        <v>0</v>
      </c>
      <c r="W28" s="85">
        <f t="shared" si="5"/>
        <v>0.31225000000000003</v>
      </c>
    </row>
    <row r="29" spans="1:23">
      <c r="A29" s="1"/>
      <c r="F29" s="4" t="s">
        <v>164</v>
      </c>
      <c r="G29" s="78">
        <v>0.54600000000000004</v>
      </c>
      <c r="H29" s="78">
        <v>0.54400000000000004</v>
      </c>
      <c r="I29" s="79">
        <v>0</v>
      </c>
      <c r="J29" s="79">
        <v>0</v>
      </c>
      <c r="K29" s="78">
        <v>0.58699999999999997</v>
      </c>
      <c r="L29" s="78">
        <v>0.57299999999999995</v>
      </c>
      <c r="M29" s="79">
        <v>0</v>
      </c>
      <c r="N29" s="79">
        <v>0</v>
      </c>
      <c r="P29" s="83">
        <f t="shared" si="3"/>
        <v>0.54500000000000004</v>
      </c>
      <c r="Q29" s="82">
        <f t="shared" si="0"/>
        <v>0</v>
      </c>
      <c r="R29" s="83">
        <f t="shared" si="1"/>
        <v>0.57999999999999996</v>
      </c>
      <c r="S29" s="82">
        <f t="shared" si="2"/>
        <v>0</v>
      </c>
      <c r="U29" s="83">
        <f t="shared" si="4"/>
        <v>0.5625</v>
      </c>
      <c r="V29" s="82">
        <f t="shared" si="4"/>
        <v>0</v>
      </c>
      <c r="W29" s="85">
        <f t="shared" si="5"/>
        <v>0.5625</v>
      </c>
    </row>
    <row r="30" spans="1:23">
      <c r="A30" s="1"/>
      <c r="F30" s="4" t="s">
        <v>165</v>
      </c>
      <c r="G30" s="78">
        <v>0.58699999999999997</v>
      </c>
      <c r="H30" s="78">
        <v>0.53400000000000003</v>
      </c>
      <c r="I30" s="79">
        <v>0</v>
      </c>
      <c r="J30" s="79">
        <v>0</v>
      </c>
      <c r="K30" s="78">
        <v>0.626</v>
      </c>
      <c r="L30" s="78">
        <v>0.61499999999999999</v>
      </c>
      <c r="M30" s="79">
        <v>0</v>
      </c>
      <c r="N30" s="79">
        <v>0</v>
      </c>
      <c r="P30" s="83">
        <f t="shared" si="3"/>
        <v>0.5605</v>
      </c>
      <c r="Q30" s="82">
        <f t="shared" si="0"/>
        <v>0</v>
      </c>
      <c r="R30" s="83">
        <f t="shared" si="1"/>
        <v>0.62050000000000005</v>
      </c>
      <c r="S30" s="82">
        <f t="shared" si="2"/>
        <v>0</v>
      </c>
      <c r="U30" s="83">
        <f t="shared" si="4"/>
        <v>0.59050000000000002</v>
      </c>
      <c r="V30" s="82">
        <f t="shared" si="4"/>
        <v>0</v>
      </c>
      <c r="W30" s="85">
        <f t="shared" si="5"/>
        <v>0.59050000000000002</v>
      </c>
    </row>
    <row r="31" spans="1:23">
      <c r="A31" s="1"/>
      <c r="F31" s="4" t="s">
        <v>166</v>
      </c>
      <c r="G31" s="78">
        <v>0.372</v>
      </c>
      <c r="H31" s="78">
        <v>0.432</v>
      </c>
      <c r="I31" s="79">
        <v>0</v>
      </c>
      <c r="J31" s="79">
        <v>0</v>
      </c>
      <c r="K31" s="78">
        <v>0.436</v>
      </c>
      <c r="L31" s="78">
        <v>0.48399999999999999</v>
      </c>
      <c r="M31" s="79">
        <v>0</v>
      </c>
      <c r="N31" s="79">
        <v>0</v>
      </c>
      <c r="P31" s="83">
        <f t="shared" si="3"/>
        <v>0.40200000000000002</v>
      </c>
      <c r="Q31" s="82">
        <f t="shared" si="0"/>
        <v>0</v>
      </c>
      <c r="R31" s="83">
        <f t="shared" si="1"/>
        <v>0.45999999999999996</v>
      </c>
      <c r="S31" s="82">
        <f t="shared" si="2"/>
        <v>0</v>
      </c>
      <c r="U31" s="83">
        <f t="shared" si="4"/>
        <v>0.43099999999999999</v>
      </c>
      <c r="V31" s="82">
        <f t="shared" si="4"/>
        <v>0</v>
      </c>
      <c r="W31" s="85">
        <f t="shared" si="5"/>
        <v>0.43099999999999999</v>
      </c>
    </row>
    <row r="32" spans="1:23">
      <c r="A32" s="1"/>
      <c r="F32" s="4" t="s">
        <v>167</v>
      </c>
      <c r="G32" s="78">
        <v>0.18</v>
      </c>
      <c r="H32" s="78">
        <v>0.20599999999999999</v>
      </c>
      <c r="I32" s="79">
        <v>0.14799999999999999</v>
      </c>
      <c r="J32" s="79">
        <v>6.2E-2</v>
      </c>
      <c r="K32" s="78">
        <v>0.21</v>
      </c>
      <c r="L32" s="78">
        <v>0.23499999999999999</v>
      </c>
      <c r="M32" s="79">
        <v>4.4999999999999998E-2</v>
      </c>
      <c r="N32" s="79">
        <v>0</v>
      </c>
      <c r="P32" s="83">
        <f t="shared" si="3"/>
        <v>0.193</v>
      </c>
      <c r="Q32" s="82">
        <f t="shared" si="0"/>
        <v>0.105</v>
      </c>
      <c r="R32" s="83">
        <f t="shared" si="1"/>
        <v>0.22249999999999998</v>
      </c>
      <c r="S32" s="82">
        <f t="shared" si="2"/>
        <v>2.2499999999999999E-2</v>
      </c>
      <c r="U32" s="83">
        <f t="shared" si="4"/>
        <v>0.20774999999999999</v>
      </c>
      <c r="V32" s="82">
        <f t="shared" si="4"/>
        <v>6.3750000000000001E-2</v>
      </c>
      <c r="W32" s="85">
        <f t="shared" si="5"/>
        <v>0.20774999999999999</v>
      </c>
    </row>
    <row r="33" spans="1:27">
      <c r="A33" s="1"/>
      <c r="F33" s="4" t="s">
        <v>168</v>
      </c>
      <c r="G33" s="78">
        <v>8.5000000000000006E-2</v>
      </c>
      <c r="H33" s="78">
        <v>0.129</v>
      </c>
      <c r="I33" s="79">
        <v>0.245</v>
      </c>
      <c r="J33" s="79">
        <v>0.17100000000000001</v>
      </c>
      <c r="K33" s="78">
        <v>0.16900000000000001</v>
      </c>
      <c r="L33" s="78">
        <v>0.13600000000000001</v>
      </c>
      <c r="M33" s="79">
        <v>0.13100000000000001</v>
      </c>
      <c r="N33" s="79">
        <v>0.09</v>
      </c>
      <c r="P33" s="83">
        <f t="shared" si="3"/>
        <v>0.10700000000000001</v>
      </c>
      <c r="Q33" s="82">
        <f t="shared" si="0"/>
        <v>0.20800000000000002</v>
      </c>
      <c r="R33" s="83">
        <f t="shared" si="1"/>
        <v>0.15250000000000002</v>
      </c>
      <c r="S33" s="82">
        <f t="shared" si="2"/>
        <v>0.1105</v>
      </c>
      <c r="U33" s="83">
        <f t="shared" si="4"/>
        <v>0.12975000000000003</v>
      </c>
      <c r="V33" s="82">
        <f t="shared" si="4"/>
        <v>0.15925</v>
      </c>
      <c r="W33" s="85">
        <f t="shared" si="5"/>
        <v>0.15925</v>
      </c>
    </row>
    <row r="34" spans="1:27">
      <c r="A34" s="1"/>
      <c r="F34" s="4" t="s">
        <v>169</v>
      </c>
      <c r="G34" s="78">
        <v>0</v>
      </c>
      <c r="H34" s="78">
        <v>0</v>
      </c>
      <c r="I34" s="79">
        <v>0.45</v>
      </c>
      <c r="J34" s="79">
        <v>0.312</v>
      </c>
      <c r="K34" s="78">
        <v>0</v>
      </c>
      <c r="L34" s="78">
        <v>0</v>
      </c>
      <c r="M34" s="79">
        <v>0.224</v>
      </c>
      <c r="N34" s="79">
        <v>0.151</v>
      </c>
      <c r="P34" s="83">
        <f t="shared" si="3"/>
        <v>0</v>
      </c>
      <c r="Q34" s="82">
        <f t="shared" si="0"/>
        <v>0.38100000000000001</v>
      </c>
      <c r="R34" s="83">
        <f t="shared" si="1"/>
        <v>0</v>
      </c>
      <c r="S34" s="82">
        <f t="shared" si="2"/>
        <v>0.1875</v>
      </c>
      <c r="U34" s="83">
        <f t="shared" si="4"/>
        <v>0</v>
      </c>
      <c r="V34" s="82">
        <f t="shared" si="4"/>
        <v>0.28425</v>
      </c>
      <c r="W34" s="85">
        <f t="shared" si="5"/>
        <v>0.28425</v>
      </c>
    </row>
    <row r="35" spans="1:27">
      <c r="A35" s="1"/>
      <c r="F35" s="4" t="s">
        <v>170</v>
      </c>
      <c r="G35" s="78">
        <v>0</v>
      </c>
      <c r="H35" s="78">
        <v>0</v>
      </c>
      <c r="I35" s="79">
        <v>0.56499999999999995</v>
      </c>
      <c r="J35" s="79">
        <v>0.44600000000000001</v>
      </c>
      <c r="K35" s="78">
        <v>0</v>
      </c>
      <c r="L35" s="78">
        <v>0</v>
      </c>
      <c r="M35" s="79">
        <v>0.27800000000000002</v>
      </c>
      <c r="N35" s="79">
        <v>0.19900000000000001</v>
      </c>
      <c r="P35" s="83">
        <f t="shared" si="3"/>
        <v>0</v>
      </c>
      <c r="Q35" s="82">
        <f t="shared" si="0"/>
        <v>0.50549999999999995</v>
      </c>
      <c r="R35" s="83">
        <f t="shared" si="1"/>
        <v>0</v>
      </c>
      <c r="S35" s="82">
        <f t="shared" si="2"/>
        <v>0.23850000000000002</v>
      </c>
      <c r="U35" s="83">
        <f t="shared" si="4"/>
        <v>0</v>
      </c>
      <c r="V35" s="82">
        <f t="shared" si="4"/>
        <v>0.372</v>
      </c>
      <c r="W35" s="85">
        <f t="shared" si="5"/>
        <v>0.372</v>
      </c>
    </row>
    <row r="36" spans="1:27">
      <c r="A36" s="1"/>
      <c r="F36" s="4" t="s">
        <v>171</v>
      </c>
      <c r="G36" s="78">
        <v>0</v>
      </c>
      <c r="H36" s="78">
        <v>0</v>
      </c>
      <c r="I36" s="79">
        <v>0.52900000000000003</v>
      </c>
      <c r="J36" s="79">
        <v>0.432</v>
      </c>
      <c r="K36" s="78">
        <v>0</v>
      </c>
      <c r="L36" s="78">
        <v>0</v>
      </c>
      <c r="M36" s="79">
        <v>0.25</v>
      </c>
      <c r="N36" s="79">
        <v>0.193</v>
      </c>
      <c r="P36" s="83">
        <f t="shared" si="3"/>
        <v>0</v>
      </c>
      <c r="Q36" s="82">
        <f t="shared" si="0"/>
        <v>0.48050000000000004</v>
      </c>
      <c r="R36" s="83">
        <f t="shared" si="1"/>
        <v>0</v>
      </c>
      <c r="S36" s="82">
        <f t="shared" si="2"/>
        <v>0.2215</v>
      </c>
      <c r="U36" s="83">
        <f t="shared" si="4"/>
        <v>0</v>
      </c>
      <c r="V36" s="82">
        <f t="shared" si="4"/>
        <v>0.35100000000000003</v>
      </c>
      <c r="W36" s="85">
        <f t="shared" si="5"/>
        <v>0.35100000000000003</v>
      </c>
    </row>
    <row r="37" spans="1:27">
      <c r="A37" s="1"/>
      <c r="F37" s="4" t="s">
        <v>172</v>
      </c>
      <c r="G37" s="78">
        <v>0</v>
      </c>
      <c r="H37" s="78">
        <v>0.107</v>
      </c>
      <c r="I37" s="79">
        <v>0.38900000000000001</v>
      </c>
      <c r="J37" s="79">
        <v>0.32500000000000001</v>
      </c>
      <c r="K37" s="78">
        <v>5.8000000000000003E-2</v>
      </c>
      <c r="L37" s="78">
        <v>0.188</v>
      </c>
      <c r="M37" s="79">
        <v>0.20100000000000001</v>
      </c>
      <c r="N37" s="79">
        <v>0.14599999999999999</v>
      </c>
      <c r="P37" s="83">
        <f t="shared" si="3"/>
        <v>5.3499999999999999E-2</v>
      </c>
      <c r="Q37" s="82">
        <f t="shared" si="0"/>
        <v>0.35699999999999998</v>
      </c>
      <c r="R37" s="83">
        <f t="shared" si="1"/>
        <v>0.123</v>
      </c>
      <c r="S37" s="82">
        <f t="shared" si="2"/>
        <v>0.17349999999999999</v>
      </c>
      <c r="U37" s="83">
        <f t="shared" si="4"/>
        <v>8.8249999999999995E-2</v>
      </c>
      <c r="V37" s="82">
        <f t="shared" si="4"/>
        <v>0.26524999999999999</v>
      </c>
      <c r="W37" s="85">
        <f t="shared" si="5"/>
        <v>0.26524999999999999</v>
      </c>
    </row>
    <row r="38" spans="1:27">
      <c r="A38" s="1"/>
      <c r="T38" s="38" t="s">
        <v>180</v>
      </c>
      <c r="U38" s="81">
        <f t="shared" ref="U38:V38" si="6">_xlfn.AGGREGATE(1,5,U26:U37)</f>
        <v>0.2265625</v>
      </c>
      <c r="V38" s="81">
        <f t="shared" si="6"/>
        <v>0.14433333333333334</v>
      </c>
      <c r="W38" s="81">
        <f>_xlfn.AGGREGATE(1,5,W26:W37)</f>
        <v>0.32770833333333332</v>
      </c>
    </row>
    <row r="39" spans="1:27">
      <c r="A39" s="1"/>
    </row>
    <row r="40" spans="1:27">
      <c r="A40" s="1"/>
      <c r="F40" s="4" t="s">
        <v>174</v>
      </c>
      <c r="G40" s="4" t="s">
        <v>175</v>
      </c>
      <c r="H40" s="4"/>
      <c r="I40" s="4"/>
      <c r="J40" s="4"/>
      <c r="P40" t="s">
        <v>177</v>
      </c>
    </row>
    <row r="41" spans="1:27">
      <c r="A41" s="1"/>
      <c r="F41" s="4"/>
      <c r="G41" s="4" t="s">
        <v>153</v>
      </c>
      <c r="H41" s="4"/>
      <c r="I41" s="4" t="s">
        <v>154</v>
      </c>
      <c r="J41" s="4"/>
      <c r="U41" t="s">
        <v>178</v>
      </c>
    </row>
    <row r="42" spans="1:27">
      <c r="A42" s="1"/>
      <c r="F42" s="4"/>
      <c r="G42" s="4" t="s">
        <v>159</v>
      </c>
      <c r="H42" s="4" t="s">
        <v>160</v>
      </c>
      <c r="I42" s="4" t="s">
        <v>159</v>
      </c>
      <c r="J42" s="4" t="s">
        <v>160</v>
      </c>
      <c r="P42" s="4" t="s">
        <v>153</v>
      </c>
      <c r="Q42" s="4" t="s">
        <v>154</v>
      </c>
      <c r="U42" s="4" t="s">
        <v>153</v>
      </c>
      <c r="W42" s="4" t="s">
        <v>154</v>
      </c>
      <c r="Y42" t="s">
        <v>184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156</v>
      </c>
      <c r="V43" s="4" t="s">
        <v>158</v>
      </c>
      <c r="W43" s="4" t="s">
        <v>156</v>
      </c>
      <c r="X43" s="4" t="s">
        <v>158</v>
      </c>
      <c r="Y43" s="4" t="s">
        <v>156</v>
      </c>
      <c r="Z43" s="4" t="s">
        <v>158</v>
      </c>
      <c r="AA43" s="4" t="s">
        <v>185</v>
      </c>
    </row>
    <row r="44" spans="1:27">
      <c r="A44" s="1"/>
      <c r="F44" s="4" t="s">
        <v>161</v>
      </c>
      <c r="G44" s="80">
        <v>0.36099999999999999</v>
      </c>
      <c r="H44" s="80">
        <v>0.27400000000000002</v>
      </c>
      <c r="I44" s="80">
        <v>0.32300000000000001</v>
      </c>
      <c r="J44" s="80">
        <v>0.27500000000000002</v>
      </c>
      <c r="P44" s="84">
        <f>(G44+H44)/2</f>
        <v>0.3175</v>
      </c>
      <c r="Q44" s="84">
        <f t="shared" ref="Q44:Q55" si="7">(I44+J44)/2</f>
        <v>0.29900000000000004</v>
      </c>
      <c r="U44" s="83">
        <f t="shared" ref="U44:U55" si="8">P26*P44</f>
        <v>4.5085000000000007E-2</v>
      </c>
      <c r="V44" s="82">
        <f t="shared" ref="V44:V55" si="9">Q26*P44</f>
        <v>5.699125E-2</v>
      </c>
      <c r="W44" s="83">
        <f t="shared" ref="W44:W55" si="10">R26*Q44</f>
        <v>4.8438000000000009E-2</v>
      </c>
      <c r="X44" s="82">
        <f t="shared" ref="X44:X55" si="11">S26*Q44</f>
        <v>2.8405000000000003E-2</v>
      </c>
      <c r="Y44" s="83">
        <f>(U44+W44)/2</f>
        <v>4.6761500000000011E-2</v>
      </c>
      <c r="Z44" s="82">
        <f>(V44+X44)/2</f>
        <v>4.2698125000000003E-2</v>
      </c>
      <c r="AA44" s="85">
        <f>MAX(Y44:Z44)</f>
        <v>4.6761500000000011E-2</v>
      </c>
    </row>
    <row r="45" spans="1:27">
      <c r="A45" s="1"/>
      <c r="F45" s="4" t="s">
        <v>162</v>
      </c>
      <c r="G45" s="80">
        <v>0.45100000000000001</v>
      </c>
      <c r="H45" s="80">
        <v>0.51100000000000001</v>
      </c>
      <c r="I45" s="80">
        <v>0.77500000000000002</v>
      </c>
      <c r="J45" s="80">
        <v>0.81399999999999995</v>
      </c>
      <c r="P45" s="84">
        <f t="shared" ref="P45:P55" si="12">(G45+H45)/2</f>
        <v>0.48099999999999998</v>
      </c>
      <c r="Q45" s="84">
        <f t="shared" si="7"/>
        <v>0.79449999999999998</v>
      </c>
      <c r="U45" s="83">
        <f t="shared" si="8"/>
        <v>0.10918699999999999</v>
      </c>
      <c r="V45" s="82">
        <f t="shared" si="9"/>
        <v>6.6378000000000006E-2</v>
      </c>
      <c r="W45" s="83">
        <f t="shared" si="10"/>
        <v>0.20855625</v>
      </c>
      <c r="X45" s="82">
        <f t="shared" si="11"/>
        <v>4.8067249999999999E-2</v>
      </c>
      <c r="Y45" s="83">
        <f t="shared" ref="Y45:Y55" si="13">(U45+W45)/2</f>
        <v>0.15887162499999999</v>
      </c>
      <c r="Z45" s="82">
        <f t="shared" ref="Z45:Z55" si="14">(V45+X45)/2</f>
        <v>5.7222624999999999E-2</v>
      </c>
      <c r="AA45" s="85">
        <f t="shared" ref="AA45:AA55" si="15">MAX(Y45:Z45)</f>
        <v>0.15887162499999999</v>
      </c>
    </row>
    <row r="46" spans="1:27">
      <c r="A46" s="1"/>
      <c r="F46" s="4" t="s">
        <v>163</v>
      </c>
      <c r="G46" s="80">
        <v>0.71699999999999997</v>
      </c>
      <c r="H46" s="80">
        <v>0.67400000000000004</v>
      </c>
      <c r="I46" s="80">
        <v>0.94499999999999995</v>
      </c>
      <c r="J46" s="80">
        <v>0.94200000000000006</v>
      </c>
      <c r="P46" s="84">
        <f t="shared" si="12"/>
        <v>0.69550000000000001</v>
      </c>
      <c r="Q46" s="84">
        <f t="shared" si="7"/>
        <v>0.94350000000000001</v>
      </c>
      <c r="U46" s="83">
        <f t="shared" si="8"/>
        <v>0.19265350000000001</v>
      </c>
      <c r="V46" s="82">
        <f t="shared" si="9"/>
        <v>0</v>
      </c>
      <c r="W46" s="83">
        <f t="shared" si="10"/>
        <v>0.32786625000000003</v>
      </c>
      <c r="X46" s="82">
        <f t="shared" si="11"/>
        <v>0</v>
      </c>
      <c r="Y46" s="83">
        <f t="shared" si="13"/>
        <v>0.26025987500000003</v>
      </c>
      <c r="Z46" s="82">
        <f t="shared" si="14"/>
        <v>0</v>
      </c>
      <c r="AA46" s="85">
        <f t="shared" si="15"/>
        <v>0.26025987500000003</v>
      </c>
    </row>
    <row r="47" spans="1:27">
      <c r="A47" s="1"/>
      <c r="F47" s="4" t="s">
        <v>164</v>
      </c>
      <c r="G47" s="80">
        <v>0.89500000000000002</v>
      </c>
      <c r="H47" s="80">
        <v>0.88800000000000001</v>
      </c>
      <c r="I47" s="80">
        <v>1</v>
      </c>
      <c r="J47" s="80">
        <v>0.99</v>
      </c>
      <c r="P47" s="84">
        <f t="shared" si="12"/>
        <v>0.89149999999999996</v>
      </c>
      <c r="Q47" s="84">
        <f t="shared" si="7"/>
        <v>0.995</v>
      </c>
      <c r="U47" s="83">
        <f t="shared" si="8"/>
        <v>0.48586750000000001</v>
      </c>
      <c r="V47" s="82">
        <f t="shared" si="9"/>
        <v>0</v>
      </c>
      <c r="W47" s="83">
        <f t="shared" si="10"/>
        <v>0.57709999999999995</v>
      </c>
      <c r="X47" s="82">
        <f t="shared" si="11"/>
        <v>0</v>
      </c>
      <c r="Y47" s="83">
        <f t="shared" si="13"/>
        <v>0.53148375000000003</v>
      </c>
      <c r="Z47" s="82">
        <f t="shared" si="14"/>
        <v>0</v>
      </c>
      <c r="AA47" s="85">
        <f t="shared" si="15"/>
        <v>0.53148375000000003</v>
      </c>
    </row>
    <row r="48" spans="1:27">
      <c r="A48" s="1"/>
      <c r="F48" s="4" t="s">
        <v>165</v>
      </c>
      <c r="G48" s="80">
        <v>0.92300000000000004</v>
      </c>
      <c r="H48" s="80">
        <v>0.99</v>
      </c>
      <c r="I48" s="80">
        <v>1</v>
      </c>
      <c r="J48" s="80">
        <v>1</v>
      </c>
      <c r="P48" s="84">
        <f t="shared" si="12"/>
        <v>0.95650000000000002</v>
      </c>
      <c r="Q48" s="84">
        <f t="shared" si="7"/>
        <v>1</v>
      </c>
      <c r="U48" s="83">
        <f t="shared" si="8"/>
        <v>0.53611825000000002</v>
      </c>
      <c r="V48" s="82">
        <f t="shared" si="9"/>
        <v>0</v>
      </c>
      <c r="W48" s="83">
        <f t="shared" si="10"/>
        <v>0.62050000000000005</v>
      </c>
      <c r="X48" s="82">
        <f t="shared" si="11"/>
        <v>0</v>
      </c>
      <c r="Y48" s="83">
        <f t="shared" si="13"/>
        <v>0.57830912500000009</v>
      </c>
      <c r="Z48" s="82">
        <f t="shared" si="14"/>
        <v>0</v>
      </c>
      <c r="AA48" s="85">
        <f t="shared" si="15"/>
        <v>0.57830912500000009</v>
      </c>
    </row>
    <row r="49" spans="1:27">
      <c r="A49" s="1"/>
      <c r="F49" s="4" t="s">
        <v>166</v>
      </c>
      <c r="G49" s="80">
        <v>0.81</v>
      </c>
      <c r="H49" s="80">
        <v>0.83799999999999997</v>
      </c>
      <c r="I49" s="80">
        <v>0.99</v>
      </c>
      <c r="J49" s="80">
        <v>1</v>
      </c>
      <c r="P49" s="84">
        <f t="shared" si="12"/>
        <v>0.82400000000000007</v>
      </c>
      <c r="Q49" s="84">
        <f t="shared" si="7"/>
        <v>0.995</v>
      </c>
      <c r="U49" s="83">
        <f t="shared" si="8"/>
        <v>0.33124800000000004</v>
      </c>
      <c r="V49" s="82">
        <f t="shared" si="9"/>
        <v>0</v>
      </c>
      <c r="W49" s="83">
        <f t="shared" si="10"/>
        <v>0.45769999999999994</v>
      </c>
      <c r="X49" s="82">
        <f t="shared" si="11"/>
        <v>0</v>
      </c>
      <c r="Y49" s="83">
        <f t="shared" si="13"/>
        <v>0.39447399999999999</v>
      </c>
      <c r="Z49" s="82">
        <f t="shared" si="14"/>
        <v>0</v>
      </c>
      <c r="AA49" s="85">
        <f t="shared" si="15"/>
        <v>0.39447399999999999</v>
      </c>
    </row>
    <row r="50" spans="1:27">
      <c r="A50" s="1"/>
      <c r="F50" s="4" t="s">
        <v>167</v>
      </c>
      <c r="G50" s="80">
        <v>0.23499999999999999</v>
      </c>
      <c r="H50" s="80">
        <v>0.40899999999999997</v>
      </c>
      <c r="I50" s="80">
        <v>0.48399999999999999</v>
      </c>
      <c r="J50" s="80">
        <v>0.79900000000000004</v>
      </c>
      <c r="P50" s="84">
        <f t="shared" si="12"/>
        <v>0.32199999999999995</v>
      </c>
      <c r="Q50" s="84">
        <f t="shared" si="7"/>
        <v>0.64149999999999996</v>
      </c>
      <c r="U50" s="83">
        <f t="shared" si="8"/>
        <v>6.2145999999999993E-2</v>
      </c>
      <c r="V50" s="82">
        <f t="shared" si="9"/>
        <v>3.3809999999999993E-2</v>
      </c>
      <c r="W50" s="83">
        <f t="shared" si="10"/>
        <v>0.14273374999999996</v>
      </c>
      <c r="X50" s="82">
        <f t="shared" si="11"/>
        <v>1.4433749999999999E-2</v>
      </c>
      <c r="Y50" s="83">
        <f t="shared" si="13"/>
        <v>0.10243987499999999</v>
      </c>
      <c r="Z50" s="82">
        <f t="shared" si="14"/>
        <v>2.4121874999999994E-2</v>
      </c>
      <c r="AA50" s="85">
        <f t="shared" si="15"/>
        <v>0.10243987499999999</v>
      </c>
    </row>
    <row r="51" spans="1:27">
      <c r="A51" s="1"/>
      <c r="F51" s="4" t="s">
        <v>168</v>
      </c>
      <c r="G51" s="80">
        <v>0.67400000000000004</v>
      </c>
      <c r="H51" s="80">
        <v>0.47599999999999998</v>
      </c>
      <c r="I51" s="80">
        <v>0.09</v>
      </c>
      <c r="J51" s="80">
        <v>0.23300000000000001</v>
      </c>
      <c r="P51" s="84">
        <f t="shared" si="12"/>
        <v>0.57499999999999996</v>
      </c>
      <c r="Q51" s="84">
        <f t="shared" si="7"/>
        <v>0.1615</v>
      </c>
      <c r="U51" s="83">
        <f t="shared" si="8"/>
        <v>6.1525000000000003E-2</v>
      </c>
      <c r="V51" s="82">
        <f t="shared" si="9"/>
        <v>0.1196</v>
      </c>
      <c r="W51" s="83">
        <f t="shared" si="10"/>
        <v>2.4628750000000005E-2</v>
      </c>
      <c r="X51" s="82">
        <f t="shared" si="11"/>
        <v>1.7845750000000001E-2</v>
      </c>
      <c r="Y51" s="83">
        <f t="shared" si="13"/>
        <v>4.3076875000000001E-2</v>
      </c>
      <c r="Z51" s="82">
        <f t="shared" si="14"/>
        <v>6.8722875000000003E-2</v>
      </c>
      <c r="AA51" s="85">
        <f t="shared" si="15"/>
        <v>6.8722875000000003E-2</v>
      </c>
    </row>
    <row r="52" spans="1:27">
      <c r="A52" s="1"/>
      <c r="F52" s="4" t="s">
        <v>169</v>
      </c>
      <c r="G52" s="80">
        <v>0.96499999999999997</v>
      </c>
      <c r="H52" s="80">
        <v>0.93300000000000005</v>
      </c>
      <c r="I52" s="80">
        <v>0.80500000000000005</v>
      </c>
      <c r="J52" s="80">
        <v>0.62</v>
      </c>
      <c r="P52" s="84">
        <f t="shared" si="12"/>
        <v>0.94900000000000007</v>
      </c>
      <c r="Q52" s="84">
        <f t="shared" si="7"/>
        <v>0.71250000000000002</v>
      </c>
      <c r="U52" s="83">
        <f t="shared" si="8"/>
        <v>0</v>
      </c>
      <c r="V52" s="82">
        <f t="shared" si="9"/>
        <v>0.36156900000000003</v>
      </c>
      <c r="W52" s="83">
        <f t="shared" si="10"/>
        <v>0</v>
      </c>
      <c r="X52" s="82">
        <f t="shared" si="11"/>
        <v>0.13359375000000001</v>
      </c>
      <c r="Y52" s="83">
        <f t="shared" si="13"/>
        <v>0</v>
      </c>
      <c r="Z52" s="82">
        <f t="shared" si="14"/>
        <v>0.24758137500000002</v>
      </c>
      <c r="AA52" s="85">
        <f t="shared" si="15"/>
        <v>0.24758137500000002</v>
      </c>
    </row>
    <row r="53" spans="1:27">
      <c r="A53" s="1"/>
      <c r="F53" s="4" t="s">
        <v>170</v>
      </c>
      <c r="G53" s="80">
        <v>1</v>
      </c>
      <c r="H53" s="80">
        <v>1</v>
      </c>
      <c r="I53" s="80">
        <v>0.97199999999999998</v>
      </c>
      <c r="J53" s="80">
        <v>0.97799999999999998</v>
      </c>
      <c r="P53" s="84">
        <f t="shared" si="12"/>
        <v>1</v>
      </c>
      <c r="Q53" s="84">
        <f t="shared" si="7"/>
        <v>0.97499999999999998</v>
      </c>
      <c r="U53" s="83">
        <f t="shared" si="8"/>
        <v>0</v>
      </c>
      <c r="V53" s="82">
        <f t="shared" si="9"/>
        <v>0.50549999999999995</v>
      </c>
      <c r="W53" s="83">
        <f t="shared" si="10"/>
        <v>0</v>
      </c>
      <c r="X53" s="82">
        <f t="shared" si="11"/>
        <v>0.23253750000000001</v>
      </c>
      <c r="Y53" s="83">
        <f t="shared" si="13"/>
        <v>0</v>
      </c>
      <c r="Z53" s="82">
        <f t="shared" si="14"/>
        <v>0.36901874999999995</v>
      </c>
      <c r="AA53" s="85">
        <f t="shared" si="15"/>
        <v>0.36901874999999995</v>
      </c>
    </row>
    <row r="54" spans="1:27">
      <c r="A54" s="1"/>
      <c r="F54" s="4" t="s">
        <v>171</v>
      </c>
      <c r="G54" s="80">
        <v>0.99399999999999999</v>
      </c>
      <c r="H54" s="80">
        <v>0.96899999999999997</v>
      </c>
      <c r="I54" s="80">
        <v>0.97199999999999998</v>
      </c>
      <c r="J54" s="80">
        <v>0.875</v>
      </c>
      <c r="P54" s="84">
        <f t="shared" si="12"/>
        <v>0.98150000000000004</v>
      </c>
      <c r="Q54" s="84">
        <f t="shared" si="7"/>
        <v>0.92349999999999999</v>
      </c>
      <c r="U54" s="83">
        <f t="shared" si="8"/>
        <v>0</v>
      </c>
      <c r="V54" s="82">
        <f t="shared" si="9"/>
        <v>0.47161075000000008</v>
      </c>
      <c r="W54" s="83">
        <f t="shared" si="10"/>
        <v>0</v>
      </c>
      <c r="X54" s="82">
        <f t="shared" si="11"/>
        <v>0.20455524999999999</v>
      </c>
      <c r="Y54" s="83">
        <f t="shared" si="13"/>
        <v>0</v>
      </c>
      <c r="Z54" s="82">
        <f t="shared" si="14"/>
        <v>0.33808300000000002</v>
      </c>
      <c r="AA54" s="85">
        <f t="shared" si="15"/>
        <v>0.33808300000000002</v>
      </c>
    </row>
    <row r="55" spans="1:27">
      <c r="A55" s="1"/>
      <c r="F55" s="4" t="s">
        <v>172</v>
      </c>
      <c r="G55" s="80">
        <v>0.9</v>
      </c>
      <c r="H55" s="80">
        <v>0.88500000000000001</v>
      </c>
      <c r="I55" s="80">
        <v>0.59599999999999997</v>
      </c>
      <c r="J55" s="80">
        <v>3.2000000000000001E-2</v>
      </c>
      <c r="P55" s="84">
        <f t="shared" si="12"/>
        <v>0.89250000000000007</v>
      </c>
      <c r="Q55" s="84">
        <f t="shared" si="7"/>
        <v>0.314</v>
      </c>
      <c r="U55" s="83">
        <f t="shared" si="8"/>
        <v>4.774875E-2</v>
      </c>
      <c r="V55" s="82">
        <f t="shared" si="9"/>
        <v>0.31862250000000003</v>
      </c>
      <c r="W55" s="83">
        <f t="shared" si="10"/>
        <v>3.8621999999999997E-2</v>
      </c>
      <c r="X55" s="82">
        <f t="shared" si="11"/>
        <v>5.4479E-2</v>
      </c>
      <c r="Y55" s="83">
        <f t="shared" si="13"/>
        <v>4.3185374999999998E-2</v>
      </c>
      <c r="Z55" s="82">
        <f t="shared" si="14"/>
        <v>0.18655075000000002</v>
      </c>
      <c r="AA55" s="85">
        <f t="shared" si="15"/>
        <v>0.18655075000000002</v>
      </c>
    </row>
    <row r="56" spans="1:27">
      <c r="A56" s="1"/>
      <c r="AA56" s="85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208</v>
      </c>
    </row>
    <row r="62" spans="1:27">
      <c r="B62" s="4" t="s">
        <v>196</v>
      </c>
      <c r="C62" s="4"/>
      <c r="D62" s="4"/>
      <c r="E62" s="4"/>
      <c r="F62" s="4"/>
      <c r="G62" s="4"/>
      <c r="H62" s="4"/>
      <c r="I62" s="4"/>
      <c r="J62" s="4"/>
      <c r="K62" s="4" t="s">
        <v>197</v>
      </c>
      <c r="L62" s="4"/>
      <c r="M62" s="4"/>
      <c r="N62" s="4"/>
      <c r="O62" s="4"/>
      <c r="P62" s="4"/>
      <c r="Q62" s="4"/>
      <c r="R62" s="4"/>
    </row>
    <row r="63" spans="1:27">
      <c r="B63" s="92"/>
      <c r="C63" s="501" t="s">
        <v>198</v>
      </c>
      <c r="D63" s="502"/>
      <c r="E63" s="502"/>
      <c r="F63" s="502"/>
      <c r="G63" s="502"/>
      <c r="H63" s="503"/>
      <c r="I63" s="501" t="s">
        <v>199</v>
      </c>
      <c r="J63" s="503"/>
      <c r="K63" s="501" t="s">
        <v>198</v>
      </c>
      <c r="L63" s="502"/>
      <c r="M63" s="502"/>
      <c r="N63" s="502"/>
      <c r="O63" s="502"/>
      <c r="P63" s="503"/>
      <c r="Q63" s="501" t="s">
        <v>199</v>
      </c>
      <c r="R63" s="503"/>
    </row>
    <row r="64" spans="1:27">
      <c r="B64" s="93"/>
      <c r="C64" s="501" t="s">
        <v>200</v>
      </c>
      <c r="D64" s="503"/>
      <c r="E64" s="501" t="s">
        <v>154</v>
      </c>
      <c r="F64" s="503"/>
      <c r="G64" s="501" t="s">
        <v>201</v>
      </c>
      <c r="H64" s="503"/>
      <c r="I64" s="94"/>
      <c r="J64" s="27"/>
      <c r="K64" s="501" t="s">
        <v>200</v>
      </c>
      <c r="L64" s="503"/>
      <c r="M64" s="501" t="s">
        <v>154</v>
      </c>
      <c r="N64" s="503"/>
      <c r="O64" s="501" t="s">
        <v>201</v>
      </c>
      <c r="P64" s="503"/>
      <c r="Q64" s="94"/>
      <c r="R64" s="27"/>
    </row>
    <row r="65" spans="2:18">
      <c r="B65" s="95"/>
      <c r="C65" s="35">
        <v>111</v>
      </c>
      <c r="D65" s="36">
        <v>112</v>
      </c>
      <c r="E65" s="35">
        <v>121</v>
      </c>
      <c r="F65" s="36">
        <v>122</v>
      </c>
      <c r="G65" s="35">
        <v>131</v>
      </c>
      <c r="H65" s="36">
        <v>132</v>
      </c>
      <c r="I65" s="94">
        <v>211</v>
      </c>
      <c r="J65" s="27">
        <v>212</v>
      </c>
      <c r="K65" s="35">
        <v>111</v>
      </c>
      <c r="L65" s="36">
        <v>112</v>
      </c>
      <c r="M65" s="35">
        <v>121</v>
      </c>
      <c r="N65" s="36">
        <v>122</v>
      </c>
      <c r="O65" s="35">
        <v>131</v>
      </c>
      <c r="P65" s="36">
        <v>132</v>
      </c>
      <c r="Q65" s="94">
        <v>211</v>
      </c>
      <c r="R65" s="27">
        <v>212</v>
      </c>
    </row>
    <row r="66" spans="2:18">
      <c r="B66" s="96" t="s">
        <v>202</v>
      </c>
      <c r="C66" s="37" t="s">
        <v>156</v>
      </c>
      <c r="D66" s="37" t="s">
        <v>158</v>
      </c>
      <c r="E66" s="37" t="s">
        <v>156</v>
      </c>
      <c r="F66" s="37" t="s">
        <v>158</v>
      </c>
      <c r="G66" s="37" t="s">
        <v>156</v>
      </c>
      <c r="H66" s="37" t="s">
        <v>158</v>
      </c>
      <c r="I66" s="37" t="s">
        <v>156</v>
      </c>
      <c r="J66" s="37" t="s">
        <v>158</v>
      </c>
      <c r="K66" s="37" t="s">
        <v>156</v>
      </c>
      <c r="L66" s="37" t="s">
        <v>158</v>
      </c>
      <c r="M66" s="37" t="s">
        <v>156</v>
      </c>
      <c r="N66" s="37" t="s">
        <v>158</v>
      </c>
      <c r="O66" s="37" t="s">
        <v>156</v>
      </c>
      <c r="P66" s="37" t="s">
        <v>158</v>
      </c>
      <c r="Q66" s="37" t="s">
        <v>156</v>
      </c>
      <c r="R66" s="37" t="s">
        <v>158</v>
      </c>
    </row>
    <row r="67" spans="2:18">
      <c r="B67" s="96">
        <v>1995</v>
      </c>
      <c r="C67" s="96">
        <v>1.05</v>
      </c>
      <c r="D67" s="96">
        <v>1.05</v>
      </c>
      <c r="E67" s="96">
        <v>1.05</v>
      </c>
      <c r="F67" s="96">
        <f>1.1</f>
        <v>1.1000000000000001</v>
      </c>
      <c r="G67" s="96">
        <v>1.05</v>
      </c>
      <c r="H67" s="96">
        <f>1</f>
        <v>1</v>
      </c>
      <c r="I67" s="96">
        <v>0.26</v>
      </c>
      <c r="J67" s="96">
        <v>0.26</v>
      </c>
      <c r="K67" s="96">
        <v>0.5</v>
      </c>
      <c r="L67" s="96">
        <v>0.45</v>
      </c>
      <c r="M67" s="96">
        <v>0.9</v>
      </c>
      <c r="N67" s="96">
        <v>0.83</v>
      </c>
      <c r="O67" s="96">
        <v>0.56000000000000005</v>
      </c>
      <c r="P67" s="96">
        <v>0.56999999999999995</v>
      </c>
      <c r="Q67" s="96">
        <v>0.74</v>
      </c>
      <c r="R67" s="96">
        <v>0.74</v>
      </c>
    </row>
    <row r="68" spans="2:18">
      <c r="B68" s="96">
        <v>2005</v>
      </c>
      <c r="C68" s="96">
        <v>1.05</v>
      </c>
      <c r="D68" s="96">
        <v>1.05</v>
      </c>
      <c r="E68" s="96">
        <v>1.05</v>
      </c>
      <c r="F68" s="96">
        <f>1</f>
        <v>1</v>
      </c>
      <c r="G68" s="96">
        <v>1.05</v>
      </c>
      <c r="H68" s="96">
        <f>1</f>
        <v>1</v>
      </c>
      <c r="I68" s="96">
        <v>0.25</v>
      </c>
      <c r="J68" s="96">
        <v>0.25</v>
      </c>
      <c r="K68" s="96">
        <v>1.37</v>
      </c>
      <c r="L68" s="96">
        <v>1.22</v>
      </c>
      <c r="M68" s="96">
        <v>1.25</v>
      </c>
      <c r="N68" s="96">
        <v>1.17</v>
      </c>
      <c r="O68" s="96">
        <v>0.83</v>
      </c>
      <c r="P68" s="96">
        <v>0.84</v>
      </c>
      <c r="Q68" s="96">
        <v>0.75</v>
      </c>
      <c r="R68" s="96">
        <v>0.75</v>
      </c>
    </row>
    <row r="69" spans="2:18">
      <c r="B69" s="96">
        <v>2015</v>
      </c>
      <c r="C69" s="96">
        <v>1.05</v>
      </c>
      <c r="D69" s="96">
        <v>1.05</v>
      </c>
      <c r="E69" s="96">
        <v>1.05</v>
      </c>
      <c r="F69" s="96">
        <f>1</f>
        <v>1</v>
      </c>
      <c r="G69" s="96">
        <v>1.05</v>
      </c>
      <c r="H69" s="96">
        <f>1</f>
        <v>1</v>
      </c>
      <c r="I69" s="96">
        <v>0.25</v>
      </c>
      <c r="J69" s="96">
        <v>0.25</v>
      </c>
      <c r="K69" s="96">
        <v>1.77</v>
      </c>
      <c r="L69" s="96">
        <v>1.45</v>
      </c>
      <c r="M69" s="96">
        <v>1.91</v>
      </c>
      <c r="N69" s="96">
        <v>1.4</v>
      </c>
      <c r="O69" s="96">
        <v>1.2</v>
      </c>
      <c r="P69" s="96">
        <v>1.19</v>
      </c>
      <c r="Q69" s="96">
        <v>0.75</v>
      </c>
      <c r="R69" s="96">
        <v>0.75</v>
      </c>
    </row>
    <row r="70" spans="2:18">
      <c r="B70" s="96" t="s">
        <v>203</v>
      </c>
      <c r="C70" s="37" t="s">
        <v>156</v>
      </c>
      <c r="D70" s="37" t="s">
        <v>158</v>
      </c>
      <c r="E70" s="37" t="s">
        <v>156</v>
      </c>
      <c r="F70" s="37" t="s">
        <v>158</v>
      </c>
      <c r="G70" s="37" t="s">
        <v>156</v>
      </c>
      <c r="H70" s="37" t="s">
        <v>158</v>
      </c>
      <c r="I70" s="37" t="s">
        <v>156</v>
      </c>
      <c r="J70" s="37" t="s">
        <v>158</v>
      </c>
      <c r="K70" s="37" t="s">
        <v>156</v>
      </c>
      <c r="L70" s="37" t="s">
        <v>158</v>
      </c>
      <c r="M70" s="37" t="s">
        <v>156</v>
      </c>
      <c r="N70" s="37" t="s">
        <v>158</v>
      </c>
      <c r="O70" s="37" t="s">
        <v>156</v>
      </c>
      <c r="P70" s="37" t="s">
        <v>158</v>
      </c>
      <c r="Q70" s="37" t="s">
        <v>156</v>
      </c>
      <c r="R70" s="37" t="s">
        <v>158</v>
      </c>
    </row>
    <row r="71" spans="2:18">
      <c r="B71" s="96">
        <v>1995</v>
      </c>
      <c r="C71" s="96">
        <v>0.31</v>
      </c>
      <c r="D71" s="96">
        <f>0.38</f>
        <v>0.38</v>
      </c>
      <c r="E71" s="97">
        <f>-0.25</f>
        <v>-0.25</v>
      </c>
      <c r="F71" s="98">
        <f>-0.09</f>
        <v>-0.09</v>
      </c>
      <c r="G71" s="96">
        <f>0.25</f>
        <v>0.25</v>
      </c>
      <c r="H71" s="96">
        <f>0.25</f>
        <v>0.25</v>
      </c>
      <c r="I71" s="96">
        <v>0.26</v>
      </c>
      <c r="J71" s="96">
        <v>0.26</v>
      </c>
      <c r="K71" s="96">
        <v>0.69</v>
      </c>
      <c r="L71" s="96">
        <v>0.62</v>
      </c>
      <c r="M71" s="99">
        <v>1.22</v>
      </c>
      <c r="N71" s="98">
        <v>1.1000000000000001</v>
      </c>
      <c r="O71" s="96">
        <v>0.75</v>
      </c>
      <c r="P71" s="96">
        <v>0.75</v>
      </c>
      <c r="Q71" s="96">
        <v>0.74</v>
      </c>
      <c r="R71" s="96">
        <v>0.74</v>
      </c>
    </row>
    <row r="72" spans="2:18">
      <c r="B72" s="96">
        <v>2005</v>
      </c>
      <c r="C72" s="96">
        <f>-0.85</f>
        <v>-0.85</v>
      </c>
      <c r="D72" s="96">
        <f>-0.65</f>
        <v>-0.65</v>
      </c>
      <c r="E72" s="100">
        <f>-0.6875</f>
        <v>-0.6875</v>
      </c>
      <c r="F72" s="98">
        <f>-0.56</f>
        <v>-0.56000000000000005</v>
      </c>
      <c r="G72" s="98">
        <f>-0.125</f>
        <v>-0.125</v>
      </c>
      <c r="H72" s="98">
        <f>-0.1</f>
        <v>-0.1</v>
      </c>
      <c r="I72" s="96">
        <v>0.25</v>
      </c>
      <c r="J72" s="96">
        <v>0.25</v>
      </c>
      <c r="K72" s="96">
        <v>1.85</v>
      </c>
      <c r="L72" s="96">
        <v>1.65</v>
      </c>
      <c r="M72" s="99">
        <v>1.69</v>
      </c>
      <c r="N72" s="98">
        <v>1.56</v>
      </c>
      <c r="O72" s="97">
        <v>1.1200000000000001</v>
      </c>
      <c r="P72" s="98">
        <v>1.1000000000000001</v>
      </c>
      <c r="Q72" s="96">
        <v>0.75</v>
      </c>
      <c r="R72" s="96">
        <v>0.75</v>
      </c>
    </row>
    <row r="73" spans="2:18">
      <c r="B73" s="96">
        <v>2015</v>
      </c>
      <c r="C73" s="96">
        <v>-1.38</v>
      </c>
      <c r="D73" s="96">
        <f>-0.95</f>
        <v>-0.95</v>
      </c>
      <c r="E73" s="100">
        <f>-1.575</f>
        <v>-1.575</v>
      </c>
      <c r="F73" s="97">
        <f>-0.875</f>
        <v>-0.875</v>
      </c>
      <c r="G73" s="98">
        <f>-0.625</f>
        <v>-0.625</v>
      </c>
      <c r="H73" s="98">
        <f>-0.6</f>
        <v>-0.6</v>
      </c>
      <c r="I73" s="96">
        <v>0.25</v>
      </c>
      <c r="J73" s="96">
        <v>0.25</v>
      </c>
      <c r="K73" s="96">
        <v>2.38</v>
      </c>
      <c r="L73" s="96">
        <v>1.95</v>
      </c>
      <c r="M73" s="99">
        <v>2.58</v>
      </c>
      <c r="N73" s="97">
        <v>1.88</v>
      </c>
      <c r="O73" s="97">
        <v>1.62</v>
      </c>
      <c r="P73" s="98">
        <v>1.6</v>
      </c>
      <c r="Q73" s="96">
        <v>0.75</v>
      </c>
      <c r="R73" s="96">
        <v>0.75</v>
      </c>
    </row>
    <row r="74" spans="2:18" ht="14.2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4.25" thickBot="1">
      <c r="B75" s="4"/>
      <c r="C75" s="101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102"/>
      <c r="D76" s="4"/>
      <c r="E76" s="4"/>
      <c r="F76" s="4"/>
      <c r="G76" s="4" t="s">
        <v>155</v>
      </c>
      <c r="H76" s="4">
        <v>111</v>
      </c>
      <c r="I76" s="103" t="s">
        <v>191</v>
      </c>
      <c r="J76" s="4">
        <v>2015</v>
      </c>
      <c r="K76" s="4"/>
      <c r="L76" s="4"/>
      <c r="M76" s="4" t="s">
        <v>204</v>
      </c>
      <c r="N76" s="4" t="s">
        <v>205</v>
      </c>
      <c r="O76" s="4" t="s">
        <v>206</v>
      </c>
      <c r="P76" s="4" t="s">
        <v>207</v>
      </c>
      <c r="Q76" s="4"/>
      <c r="R76" s="4"/>
    </row>
    <row r="77" spans="2:18">
      <c r="B77" s="4"/>
      <c r="C77" s="4"/>
      <c r="D77" s="4"/>
      <c r="E77" s="4"/>
      <c r="F77" s="4"/>
      <c r="G77" s="4" t="s">
        <v>157</v>
      </c>
      <c r="H77" s="4">
        <v>112</v>
      </c>
      <c r="I77" s="103" t="s">
        <v>192</v>
      </c>
      <c r="J77" s="4">
        <v>1</v>
      </c>
      <c r="K77" s="4"/>
      <c r="L77" s="4" t="s">
        <v>202</v>
      </c>
      <c r="M77" s="96">
        <f>VLOOKUP(J76,B67:J69,J78+1,FALSE)</f>
        <v>1.05</v>
      </c>
      <c r="N77" s="96">
        <f>VLOOKUP($J76,B67:J69,$J78+1,FALSE)</f>
        <v>1.05</v>
      </c>
      <c r="O77" s="96">
        <f>VLOOKUP(J76,B67:R69,J78+9,FALSE)</f>
        <v>1.77</v>
      </c>
      <c r="P77" s="96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103" t="s">
        <v>193</v>
      </c>
      <c r="H78" s="4">
        <v>12</v>
      </c>
      <c r="I78" s="103" t="s">
        <v>194</v>
      </c>
      <c r="J78" s="4">
        <v>1</v>
      </c>
      <c r="K78" s="4">
        <f>MATCH(H77,C65:J65,0)</f>
        <v>2</v>
      </c>
      <c r="L78" s="4" t="s">
        <v>203</v>
      </c>
      <c r="M78" s="96">
        <f>VLOOKUP(J76,B71:J73,J78+1,FALSE)</f>
        <v>-1.38</v>
      </c>
      <c r="N78" s="96">
        <f>VLOOKUP(J76,B71:J73,J78+1,FALSE)</f>
        <v>-1.38</v>
      </c>
      <c r="O78" s="96">
        <f>VLOOKUP(J76,B71:R73,J78+9,FALSE)</f>
        <v>2.38</v>
      </c>
      <c r="P78" s="96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103" t="s">
        <v>195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156</v>
      </c>
      <c r="P79" s="4" t="s">
        <v>158</v>
      </c>
      <c r="Q79" s="4"/>
      <c r="R79" s="4"/>
    </row>
    <row r="80" spans="2:18">
      <c r="B80" t="s">
        <v>212</v>
      </c>
      <c r="D80" s="4"/>
      <c r="E80" s="4"/>
      <c r="F80" s="4"/>
      <c r="G80" s="10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210</v>
      </c>
      <c r="H81" s="2" t="s">
        <v>211</v>
      </c>
    </row>
    <row r="82" spans="2:11">
      <c r="B82" s="3"/>
      <c r="C82" s="105" t="s">
        <v>196</v>
      </c>
      <c r="D82" s="106"/>
      <c r="E82" s="105" t="s">
        <v>197</v>
      </c>
      <c r="F82" s="107"/>
      <c r="H82" s="105" t="s">
        <v>196</v>
      </c>
      <c r="I82" s="106"/>
      <c r="J82" s="105" t="s">
        <v>197</v>
      </c>
      <c r="K82" s="107"/>
    </row>
    <row r="83" spans="2:11">
      <c r="B83" s="96" t="s">
        <v>202</v>
      </c>
      <c r="C83" s="37" t="s">
        <v>156</v>
      </c>
      <c r="D83" s="37" t="s">
        <v>158</v>
      </c>
      <c r="E83" s="37" t="s">
        <v>156</v>
      </c>
      <c r="F83" s="37" t="s">
        <v>158</v>
      </c>
      <c r="H83" s="37" t="s">
        <v>156</v>
      </c>
      <c r="I83" s="37" t="s">
        <v>158</v>
      </c>
      <c r="J83" s="37" t="s">
        <v>156</v>
      </c>
      <c r="K83" s="37" t="s">
        <v>158</v>
      </c>
    </row>
    <row r="84" spans="2:11">
      <c r="B84" s="96">
        <v>1995</v>
      </c>
      <c r="C84" s="3">
        <f t="shared" ref="C84:D86" si="16">(C67+E67)/2</f>
        <v>1.05</v>
      </c>
      <c r="D84" s="3">
        <f t="shared" si="16"/>
        <v>1.0750000000000002</v>
      </c>
      <c r="E84" s="3">
        <f t="shared" ref="E84:F86" si="17">(K67+M67)/2</f>
        <v>0.7</v>
      </c>
      <c r="F84" s="3">
        <f t="shared" si="17"/>
        <v>0.64</v>
      </c>
      <c r="H84" s="96">
        <v>0.26</v>
      </c>
      <c r="I84" s="96">
        <v>0.26</v>
      </c>
      <c r="J84" s="96">
        <v>0.74</v>
      </c>
      <c r="K84" s="96">
        <v>0.74</v>
      </c>
    </row>
    <row r="85" spans="2:11">
      <c r="B85" s="96">
        <v>2005</v>
      </c>
      <c r="C85" s="3">
        <f t="shared" si="16"/>
        <v>1.05</v>
      </c>
      <c r="D85" s="3">
        <f t="shared" si="16"/>
        <v>1.0249999999999999</v>
      </c>
      <c r="E85" s="3">
        <f t="shared" si="17"/>
        <v>1.31</v>
      </c>
      <c r="F85" s="3">
        <f t="shared" si="17"/>
        <v>1.1949999999999998</v>
      </c>
      <c r="H85" s="96">
        <v>0.25</v>
      </c>
      <c r="I85" s="96">
        <v>0.25</v>
      </c>
      <c r="J85" s="96">
        <v>0.75</v>
      </c>
      <c r="K85" s="96">
        <v>0.75</v>
      </c>
    </row>
    <row r="86" spans="2:11">
      <c r="B86" s="96">
        <v>2015</v>
      </c>
      <c r="C86" s="3">
        <f t="shared" si="16"/>
        <v>1.05</v>
      </c>
      <c r="D86" s="3">
        <f t="shared" si="16"/>
        <v>1.0249999999999999</v>
      </c>
      <c r="E86" s="3">
        <f t="shared" si="17"/>
        <v>1.8399999999999999</v>
      </c>
      <c r="F86" s="3">
        <f t="shared" si="17"/>
        <v>1.4249999999999998</v>
      </c>
      <c r="H86" s="96">
        <v>0.25</v>
      </c>
      <c r="I86" s="96">
        <v>0.25</v>
      </c>
      <c r="J86" s="96">
        <v>0.75</v>
      </c>
      <c r="K86" s="96">
        <v>0.75</v>
      </c>
    </row>
    <row r="87" spans="2:11">
      <c r="B87" s="96" t="s">
        <v>203</v>
      </c>
      <c r="C87" s="37" t="s">
        <v>156</v>
      </c>
      <c r="D87" s="37" t="s">
        <v>158</v>
      </c>
      <c r="E87" s="37" t="s">
        <v>156</v>
      </c>
      <c r="F87" s="37" t="s">
        <v>158</v>
      </c>
      <c r="H87" s="37" t="s">
        <v>156</v>
      </c>
      <c r="I87" s="37" t="s">
        <v>158</v>
      </c>
      <c r="J87" s="37" t="s">
        <v>156</v>
      </c>
      <c r="K87" s="37" t="s">
        <v>158</v>
      </c>
    </row>
    <row r="88" spans="2:11">
      <c r="B88" s="96">
        <v>1995</v>
      </c>
      <c r="C88" s="104">
        <f t="shared" ref="C88:D90" si="18">(C71+E71)/2</f>
        <v>0.03</v>
      </c>
      <c r="D88" s="104">
        <f t="shared" si="18"/>
        <v>0.14500000000000002</v>
      </c>
      <c r="E88" s="3">
        <f t="shared" ref="E88:F90" si="19">(K71+M71)/2</f>
        <v>0.95499999999999996</v>
      </c>
      <c r="F88" s="3">
        <f t="shared" si="19"/>
        <v>0.8600000000000001</v>
      </c>
      <c r="H88" s="96">
        <v>0.26</v>
      </c>
      <c r="I88" s="96">
        <v>0.26</v>
      </c>
      <c r="J88" s="96">
        <v>0.74</v>
      </c>
      <c r="K88" s="96">
        <v>0.74</v>
      </c>
    </row>
    <row r="89" spans="2:11">
      <c r="B89" s="96">
        <v>2005</v>
      </c>
      <c r="C89" s="104">
        <f t="shared" si="18"/>
        <v>-0.76875000000000004</v>
      </c>
      <c r="D89" s="104">
        <f t="shared" si="18"/>
        <v>-0.60499999999999998</v>
      </c>
      <c r="E89" s="3">
        <f t="shared" si="19"/>
        <v>1.77</v>
      </c>
      <c r="F89" s="3">
        <f t="shared" si="19"/>
        <v>1.605</v>
      </c>
      <c r="H89" s="96">
        <v>0.25</v>
      </c>
      <c r="I89" s="96">
        <v>0.25</v>
      </c>
      <c r="J89" s="96">
        <v>0.75</v>
      </c>
      <c r="K89" s="96">
        <v>0.75</v>
      </c>
    </row>
    <row r="90" spans="2:11">
      <c r="B90" s="96">
        <v>2015</v>
      </c>
      <c r="C90" s="104">
        <f t="shared" si="18"/>
        <v>-1.4775</v>
      </c>
      <c r="D90" s="104">
        <f t="shared" si="18"/>
        <v>-0.91249999999999998</v>
      </c>
      <c r="E90" s="3">
        <f t="shared" si="19"/>
        <v>2.48</v>
      </c>
      <c r="F90" s="3">
        <f t="shared" si="19"/>
        <v>1.915</v>
      </c>
      <c r="H90" s="96">
        <v>0.25</v>
      </c>
      <c r="I90" s="96">
        <v>0.25</v>
      </c>
      <c r="J90" s="96">
        <v>0.75</v>
      </c>
      <c r="K90" s="96">
        <v>0.75</v>
      </c>
    </row>
    <row r="93" spans="2:11">
      <c r="B93" s="495" t="s">
        <v>210</v>
      </c>
      <c r="C93" s="37" t="s">
        <v>202</v>
      </c>
      <c r="D93" s="37" t="s">
        <v>202</v>
      </c>
      <c r="E93" s="37" t="s">
        <v>203</v>
      </c>
      <c r="F93" s="37" t="s">
        <v>203</v>
      </c>
      <c r="G93" s="37" t="s">
        <v>202</v>
      </c>
      <c r="H93" s="37" t="s">
        <v>202</v>
      </c>
      <c r="I93" s="37" t="s">
        <v>203</v>
      </c>
      <c r="J93" s="37" t="s">
        <v>203</v>
      </c>
    </row>
    <row r="94" spans="2:11">
      <c r="B94" s="496"/>
      <c r="C94" s="498" t="s">
        <v>196</v>
      </c>
      <c r="D94" s="499"/>
      <c r="E94" s="499"/>
      <c r="F94" s="500"/>
      <c r="G94" s="498" t="s">
        <v>213</v>
      </c>
      <c r="H94" s="499"/>
      <c r="I94" s="499"/>
      <c r="J94" s="500"/>
    </row>
    <row r="95" spans="2:11">
      <c r="B95" s="497"/>
      <c r="C95" s="117" t="s">
        <v>156</v>
      </c>
      <c r="D95" s="118" t="s">
        <v>158</v>
      </c>
      <c r="E95" s="117" t="s">
        <v>156</v>
      </c>
      <c r="F95" s="118" t="s">
        <v>158</v>
      </c>
      <c r="G95" s="117" t="s">
        <v>156</v>
      </c>
      <c r="H95" s="118" t="s">
        <v>158</v>
      </c>
      <c r="I95" s="117" t="s">
        <v>156</v>
      </c>
      <c r="J95" s="118" t="s">
        <v>158</v>
      </c>
    </row>
    <row r="96" spans="2:11" hidden="1">
      <c r="B96">
        <v>1981</v>
      </c>
      <c r="C96">
        <v>1.05</v>
      </c>
      <c r="E96">
        <f t="shared" ref="E96:E109" si="20">($C$90-$C$88)/20*(B96-$B$110)+0.03</f>
        <v>1.08525</v>
      </c>
    </row>
    <row r="97" spans="2:10" hidden="1">
      <c r="B97">
        <v>1982</v>
      </c>
      <c r="E97">
        <f t="shared" si="20"/>
        <v>1.0098749999999999</v>
      </c>
    </row>
    <row r="98" spans="2:10" hidden="1">
      <c r="B98">
        <v>1983</v>
      </c>
      <c r="E98">
        <f t="shared" si="20"/>
        <v>0.9345</v>
      </c>
    </row>
    <row r="99" spans="2:10" hidden="1">
      <c r="B99">
        <v>1984</v>
      </c>
      <c r="E99">
        <f t="shared" si="20"/>
        <v>0.85912500000000003</v>
      </c>
    </row>
    <row r="100" spans="2:10" hidden="1">
      <c r="B100">
        <v>1985</v>
      </c>
      <c r="E100">
        <f t="shared" si="20"/>
        <v>0.78374999999999995</v>
      </c>
    </row>
    <row r="101" spans="2:10" hidden="1">
      <c r="B101">
        <v>1986</v>
      </c>
      <c r="E101">
        <f t="shared" si="20"/>
        <v>0.70837499999999998</v>
      </c>
    </row>
    <row r="102" spans="2:10" hidden="1">
      <c r="B102">
        <v>1987</v>
      </c>
      <c r="E102">
        <f t="shared" si="20"/>
        <v>0.63300000000000001</v>
      </c>
    </row>
    <row r="103" spans="2:10" hidden="1">
      <c r="B103">
        <v>1988</v>
      </c>
      <c r="E103">
        <f t="shared" si="20"/>
        <v>0.55762500000000004</v>
      </c>
    </row>
    <row r="104" spans="2:10" hidden="1">
      <c r="B104">
        <v>1989</v>
      </c>
      <c r="E104">
        <f t="shared" si="20"/>
        <v>0.48224999999999996</v>
      </c>
    </row>
    <row r="105" spans="2:10" hidden="1">
      <c r="B105">
        <v>1990</v>
      </c>
      <c r="E105">
        <f t="shared" si="20"/>
        <v>0.40687499999999999</v>
      </c>
    </row>
    <row r="106" spans="2:10" hidden="1">
      <c r="B106">
        <v>1991</v>
      </c>
      <c r="E106">
        <f t="shared" si="20"/>
        <v>0.33150000000000002</v>
      </c>
    </row>
    <row r="107" spans="2:10" hidden="1">
      <c r="B107">
        <v>1992</v>
      </c>
      <c r="E107">
        <f t="shared" si="20"/>
        <v>0.25612499999999999</v>
      </c>
    </row>
    <row r="108" spans="2:10" hidden="1">
      <c r="B108">
        <v>1993</v>
      </c>
      <c r="E108">
        <f t="shared" si="20"/>
        <v>0.18074999999999999</v>
      </c>
    </row>
    <row r="109" spans="2:10" hidden="1">
      <c r="B109">
        <v>1994</v>
      </c>
      <c r="E109">
        <f t="shared" si="20"/>
        <v>0.105375</v>
      </c>
    </row>
    <row r="110" spans="2:10">
      <c r="B110" s="119">
        <v>1995</v>
      </c>
      <c r="C110" s="119">
        <v>1.05</v>
      </c>
      <c r="D110" s="120">
        <f>(D84+D85+D86)/3</f>
        <v>1.0416666666666667</v>
      </c>
      <c r="E110" s="121">
        <f t="shared" ref="E110:E119" si="21">($C$89-$C$88)/10*($B110-$B$110)+0.03</f>
        <v>0.03</v>
      </c>
      <c r="F110" s="121">
        <f t="shared" ref="F110:F119" si="22">($D$89-$D$88)/10*($B110-$B$110)+0.15</f>
        <v>0.15</v>
      </c>
      <c r="G110" s="121">
        <f t="shared" ref="G110:G119" si="23">($E$85-$E$84)/10*($B110-$B$110)+0.7</f>
        <v>0.7</v>
      </c>
      <c r="H110" s="120">
        <f t="shared" ref="H110:H119" si="24">($F$85-$F$84)/10*($B110-$B$110)+0.64</f>
        <v>0.64</v>
      </c>
      <c r="I110" s="121">
        <f t="shared" ref="I110:I119" si="25">($E$89-$E$88)/10*($B110-$B$110)+0.955</f>
        <v>0.95499999999999996</v>
      </c>
      <c r="J110" s="121">
        <f t="shared" ref="J110:J119" si="26">($F$89-$F$88)/10*($B110-$B$110)+0.86</f>
        <v>0.86</v>
      </c>
    </row>
    <row r="111" spans="2:10">
      <c r="B111" s="3">
        <v>1996</v>
      </c>
      <c r="C111" s="104">
        <f>C110</f>
        <v>1.05</v>
      </c>
      <c r="D111" s="108">
        <f>D110</f>
        <v>1.0416666666666667</v>
      </c>
      <c r="E111" s="104">
        <f t="shared" si="21"/>
        <v>-4.9875000000000003E-2</v>
      </c>
      <c r="F111" s="104">
        <f t="shared" si="22"/>
        <v>7.4999999999999997E-2</v>
      </c>
      <c r="G111" s="104">
        <f t="shared" si="23"/>
        <v>0.76100000000000001</v>
      </c>
      <c r="H111" s="108">
        <f t="shared" si="24"/>
        <v>0.69550000000000001</v>
      </c>
      <c r="I111" s="104">
        <f t="shared" si="25"/>
        <v>1.0365</v>
      </c>
      <c r="J111" s="104">
        <f t="shared" si="26"/>
        <v>0.9345</v>
      </c>
    </row>
    <row r="112" spans="2:10">
      <c r="B112" s="3">
        <v>1997</v>
      </c>
      <c r="C112" s="104">
        <f t="shared" ref="C112:C129" si="27">C111</f>
        <v>1.05</v>
      </c>
      <c r="D112" s="108">
        <f t="shared" ref="D112:D130" si="28">D111</f>
        <v>1.0416666666666667</v>
      </c>
      <c r="E112" s="104">
        <f t="shared" si="21"/>
        <v>-0.12975</v>
      </c>
      <c r="F112" s="104">
        <f t="shared" si="22"/>
        <v>0</v>
      </c>
      <c r="G112" s="104">
        <f t="shared" si="23"/>
        <v>0.82199999999999995</v>
      </c>
      <c r="H112" s="108">
        <f t="shared" si="24"/>
        <v>0.751</v>
      </c>
      <c r="I112" s="104">
        <f t="shared" si="25"/>
        <v>1.1179999999999999</v>
      </c>
      <c r="J112" s="104">
        <f t="shared" si="26"/>
        <v>1.0089999999999999</v>
      </c>
    </row>
    <row r="113" spans="2:10">
      <c r="B113" s="3">
        <v>1998</v>
      </c>
      <c r="C113" s="104">
        <f t="shared" si="27"/>
        <v>1.05</v>
      </c>
      <c r="D113" s="108">
        <f t="shared" si="28"/>
        <v>1.0416666666666667</v>
      </c>
      <c r="E113" s="104">
        <f t="shared" si="21"/>
        <v>-0.20962500000000001</v>
      </c>
      <c r="F113" s="104">
        <f t="shared" si="22"/>
        <v>-7.4999999999999983E-2</v>
      </c>
      <c r="G113" s="104">
        <f t="shared" si="23"/>
        <v>0.88300000000000001</v>
      </c>
      <c r="H113" s="108">
        <f t="shared" si="24"/>
        <v>0.80649999999999999</v>
      </c>
      <c r="I113" s="104">
        <f t="shared" si="25"/>
        <v>1.1995</v>
      </c>
      <c r="J113" s="104">
        <f t="shared" si="26"/>
        <v>1.0834999999999999</v>
      </c>
    </row>
    <row r="114" spans="2:10">
      <c r="B114" s="3">
        <v>1999</v>
      </c>
      <c r="C114" s="104">
        <f t="shared" si="27"/>
        <v>1.05</v>
      </c>
      <c r="D114" s="108">
        <f t="shared" si="28"/>
        <v>1.0416666666666667</v>
      </c>
      <c r="E114" s="104">
        <f t="shared" si="21"/>
        <v>-0.28949999999999998</v>
      </c>
      <c r="F114" s="104">
        <f t="shared" si="22"/>
        <v>-0.15</v>
      </c>
      <c r="G114" s="104">
        <f t="shared" si="23"/>
        <v>0.94399999999999995</v>
      </c>
      <c r="H114" s="108">
        <f t="shared" si="24"/>
        <v>0.86199999999999988</v>
      </c>
      <c r="I114" s="104">
        <f t="shared" si="25"/>
        <v>1.2809999999999999</v>
      </c>
      <c r="J114" s="104">
        <f t="shared" si="26"/>
        <v>1.1579999999999999</v>
      </c>
    </row>
    <row r="115" spans="2:10">
      <c r="B115" s="3">
        <v>2000</v>
      </c>
      <c r="C115" s="104">
        <f t="shared" si="27"/>
        <v>1.05</v>
      </c>
      <c r="D115" s="108">
        <f t="shared" si="28"/>
        <v>1.0416666666666667</v>
      </c>
      <c r="E115" s="104">
        <f t="shared" si="21"/>
        <v>-0.36937500000000001</v>
      </c>
      <c r="F115" s="104">
        <f t="shared" si="22"/>
        <v>-0.22500000000000001</v>
      </c>
      <c r="G115" s="104">
        <f t="shared" si="23"/>
        <v>1.0049999999999999</v>
      </c>
      <c r="H115" s="108">
        <f t="shared" si="24"/>
        <v>0.91749999999999998</v>
      </c>
      <c r="I115" s="104">
        <f t="shared" si="25"/>
        <v>1.3625</v>
      </c>
      <c r="J115" s="104">
        <f t="shared" si="26"/>
        <v>1.2324999999999999</v>
      </c>
    </row>
    <row r="116" spans="2:10">
      <c r="B116" s="3">
        <v>2001</v>
      </c>
      <c r="C116" s="104">
        <f t="shared" si="27"/>
        <v>1.05</v>
      </c>
      <c r="D116" s="108">
        <f t="shared" si="28"/>
        <v>1.0416666666666667</v>
      </c>
      <c r="E116" s="104">
        <f t="shared" si="21"/>
        <v>-0.44925000000000004</v>
      </c>
      <c r="F116" s="104">
        <f t="shared" si="22"/>
        <v>-0.29999999999999993</v>
      </c>
      <c r="G116" s="104">
        <f t="shared" si="23"/>
        <v>1.0660000000000001</v>
      </c>
      <c r="H116" s="108">
        <f t="shared" si="24"/>
        <v>0.97299999999999986</v>
      </c>
      <c r="I116" s="104">
        <f t="shared" si="25"/>
        <v>1.444</v>
      </c>
      <c r="J116" s="104">
        <f t="shared" si="26"/>
        <v>1.3069999999999999</v>
      </c>
    </row>
    <row r="117" spans="2:10">
      <c r="B117" s="3">
        <v>2002</v>
      </c>
      <c r="C117" s="104">
        <f t="shared" si="27"/>
        <v>1.05</v>
      </c>
      <c r="D117" s="108">
        <f t="shared" si="28"/>
        <v>1.0416666666666667</v>
      </c>
      <c r="E117" s="104">
        <f t="shared" si="21"/>
        <v>-0.52912499999999996</v>
      </c>
      <c r="F117" s="104">
        <f t="shared" si="22"/>
        <v>-0.375</v>
      </c>
      <c r="G117" s="104">
        <f t="shared" si="23"/>
        <v>1.127</v>
      </c>
      <c r="H117" s="108">
        <f t="shared" si="24"/>
        <v>1.0284999999999997</v>
      </c>
      <c r="I117" s="104">
        <f t="shared" si="25"/>
        <v>1.5255000000000001</v>
      </c>
      <c r="J117" s="104">
        <f t="shared" si="26"/>
        <v>1.3815</v>
      </c>
    </row>
    <row r="118" spans="2:10">
      <c r="B118" s="3">
        <v>2003</v>
      </c>
      <c r="C118" s="104">
        <f t="shared" si="27"/>
        <v>1.05</v>
      </c>
      <c r="D118" s="108">
        <f t="shared" si="28"/>
        <v>1.0416666666666667</v>
      </c>
      <c r="E118" s="104">
        <f t="shared" si="21"/>
        <v>-0.60899999999999999</v>
      </c>
      <c r="F118" s="104">
        <f t="shared" si="22"/>
        <v>-0.44999999999999996</v>
      </c>
      <c r="G118" s="104">
        <f t="shared" si="23"/>
        <v>1.1880000000000002</v>
      </c>
      <c r="H118" s="108">
        <f t="shared" si="24"/>
        <v>1.0839999999999999</v>
      </c>
      <c r="I118" s="104">
        <f t="shared" si="25"/>
        <v>1.607</v>
      </c>
      <c r="J118" s="104">
        <f t="shared" si="26"/>
        <v>1.456</v>
      </c>
    </row>
    <row r="119" spans="2:10">
      <c r="B119" s="3">
        <v>2004</v>
      </c>
      <c r="C119" s="104">
        <f t="shared" si="27"/>
        <v>1.05</v>
      </c>
      <c r="D119" s="108">
        <f t="shared" si="28"/>
        <v>1.0416666666666667</v>
      </c>
      <c r="E119" s="104">
        <f t="shared" si="21"/>
        <v>-0.68887500000000002</v>
      </c>
      <c r="F119" s="104">
        <f t="shared" si="22"/>
        <v>-0.52499999999999991</v>
      </c>
      <c r="G119" s="104">
        <f t="shared" si="23"/>
        <v>1.2490000000000001</v>
      </c>
      <c r="H119" s="108">
        <f t="shared" si="24"/>
        <v>1.1395</v>
      </c>
      <c r="I119" s="104">
        <f t="shared" si="25"/>
        <v>1.6884999999999999</v>
      </c>
      <c r="J119" s="104">
        <f t="shared" si="26"/>
        <v>1.5305</v>
      </c>
    </row>
    <row r="120" spans="2:10">
      <c r="B120" s="119">
        <v>2005</v>
      </c>
      <c r="C120" s="121">
        <f t="shared" si="27"/>
        <v>1.05</v>
      </c>
      <c r="D120" s="120">
        <f t="shared" si="28"/>
        <v>1.0416666666666667</v>
      </c>
      <c r="E120" s="121">
        <f t="shared" ref="E120:E133" si="29">($C$90-$C$89)/10*(B120-$B$120)-0.77</f>
        <v>-0.77</v>
      </c>
      <c r="F120" s="121">
        <f t="shared" ref="F120:F133" si="30">($D$90-$D$89)/10*($B120-$B$120)-0.605</f>
        <v>-0.60499999999999998</v>
      </c>
      <c r="G120" s="121">
        <f t="shared" ref="G120:G133" si="31">($E$86-$E$85)/10*($B120-$B$120)+1.31</f>
        <v>1.31</v>
      </c>
      <c r="H120" s="120">
        <f t="shared" ref="H120:H133" si="32">($F$86-$F$85)/10*($B120-$B$120)+1.195</f>
        <v>1.1950000000000001</v>
      </c>
      <c r="I120" s="121">
        <f t="shared" ref="I120:I133" si="33">($E$90-$E$89)/10*($B120-$B$120)+1.77</f>
        <v>1.77</v>
      </c>
      <c r="J120" s="121">
        <f t="shared" ref="J120:J133" si="34">($F$90-$F$89)/10*($B120-$B$120)+1.605</f>
        <v>1.605</v>
      </c>
    </row>
    <row r="121" spans="2:10">
      <c r="B121" s="3">
        <v>2006</v>
      </c>
      <c r="C121" s="104">
        <f t="shared" si="27"/>
        <v>1.05</v>
      </c>
      <c r="D121" s="108">
        <f t="shared" si="28"/>
        <v>1.0416666666666667</v>
      </c>
      <c r="E121" s="104">
        <f t="shared" si="29"/>
        <v>-0.84087500000000004</v>
      </c>
      <c r="F121" s="104">
        <f t="shared" si="30"/>
        <v>-0.63575000000000004</v>
      </c>
      <c r="G121" s="104">
        <f t="shared" si="31"/>
        <v>1.363</v>
      </c>
      <c r="H121" s="108">
        <f t="shared" si="32"/>
        <v>1.218</v>
      </c>
      <c r="I121" s="104">
        <f t="shared" si="33"/>
        <v>1.841</v>
      </c>
      <c r="J121" s="104">
        <f t="shared" si="34"/>
        <v>1.6359999999999999</v>
      </c>
    </row>
    <row r="122" spans="2:10">
      <c r="B122" s="3">
        <v>2007</v>
      </c>
      <c r="C122" s="104">
        <f t="shared" si="27"/>
        <v>1.05</v>
      </c>
      <c r="D122" s="108">
        <f t="shared" si="28"/>
        <v>1.0416666666666667</v>
      </c>
      <c r="E122" s="104">
        <f t="shared" si="29"/>
        <v>-0.91175000000000006</v>
      </c>
      <c r="F122" s="104">
        <f t="shared" si="30"/>
        <v>-0.66649999999999998</v>
      </c>
      <c r="G122" s="104">
        <f t="shared" si="31"/>
        <v>1.4159999999999999</v>
      </c>
      <c r="H122" s="108">
        <f t="shared" si="32"/>
        <v>1.2410000000000001</v>
      </c>
      <c r="I122" s="104">
        <f t="shared" si="33"/>
        <v>1.9119999999999999</v>
      </c>
      <c r="J122" s="104">
        <f t="shared" si="34"/>
        <v>1.667</v>
      </c>
    </row>
    <row r="123" spans="2:10">
      <c r="B123" s="3">
        <v>2008</v>
      </c>
      <c r="C123" s="104">
        <f t="shared" si="27"/>
        <v>1.05</v>
      </c>
      <c r="D123" s="108">
        <f t="shared" si="28"/>
        <v>1.0416666666666667</v>
      </c>
      <c r="E123" s="104">
        <f t="shared" si="29"/>
        <v>-0.98262499999999997</v>
      </c>
      <c r="F123" s="104">
        <f t="shared" si="30"/>
        <v>-0.69724999999999993</v>
      </c>
      <c r="G123" s="104">
        <f t="shared" si="31"/>
        <v>1.4689999999999999</v>
      </c>
      <c r="H123" s="108">
        <f t="shared" si="32"/>
        <v>1.264</v>
      </c>
      <c r="I123" s="104">
        <f t="shared" si="33"/>
        <v>1.9830000000000001</v>
      </c>
      <c r="J123" s="104">
        <f t="shared" si="34"/>
        <v>1.698</v>
      </c>
    </row>
    <row r="124" spans="2:10">
      <c r="B124" s="3">
        <v>2009</v>
      </c>
      <c r="C124" s="104">
        <f t="shared" si="27"/>
        <v>1.05</v>
      </c>
      <c r="D124" s="108">
        <f t="shared" si="28"/>
        <v>1.0416666666666667</v>
      </c>
      <c r="E124" s="104">
        <f t="shared" si="29"/>
        <v>-1.0535000000000001</v>
      </c>
      <c r="F124" s="104">
        <f t="shared" si="30"/>
        <v>-0.72799999999999998</v>
      </c>
      <c r="G124" s="104">
        <f t="shared" si="31"/>
        <v>1.522</v>
      </c>
      <c r="H124" s="108">
        <f t="shared" si="32"/>
        <v>1.2870000000000001</v>
      </c>
      <c r="I124" s="104">
        <f t="shared" si="33"/>
        <v>2.0539999999999998</v>
      </c>
      <c r="J124" s="104">
        <f t="shared" si="34"/>
        <v>1.7290000000000001</v>
      </c>
    </row>
    <row r="125" spans="2:10">
      <c r="B125" s="3">
        <v>2010</v>
      </c>
      <c r="C125" s="104">
        <f t="shared" si="27"/>
        <v>1.05</v>
      </c>
      <c r="D125" s="108">
        <f t="shared" si="28"/>
        <v>1.0416666666666667</v>
      </c>
      <c r="E125" s="104">
        <f t="shared" si="29"/>
        <v>-1.1243750000000001</v>
      </c>
      <c r="F125" s="104">
        <f t="shared" si="30"/>
        <v>-0.75875000000000004</v>
      </c>
      <c r="G125" s="104">
        <f t="shared" si="31"/>
        <v>1.575</v>
      </c>
      <c r="H125" s="108">
        <f t="shared" si="32"/>
        <v>1.31</v>
      </c>
      <c r="I125" s="104">
        <f t="shared" si="33"/>
        <v>2.125</v>
      </c>
      <c r="J125" s="104">
        <f t="shared" si="34"/>
        <v>1.76</v>
      </c>
    </row>
    <row r="126" spans="2:10">
      <c r="B126" s="3">
        <v>2011</v>
      </c>
      <c r="C126" s="104">
        <f t="shared" si="27"/>
        <v>1.05</v>
      </c>
      <c r="D126" s="108">
        <f t="shared" si="28"/>
        <v>1.0416666666666667</v>
      </c>
      <c r="E126" s="104">
        <f t="shared" si="29"/>
        <v>-1.1952499999999999</v>
      </c>
      <c r="F126" s="104">
        <f t="shared" si="30"/>
        <v>-0.78949999999999998</v>
      </c>
      <c r="G126" s="104">
        <f t="shared" si="31"/>
        <v>1.6279999999999999</v>
      </c>
      <c r="H126" s="108">
        <f t="shared" si="32"/>
        <v>1.3330000000000002</v>
      </c>
      <c r="I126" s="104">
        <f t="shared" si="33"/>
        <v>2.1959999999999997</v>
      </c>
      <c r="J126" s="104">
        <f t="shared" si="34"/>
        <v>1.7909999999999999</v>
      </c>
    </row>
    <row r="127" spans="2:10">
      <c r="B127" s="3">
        <v>2012</v>
      </c>
      <c r="C127" s="104">
        <f t="shared" si="27"/>
        <v>1.05</v>
      </c>
      <c r="D127" s="108">
        <f t="shared" si="28"/>
        <v>1.0416666666666667</v>
      </c>
      <c r="E127" s="104">
        <f t="shared" si="29"/>
        <v>-1.2661249999999999</v>
      </c>
      <c r="F127" s="104">
        <f t="shared" si="30"/>
        <v>-0.82024999999999992</v>
      </c>
      <c r="G127" s="104">
        <f t="shared" si="31"/>
        <v>1.6809999999999998</v>
      </c>
      <c r="H127" s="108">
        <f t="shared" si="32"/>
        <v>1.3560000000000001</v>
      </c>
      <c r="I127" s="104">
        <f t="shared" si="33"/>
        <v>2.2669999999999999</v>
      </c>
      <c r="J127" s="104">
        <f t="shared" si="34"/>
        <v>1.8220000000000001</v>
      </c>
    </row>
    <row r="128" spans="2:10">
      <c r="B128" s="3">
        <v>2013</v>
      </c>
      <c r="C128" s="104">
        <f t="shared" si="27"/>
        <v>1.05</v>
      </c>
      <c r="D128" s="108">
        <f t="shared" si="28"/>
        <v>1.0416666666666667</v>
      </c>
      <c r="E128" s="104">
        <f t="shared" si="29"/>
        <v>-1.337</v>
      </c>
      <c r="F128" s="104">
        <f t="shared" si="30"/>
        <v>-0.85099999999999998</v>
      </c>
      <c r="G128" s="104">
        <f t="shared" si="31"/>
        <v>1.734</v>
      </c>
      <c r="H128" s="108">
        <f t="shared" si="32"/>
        <v>1.379</v>
      </c>
      <c r="I128" s="104">
        <f t="shared" si="33"/>
        <v>2.3380000000000001</v>
      </c>
      <c r="J128" s="104">
        <f t="shared" si="34"/>
        <v>1.853</v>
      </c>
    </row>
    <row r="129" spans="2:20">
      <c r="B129" s="3">
        <v>2014</v>
      </c>
      <c r="C129" s="104">
        <f t="shared" si="27"/>
        <v>1.05</v>
      </c>
      <c r="D129" s="108">
        <f t="shared" si="28"/>
        <v>1.0416666666666667</v>
      </c>
      <c r="E129" s="104">
        <f t="shared" si="29"/>
        <v>-1.407875</v>
      </c>
      <c r="F129" s="104">
        <f t="shared" si="30"/>
        <v>-0.88175000000000003</v>
      </c>
      <c r="G129" s="104">
        <f t="shared" si="31"/>
        <v>1.7869999999999999</v>
      </c>
      <c r="H129" s="108">
        <f t="shared" si="32"/>
        <v>1.4020000000000001</v>
      </c>
      <c r="I129" s="104">
        <f t="shared" si="33"/>
        <v>2.4089999999999998</v>
      </c>
      <c r="J129" s="104">
        <f t="shared" si="34"/>
        <v>1.8840000000000001</v>
      </c>
    </row>
    <row r="130" spans="2:20">
      <c r="B130" s="119">
        <v>2015</v>
      </c>
      <c r="C130" s="121">
        <f>C129</f>
        <v>1.05</v>
      </c>
      <c r="D130" s="120">
        <f t="shared" si="28"/>
        <v>1.0416666666666667</v>
      </c>
      <c r="E130" s="121">
        <f t="shared" si="29"/>
        <v>-1.47875</v>
      </c>
      <c r="F130" s="121">
        <f t="shared" si="30"/>
        <v>-0.91249999999999998</v>
      </c>
      <c r="G130" s="121">
        <f t="shared" si="31"/>
        <v>1.8399999999999999</v>
      </c>
      <c r="H130" s="120">
        <f t="shared" si="32"/>
        <v>1.425</v>
      </c>
      <c r="I130" s="121">
        <f t="shared" si="33"/>
        <v>2.48</v>
      </c>
      <c r="J130" s="121">
        <f t="shared" si="34"/>
        <v>1.915</v>
      </c>
    </row>
    <row r="131" spans="2:20">
      <c r="B131" s="3">
        <v>2016</v>
      </c>
      <c r="C131" s="104">
        <f t="shared" ref="C131:C133" si="35">C130</f>
        <v>1.05</v>
      </c>
      <c r="D131" s="108">
        <f t="shared" ref="D131:D133" si="36">D130</f>
        <v>1.0416666666666667</v>
      </c>
      <c r="E131" s="104">
        <f t="shared" si="29"/>
        <v>-1.5496249999999998</v>
      </c>
      <c r="F131" s="104">
        <f t="shared" si="30"/>
        <v>-0.94324999999999992</v>
      </c>
      <c r="G131" s="104">
        <f t="shared" si="31"/>
        <v>1.8929999999999998</v>
      </c>
      <c r="H131" s="108">
        <f t="shared" si="32"/>
        <v>1.448</v>
      </c>
      <c r="I131" s="104">
        <f t="shared" si="33"/>
        <v>2.5510000000000002</v>
      </c>
      <c r="J131" s="104">
        <f t="shared" si="34"/>
        <v>1.9460000000000002</v>
      </c>
    </row>
    <row r="132" spans="2:20">
      <c r="B132" s="3">
        <v>2017</v>
      </c>
      <c r="C132" s="104">
        <f t="shared" si="35"/>
        <v>1.05</v>
      </c>
      <c r="D132" s="108">
        <f t="shared" si="36"/>
        <v>1.0416666666666667</v>
      </c>
      <c r="E132" s="104">
        <f t="shared" si="29"/>
        <v>-1.6204999999999998</v>
      </c>
      <c r="F132" s="104">
        <f t="shared" si="30"/>
        <v>-0.97399999999999998</v>
      </c>
      <c r="G132" s="104">
        <f t="shared" si="31"/>
        <v>1.9459999999999997</v>
      </c>
      <c r="H132" s="108">
        <f t="shared" si="32"/>
        <v>1.4710000000000001</v>
      </c>
      <c r="I132" s="104">
        <f t="shared" si="33"/>
        <v>2.6219999999999999</v>
      </c>
      <c r="J132" s="104">
        <f t="shared" si="34"/>
        <v>1.9770000000000001</v>
      </c>
    </row>
    <row r="133" spans="2:20">
      <c r="B133" s="3">
        <v>2018</v>
      </c>
      <c r="C133" s="104">
        <f t="shared" si="35"/>
        <v>1.05</v>
      </c>
      <c r="D133" s="108">
        <f t="shared" si="36"/>
        <v>1.0416666666666667</v>
      </c>
      <c r="E133" s="104">
        <f t="shared" si="29"/>
        <v>-1.6913749999999999</v>
      </c>
      <c r="F133" s="104">
        <f t="shared" si="30"/>
        <v>-1.00475</v>
      </c>
      <c r="G133" s="104">
        <f t="shared" si="31"/>
        <v>1.9989999999999997</v>
      </c>
      <c r="H133" s="108">
        <f t="shared" si="32"/>
        <v>1.494</v>
      </c>
      <c r="I133" s="104">
        <f t="shared" si="33"/>
        <v>2.6930000000000001</v>
      </c>
      <c r="J133" s="104">
        <f t="shared" si="34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190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88" t="s">
        <v>179</v>
      </c>
      <c r="D144" s="89"/>
      <c r="E144" s="89"/>
      <c r="F144" s="10"/>
      <c r="G144" s="10"/>
      <c r="H144" s="10"/>
      <c r="I144" s="10"/>
      <c r="J144" s="10"/>
      <c r="K144" s="10" t="s">
        <v>187</v>
      </c>
      <c r="L144" s="10"/>
      <c r="M144" s="10"/>
      <c r="N144" s="10"/>
      <c r="O144" s="10" t="s">
        <v>214</v>
      </c>
      <c r="P144" s="10"/>
      <c r="Q144" s="10"/>
      <c r="R144" s="10"/>
      <c r="S144" s="10"/>
      <c r="T144" s="10"/>
    </row>
    <row r="145" spans="2:20">
      <c r="B145" s="10"/>
      <c r="C145" s="61" t="s">
        <v>156</v>
      </c>
      <c r="D145" s="61" t="s">
        <v>158</v>
      </c>
      <c r="E145" s="61" t="s">
        <v>188</v>
      </c>
      <c r="F145" s="89" t="s">
        <v>219</v>
      </c>
      <c r="G145" s="10"/>
      <c r="H145" s="10"/>
      <c r="I145" s="10"/>
      <c r="J145" s="10"/>
      <c r="K145" s="61" t="s">
        <v>189</v>
      </c>
      <c r="L145" s="89" t="s">
        <v>219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90" t="s">
        <v>165</v>
      </c>
      <c r="C146" s="87">
        <v>0.59050000000000002</v>
      </c>
      <c r="D146" s="87">
        <v>0</v>
      </c>
      <c r="E146" s="87">
        <v>0.59050000000000002</v>
      </c>
      <c r="F146" s="91">
        <f>AVERAGE(E$146:E146)</f>
        <v>0.59050000000000002</v>
      </c>
      <c r="G146" s="10"/>
      <c r="H146" s="90" t="s">
        <v>165</v>
      </c>
      <c r="I146" s="90" t="s">
        <v>220</v>
      </c>
      <c r="J146" s="10">
        <v>24</v>
      </c>
      <c r="K146" s="87">
        <v>0.57830912500000009</v>
      </c>
      <c r="L146" s="91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90" t="s">
        <v>164</v>
      </c>
      <c r="C147" s="87">
        <v>0.5625</v>
      </c>
      <c r="D147" s="87">
        <v>0</v>
      </c>
      <c r="E147" s="87">
        <v>0.5625</v>
      </c>
      <c r="F147" s="91">
        <f>AVERAGE(E$146:E147)</f>
        <v>0.57650000000000001</v>
      </c>
      <c r="G147" s="10"/>
      <c r="H147" s="90" t="s">
        <v>164</v>
      </c>
      <c r="I147" s="90" t="s">
        <v>220</v>
      </c>
      <c r="J147" s="10">
        <f>J146+24</f>
        <v>48</v>
      </c>
      <c r="K147" s="87">
        <v>0.53148375000000003</v>
      </c>
      <c r="L147" s="91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90" t="s">
        <v>166</v>
      </c>
      <c r="C148" s="87">
        <v>0.43099999999999999</v>
      </c>
      <c r="D148" s="87">
        <v>0</v>
      </c>
      <c r="E148" s="87">
        <v>0.43099999999999999</v>
      </c>
      <c r="F148" s="91">
        <f>AVERAGE(E$146:E148)</f>
        <v>0.52800000000000002</v>
      </c>
      <c r="G148" s="10"/>
      <c r="H148" s="90" t="s">
        <v>166</v>
      </c>
      <c r="I148" s="90" t="s">
        <v>220</v>
      </c>
      <c r="J148" s="10">
        <f>J147+24</f>
        <v>72</v>
      </c>
      <c r="K148" s="87">
        <v>0.39447399999999999</v>
      </c>
      <c r="L148" s="91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90" t="s">
        <v>170</v>
      </c>
      <c r="C149" s="87">
        <v>0</v>
      </c>
      <c r="D149" s="87">
        <v>0.372</v>
      </c>
      <c r="E149" s="87">
        <v>0.372</v>
      </c>
      <c r="F149" s="91">
        <f>AVERAGE(E$146:E149)</f>
        <v>0.48899999999999999</v>
      </c>
      <c r="G149" s="10"/>
      <c r="H149" s="90" t="s">
        <v>170</v>
      </c>
      <c r="I149" s="90" t="s">
        <v>221</v>
      </c>
      <c r="J149" s="10">
        <f t="shared" ref="J149:J157" si="37">J148+24</f>
        <v>96</v>
      </c>
      <c r="K149" s="87">
        <v>0.36901874999999995</v>
      </c>
      <c r="L149" s="91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90" t="s">
        <v>171</v>
      </c>
      <c r="C150" s="87">
        <v>0</v>
      </c>
      <c r="D150" s="87">
        <v>0.35100000000000003</v>
      </c>
      <c r="E150" s="87">
        <v>0.35100000000000003</v>
      </c>
      <c r="F150" s="91">
        <f>AVERAGE(E$146:E150)</f>
        <v>0.46139999999999998</v>
      </c>
      <c r="G150" s="10"/>
      <c r="H150" s="90" t="s">
        <v>171</v>
      </c>
      <c r="I150" s="90" t="s">
        <v>221</v>
      </c>
      <c r="J150" s="10">
        <f t="shared" si="37"/>
        <v>120</v>
      </c>
      <c r="K150" s="87">
        <v>0.33808300000000002</v>
      </c>
      <c r="L150" s="91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90" t="s">
        <v>163</v>
      </c>
      <c r="C151" s="87">
        <v>0.31225000000000003</v>
      </c>
      <c r="D151" s="87">
        <v>0</v>
      </c>
      <c r="E151" s="87">
        <v>0.31225000000000003</v>
      </c>
      <c r="F151" s="91">
        <f>AVERAGE(E$146:E151)</f>
        <v>0.43654166666666666</v>
      </c>
      <c r="G151" s="10"/>
      <c r="H151" s="90" t="s">
        <v>163</v>
      </c>
      <c r="I151" s="90" t="s">
        <v>220</v>
      </c>
      <c r="J151" s="10">
        <f t="shared" si="37"/>
        <v>144</v>
      </c>
      <c r="K151" s="87">
        <v>0.26025987500000003</v>
      </c>
      <c r="L151" s="91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90" t="s">
        <v>169</v>
      </c>
      <c r="C152" s="87">
        <v>0</v>
      </c>
      <c r="D152" s="87">
        <v>0.28425</v>
      </c>
      <c r="E152" s="87">
        <v>0.28425</v>
      </c>
      <c r="F152" s="91">
        <f>AVERAGE(E$146:E152)</f>
        <v>0.41478571428571431</v>
      </c>
      <c r="G152" s="10"/>
      <c r="H152" s="90" t="s">
        <v>169</v>
      </c>
      <c r="I152" s="90" t="s">
        <v>221</v>
      </c>
      <c r="J152" s="10">
        <f t="shared" si="37"/>
        <v>168</v>
      </c>
      <c r="K152" s="87">
        <v>0.24758137500000002</v>
      </c>
      <c r="L152" s="91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90" t="s">
        <v>172</v>
      </c>
      <c r="C153" s="87">
        <v>8.8249999999999995E-2</v>
      </c>
      <c r="D153" s="87">
        <v>0.26524999999999999</v>
      </c>
      <c r="E153" s="87">
        <v>0.26524999999999999</v>
      </c>
      <c r="F153" s="91">
        <f>AVERAGE(E$146:E153)</f>
        <v>0.39609375000000002</v>
      </c>
      <c r="G153" s="10"/>
      <c r="H153" s="90" t="s">
        <v>172</v>
      </c>
      <c r="I153" s="90" t="s">
        <v>221</v>
      </c>
      <c r="J153" s="10">
        <f t="shared" si="37"/>
        <v>192</v>
      </c>
      <c r="K153" s="87">
        <v>0.18655075000000002</v>
      </c>
      <c r="L153" s="91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90" t="s">
        <v>162</v>
      </c>
      <c r="C154" s="87">
        <v>0.24475</v>
      </c>
      <c r="D154" s="87">
        <v>9.9250000000000005E-2</v>
      </c>
      <c r="E154" s="87">
        <v>0.24475</v>
      </c>
      <c r="F154" s="91">
        <f>AVERAGE(E$146:E154)</f>
        <v>0.37927777777777777</v>
      </c>
      <c r="G154" s="10"/>
      <c r="H154" s="90" t="s">
        <v>162</v>
      </c>
      <c r="I154" s="90" t="s">
        <v>220</v>
      </c>
      <c r="J154" s="10">
        <f t="shared" si="37"/>
        <v>216</v>
      </c>
      <c r="K154" s="87">
        <v>0.15887162499999999</v>
      </c>
      <c r="L154" s="91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90" t="s">
        <v>167</v>
      </c>
      <c r="C155" s="87">
        <v>0.20774999999999999</v>
      </c>
      <c r="D155" s="87">
        <v>6.3750000000000001E-2</v>
      </c>
      <c r="E155" s="87">
        <v>0.20774999999999999</v>
      </c>
      <c r="F155" s="91">
        <f>AVERAGE(E$146:E155)</f>
        <v>0.36212499999999997</v>
      </c>
      <c r="G155" s="10"/>
      <c r="H155" s="90" t="s">
        <v>167</v>
      </c>
      <c r="I155" s="90" t="s">
        <v>220</v>
      </c>
      <c r="J155" s="10">
        <f t="shared" si="37"/>
        <v>240</v>
      </c>
      <c r="K155" s="87">
        <v>0.10243987499999999</v>
      </c>
      <c r="L155" s="91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90" t="s">
        <v>168</v>
      </c>
      <c r="C156" s="87">
        <v>0.12975000000000003</v>
      </c>
      <c r="D156" s="87">
        <v>0.15925</v>
      </c>
      <c r="E156" s="87">
        <v>0.15925</v>
      </c>
      <c r="F156" s="91">
        <f>AVERAGE(E$146:E156)</f>
        <v>0.3436818181818182</v>
      </c>
      <c r="G156" s="10"/>
      <c r="H156" s="90" t="s">
        <v>168</v>
      </c>
      <c r="I156" s="90" t="s">
        <v>221</v>
      </c>
      <c r="J156" s="10">
        <f t="shared" si="37"/>
        <v>264</v>
      </c>
      <c r="K156" s="87">
        <v>6.8722875000000003E-2</v>
      </c>
      <c r="L156" s="91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90" t="s">
        <v>186</v>
      </c>
      <c r="C157" s="87">
        <v>0.15200000000000002</v>
      </c>
      <c r="D157" s="87">
        <v>0.13724999999999998</v>
      </c>
      <c r="E157" s="87">
        <v>0.15200000000000002</v>
      </c>
      <c r="F157" s="91">
        <f>AVERAGE(E$146:E157)</f>
        <v>0.32770833333333332</v>
      </c>
      <c r="G157" s="10"/>
      <c r="H157" s="90" t="s">
        <v>186</v>
      </c>
      <c r="I157" s="90" t="s">
        <v>220</v>
      </c>
      <c r="J157" s="10">
        <f t="shared" si="37"/>
        <v>288</v>
      </c>
      <c r="K157" s="87">
        <v>4.6761500000000011E-2</v>
      </c>
      <c r="L157" s="91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90" t="s">
        <v>181</v>
      </c>
      <c r="C158" s="87">
        <f>_xlfn.AGGREGATE(1,5,C146:C157)</f>
        <v>0.2265625</v>
      </c>
      <c r="D158" s="87">
        <f>_xlfn.AGGREGATE(1,5,D146:D157)</f>
        <v>0.14433333333333331</v>
      </c>
      <c r="E158" s="87">
        <f>_xlfn.AGGREGATE(1,5,E146:E157)</f>
        <v>0.32770833333333332</v>
      </c>
      <c r="F158" s="10"/>
      <c r="G158" s="10"/>
      <c r="H158" s="90" t="s">
        <v>181</v>
      </c>
      <c r="I158" s="10"/>
      <c r="J158" s="111">
        <f>_xlfn.AGGREGATE(1,5,J146:J157)</f>
        <v>156</v>
      </c>
      <c r="K158" s="87">
        <f>_xlfn.AGGREGATE(1,5,K146:K157)</f>
        <v>0.27354637500000006</v>
      </c>
      <c r="L158" s="10"/>
      <c r="M158" s="111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211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209</v>
      </c>
      <c r="E162" s="10" t="s">
        <v>196</v>
      </c>
      <c r="F162" s="10"/>
      <c r="G162" s="10"/>
      <c r="H162" s="10"/>
      <c r="I162" s="10"/>
      <c r="J162" s="10" t="s">
        <v>213</v>
      </c>
      <c r="K162" s="10"/>
      <c r="L162" s="10"/>
      <c r="M162" s="10"/>
      <c r="N162" s="10"/>
      <c r="O162" s="10"/>
      <c r="P162" s="10" t="s">
        <v>196</v>
      </c>
      <c r="Q162" s="10"/>
      <c r="R162" s="10" t="s">
        <v>197</v>
      </c>
      <c r="S162" s="10"/>
      <c r="T162" s="10"/>
    </row>
    <row r="163" spans="2:20">
      <c r="B163" s="10"/>
      <c r="C163" s="10"/>
      <c r="D163" s="10"/>
      <c r="E163" s="10" t="s">
        <v>156</v>
      </c>
      <c r="F163" s="10" t="s">
        <v>158</v>
      </c>
      <c r="G163" s="10" t="s">
        <v>156</v>
      </c>
      <c r="H163" s="10" t="s">
        <v>158</v>
      </c>
      <c r="I163" s="10" t="s">
        <v>223</v>
      </c>
      <c r="J163" s="10" t="s">
        <v>156</v>
      </c>
      <c r="K163" s="10" t="s">
        <v>158</v>
      </c>
      <c r="L163" s="10" t="s">
        <v>156</v>
      </c>
      <c r="M163" s="10" t="s">
        <v>158</v>
      </c>
      <c r="N163" s="10" t="s">
        <v>223</v>
      </c>
      <c r="O163" s="10"/>
      <c r="P163" s="10" t="s">
        <v>156</v>
      </c>
      <c r="Q163" s="10" t="s">
        <v>158</v>
      </c>
      <c r="R163" s="10" t="s">
        <v>156</v>
      </c>
      <c r="S163" s="10" t="s">
        <v>158</v>
      </c>
      <c r="T163" s="10"/>
    </row>
    <row r="164" spans="2:20">
      <c r="B164" s="10"/>
      <c r="C164" s="10"/>
      <c r="D164" s="10"/>
      <c r="E164" s="10" t="s">
        <v>202</v>
      </c>
      <c r="F164" s="10" t="s">
        <v>202</v>
      </c>
      <c r="G164" s="10" t="s">
        <v>203</v>
      </c>
      <c r="H164" s="10" t="s">
        <v>203</v>
      </c>
      <c r="I164" s="10" t="s">
        <v>203</v>
      </c>
      <c r="J164" s="10" t="s">
        <v>202</v>
      </c>
      <c r="K164" s="10" t="s">
        <v>202</v>
      </c>
      <c r="L164" s="10" t="s">
        <v>203</v>
      </c>
      <c r="M164" s="10" t="s">
        <v>203</v>
      </c>
      <c r="N164" s="10" t="s">
        <v>203</v>
      </c>
      <c r="O164" s="10"/>
      <c r="P164" s="10" t="s">
        <v>202</v>
      </c>
      <c r="Q164" s="10" t="s">
        <v>203</v>
      </c>
      <c r="R164" s="10" t="s">
        <v>202</v>
      </c>
      <c r="S164" s="10" t="s">
        <v>203</v>
      </c>
      <c r="T164" s="10"/>
    </row>
    <row r="165" spans="2:20">
      <c r="B165" s="10"/>
      <c r="C165" s="10" t="s">
        <v>215</v>
      </c>
      <c r="D165" s="10">
        <v>1995</v>
      </c>
      <c r="E165" s="10">
        <v>1.05</v>
      </c>
      <c r="F165" s="109">
        <v>1.0416666666666667</v>
      </c>
      <c r="G165" s="109">
        <v>0.03</v>
      </c>
      <c r="H165" s="109">
        <v>0.15</v>
      </c>
      <c r="I165" s="109">
        <f>(G165+H165)/2</f>
        <v>0.09</v>
      </c>
      <c r="J165" s="109">
        <v>0.7</v>
      </c>
      <c r="K165" s="109">
        <v>0.64</v>
      </c>
      <c r="L165" s="109">
        <v>0.95499999999999996</v>
      </c>
      <c r="M165" s="109">
        <v>0.86</v>
      </c>
      <c r="N165" s="109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84</v>
      </c>
      <c r="D166" s="10">
        <v>1996</v>
      </c>
      <c r="E166" s="10">
        <v>1.05</v>
      </c>
      <c r="F166" s="109">
        <v>1.0416666666666667</v>
      </c>
      <c r="G166" s="109">
        <v>-4.9875000000000003E-2</v>
      </c>
      <c r="H166" s="109">
        <v>7.4999999999999997E-2</v>
      </c>
      <c r="I166" s="109">
        <f t="shared" ref="I166:I183" si="38">(G166+H166)/2</f>
        <v>1.2562499999999997E-2</v>
      </c>
      <c r="J166" s="109">
        <v>0.76100000000000001</v>
      </c>
      <c r="K166" s="109">
        <v>0.69550000000000001</v>
      </c>
      <c r="L166" s="109">
        <v>1.0365</v>
      </c>
      <c r="M166" s="109">
        <v>0.9345</v>
      </c>
      <c r="N166" s="109">
        <f t="shared" ref="N166:N183" si="39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83</v>
      </c>
      <c r="D167" s="10">
        <v>1997</v>
      </c>
      <c r="E167" s="10">
        <v>1.05</v>
      </c>
      <c r="F167" s="109">
        <v>1.0416666666666667</v>
      </c>
      <c r="G167" s="109">
        <v>-0.12975</v>
      </c>
      <c r="H167" s="109">
        <v>0</v>
      </c>
      <c r="I167" s="109">
        <f t="shared" si="38"/>
        <v>-6.4875000000000002E-2</v>
      </c>
      <c r="J167" s="109">
        <v>0.82199999999999995</v>
      </c>
      <c r="K167" s="109">
        <v>0.751</v>
      </c>
      <c r="L167" s="109">
        <v>1.1179999999999999</v>
      </c>
      <c r="M167" s="109">
        <v>1.0089999999999999</v>
      </c>
      <c r="N167" s="109">
        <f t="shared" si="39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82</v>
      </c>
      <c r="D168" s="10">
        <v>1998</v>
      </c>
      <c r="E168" s="10">
        <v>1.05</v>
      </c>
      <c r="F168" s="109">
        <v>1.0416666666666667</v>
      </c>
      <c r="G168" s="109">
        <v>-0.20962500000000001</v>
      </c>
      <c r="H168" s="109">
        <v>-7.4999999999999983E-2</v>
      </c>
      <c r="I168" s="109">
        <f t="shared" si="38"/>
        <v>-0.14231250000000001</v>
      </c>
      <c r="J168" s="109">
        <v>0.88300000000000001</v>
      </c>
      <c r="K168" s="109">
        <v>0.80649999999999999</v>
      </c>
      <c r="L168" s="109">
        <v>1.1995</v>
      </c>
      <c r="M168" s="109">
        <v>1.0834999999999999</v>
      </c>
      <c r="N168" s="109">
        <f t="shared" si="39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81</v>
      </c>
      <c r="D169" s="10">
        <v>1999</v>
      </c>
      <c r="E169" s="10">
        <v>1.05</v>
      </c>
      <c r="F169" s="109">
        <v>1.0416666666666667</v>
      </c>
      <c r="G169" s="109">
        <v>-0.28949999999999998</v>
      </c>
      <c r="H169" s="109">
        <v>-0.15</v>
      </c>
      <c r="I169" s="109">
        <f t="shared" si="38"/>
        <v>-0.21975</v>
      </c>
      <c r="J169" s="109">
        <v>0.94399999999999995</v>
      </c>
      <c r="K169" s="109">
        <v>0.86199999999999988</v>
      </c>
      <c r="L169" s="109">
        <v>1.2809999999999999</v>
      </c>
      <c r="M169" s="109">
        <v>1.1579999999999999</v>
      </c>
      <c r="N169" s="109">
        <f t="shared" si="39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80</v>
      </c>
      <c r="D170" s="10">
        <v>2000</v>
      </c>
      <c r="E170" s="10">
        <v>1.05</v>
      </c>
      <c r="F170" s="109">
        <v>1.0416666666666667</v>
      </c>
      <c r="G170" s="109">
        <v>-0.36937500000000001</v>
      </c>
      <c r="H170" s="109">
        <v>-0.22500000000000001</v>
      </c>
      <c r="I170" s="109">
        <f t="shared" si="38"/>
        <v>-0.29718749999999999</v>
      </c>
      <c r="J170" s="109">
        <v>1.0049999999999999</v>
      </c>
      <c r="K170" s="109">
        <v>0.91749999999999998</v>
      </c>
      <c r="L170" s="109">
        <v>1.3625</v>
      </c>
      <c r="M170" s="109">
        <v>1.2324999999999999</v>
      </c>
      <c r="N170" s="109">
        <f t="shared" si="39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79</v>
      </c>
      <c r="D171" s="10">
        <v>2001</v>
      </c>
      <c r="E171" s="10">
        <v>1.05</v>
      </c>
      <c r="F171" s="109">
        <v>1.0416666666666667</v>
      </c>
      <c r="G171" s="109">
        <v>-0.44925000000000004</v>
      </c>
      <c r="H171" s="109">
        <v>-0.29999999999999993</v>
      </c>
      <c r="I171" s="109">
        <f t="shared" si="38"/>
        <v>-0.37462499999999999</v>
      </c>
      <c r="J171" s="109">
        <v>1.0660000000000001</v>
      </c>
      <c r="K171" s="109">
        <v>0.97299999999999986</v>
      </c>
      <c r="L171" s="109">
        <v>1.444</v>
      </c>
      <c r="M171" s="109">
        <v>1.3069999999999999</v>
      </c>
      <c r="N171" s="109">
        <f t="shared" si="39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78</v>
      </c>
      <c r="D172" s="10">
        <v>2002</v>
      </c>
      <c r="E172" s="10">
        <v>1.05</v>
      </c>
      <c r="F172" s="109">
        <v>1.0416666666666667</v>
      </c>
      <c r="G172" s="109">
        <v>-0.52912499999999996</v>
      </c>
      <c r="H172" s="109">
        <v>-0.375</v>
      </c>
      <c r="I172" s="109">
        <f t="shared" si="38"/>
        <v>-0.45206249999999998</v>
      </c>
      <c r="J172" s="109">
        <v>1.127</v>
      </c>
      <c r="K172" s="109">
        <v>1.0284999999999997</v>
      </c>
      <c r="L172" s="109">
        <v>1.5255000000000001</v>
      </c>
      <c r="M172" s="109">
        <v>1.3815</v>
      </c>
      <c r="N172" s="109">
        <f t="shared" si="39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77</v>
      </c>
      <c r="D173" s="10">
        <v>2003</v>
      </c>
      <c r="E173" s="10">
        <v>1.05</v>
      </c>
      <c r="F173" s="109">
        <v>1.0416666666666667</v>
      </c>
      <c r="G173" s="109">
        <v>-0.60899999999999999</v>
      </c>
      <c r="H173" s="109">
        <v>-0.44999999999999996</v>
      </c>
      <c r="I173" s="109">
        <f t="shared" si="38"/>
        <v>-0.52949999999999997</v>
      </c>
      <c r="J173" s="109">
        <v>1.1880000000000002</v>
      </c>
      <c r="K173" s="109">
        <v>1.0839999999999999</v>
      </c>
      <c r="L173" s="109">
        <v>1.607</v>
      </c>
      <c r="M173" s="109">
        <v>1.456</v>
      </c>
      <c r="N173" s="109">
        <f t="shared" si="39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76</v>
      </c>
      <c r="D174" s="10">
        <v>2004</v>
      </c>
      <c r="E174" s="10">
        <v>1.05</v>
      </c>
      <c r="F174" s="109">
        <v>1.0416666666666667</v>
      </c>
      <c r="G174" s="109">
        <v>-0.68887500000000002</v>
      </c>
      <c r="H174" s="109">
        <v>-0.52499999999999991</v>
      </c>
      <c r="I174" s="109">
        <f t="shared" si="38"/>
        <v>-0.60693749999999991</v>
      </c>
      <c r="J174" s="109">
        <v>1.2490000000000001</v>
      </c>
      <c r="K174" s="109">
        <v>1.1395</v>
      </c>
      <c r="L174" s="109">
        <v>1.6884999999999999</v>
      </c>
      <c r="M174" s="109">
        <v>1.5305</v>
      </c>
      <c r="N174" s="109">
        <f t="shared" si="39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75</v>
      </c>
      <c r="D175" s="10">
        <v>2005</v>
      </c>
      <c r="E175" s="10">
        <v>1.05</v>
      </c>
      <c r="F175" s="109">
        <v>1.0416666666666667</v>
      </c>
      <c r="G175" s="109">
        <v>-0.77</v>
      </c>
      <c r="H175" s="109">
        <v>-0.60499999999999998</v>
      </c>
      <c r="I175" s="109">
        <f t="shared" si="38"/>
        <v>-0.6875</v>
      </c>
      <c r="J175" s="109">
        <v>1.31</v>
      </c>
      <c r="K175" s="109">
        <v>1.1950000000000001</v>
      </c>
      <c r="L175" s="109">
        <v>1.77</v>
      </c>
      <c r="M175" s="109">
        <v>1.605</v>
      </c>
      <c r="N175" s="109">
        <f t="shared" si="39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74</v>
      </c>
      <c r="D176" s="10">
        <v>2006</v>
      </c>
      <c r="E176" s="10">
        <v>1.05</v>
      </c>
      <c r="F176" s="109">
        <v>1.0416666666666667</v>
      </c>
      <c r="G176" s="109">
        <v>-0.84087500000000004</v>
      </c>
      <c r="H176" s="109">
        <v>-0.63575000000000004</v>
      </c>
      <c r="I176" s="109">
        <f t="shared" si="38"/>
        <v>-0.73831250000000004</v>
      </c>
      <c r="J176" s="109">
        <v>1.363</v>
      </c>
      <c r="K176" s="109">
        <v>1.218</v>
      </c>
      <c r="L176" s="109">
        <v>1.841</v>
      </c>
      <c r="M176" s="109">
        <v>1.6359999999999999</v>
      </c>
      <c r="N176" s="109">
        <f t="shared" si="39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73</v>
      </c>
      <c r="D177" s="10">
        <v>2007</v>
      </c>
      <c r="E177" s="10">
        <v>1.05</v>
      </c>
      <c r="F177" s="109">
        <v>1.0416666666666667</v>
      </c>
      <c r="G177" s="109">
        <v>-0.91175000000000006</v>
      </c>
      <c r="H177" s="109">
        <v>-0.66649999999999998</v>
      </c>
      <c r="I177" s="109">
        <f t="shared" si="38"/>
        <v>-0.78912500000000008</v>
      </c>
      <c r="J177" s="109">
        <v>1.4159999999999999</v>
      </c>
      <c r="K177" s="109">
        <v>1.2410000000000001</v>
      </c>
      <c r="L177" s="109">
        <v>1.9119999999999999</v>
      </c>
      <c r="M177" s="109">
        <v>1.667</v>
      </c>
      <c r="N177" s="109">
        <f t="shared" si="39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72</v>
      </c>
      <c r="D178" s="5">
        <v>2008</v>
      </c>
      <c r="E178" s="5">
        <v>1.05</v>
      </c>
      <c r="F178" s="110">
        <v>1.0416666666666667</v>
      </c>
      <c r="G178" s="110">
        <v>-0.98262499999999997</v>
      </c>
      <c r="H178" s="110">
        <v>-0.69724999999999993</v>
      </c>
      <c r="I178" s="109">
        <f t="shared" si="38"/>
        <v>-0.8399375</v>
      </c>
      <c r="J178" s="110">
        <v>1.4689999999999999</v>
      </c>
      <c r="K178" s="110">
        <v>1.264</v>
      </c>
      <c r="L178" s="110">
        <v>1.9830000000000001</v>
      </c>
      <c r="M178" s="110">
        <v>1.698</v>
      </c>
      <c r="N178" s="109">
        <f t="shared" si="39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71</v>
      </c>
      <c r="D179" s="5">
        <v>2009</v>
      </c>
      <c r="E179" s="5">
        <v>1.05</v>
      </c>
      <c r="F179" s="110">
        <v>1.0416666666666667</v>
      </c>
      <c r="G179" s="110">
        <v>-1.0535000000000001</v>
      </c>
      <c r="H179" s="110">
        <v>-0.72799999999999998</v>
      </c>
      <c r="I179" s="109">
        <f t="shared" si="38"/>
        <v>-0.89075000000000004</v>
      </c>
      <c r="J179" s="110">
        <v>1.522</v>
      </c>
      <c r="K179" s="110">
        <v>1.2870000000000001</v>
      </c>
      <c r="L179" s="110">
        <v>2.0539999999999998</v>
      </c>
      <c r="M179" s="110">
        <v>1.7290000000000001</v>
      </c>
      <c r="N179" s="109">
        <f t="shared" si="39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70</v>
      </c>
      <c r="D180" s="5">
        <v>2010</v>
      </c>
      <c r="E180" s="5">
        <v>1.05</v>
      </c>
      <c r="F180" s="110">
        <v>1.0416666666666667</v>
      </c>
      <c r="G180" s="110">
        <v>-1.1243750000000001</v>
      </c>
      <c r="H180" s="110">
        <v>-0.75875000000000004</v>
      </c>
      <c r="I180" s="109">
        <f t="shared" si="38"/>
        <v>-0.94156250000000008</v>
      </c>
      <c r="J180" s="110">
        <v>1.575</v>
      </c>
      <c r="K180" s="110">
        <v>1.31</v>
      </c>
      <c r="L180" s="110">
        <v>2.125</v>
      </c>
      <c r="M180" s="110">
        <v>1.76</v>
      </c>
      <c r="N180" s="109">
        <f t="shared" si="39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69</v>
      </c>
      <c r="D181" s="5">
        <v>2011</v>
      </c>
      <c r="E181" s="5">
        <v>1.05</v>
      </c>
      <c r="F181" s="110">
        <v>1.0416666666666667</v>
      </c>
      <c r="G181" s="110">
        <v>-1.1952499999999999</v>
      </c>
      <c r="H181" s="110">
        <v>-0.78949999999999998</v>
      </c>
      <c r="I181" s="109">
        <f t="shared" si="38"/>
        <v>-0.99237500000000001</v>
      </c>
      <c r="J181" s="110">
        <v>1.6279999999999999</v>
      </c>
      <c r="K181" s="110">
        <v>1.3330000000000002</v>
      </c>
      <c r="L181" s="110">
        <v>2.1959999999999997</v>
      </c>
      <c r="M181" s="110">
        <v>1.7909999999999999</v>
      </c>
      <c r="N181" s="109">
        <f t="shared" si="39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67</v>
      </c>
      <c r="D182" s="5">
        <v>2012</v>
      </c>
      <c r="E182" s="5">
        <v>1.05</v>
      </c>
      <c r="F182" s="110">
        <v>1.0416666666666667</v>
      </c>
      <c r="G182" s="110">
        <v>-1.2661249999999999</v>
      </c>
      <c r="H182" s="110">
        <v>-0.82024999999999992</v>
      </c>
      <c r="I182" s="109">
        <f t="shared" si="38"/>
        <v>-1.0431874999999999</v>
      </c>
      <c r="J182" s="110">
        <v>1.6809999999999998</v>
      </c>
      <c r="K182" s="110">
        <v>1.3560000000000001</v>
      </c>
      <c r="L182" s="110">
        <v>2.2669999999999999</v>
      </c>
      <c r="M182" s="110">
        <v>1.8220000000000001</v>
      </c>
      <c r="N182" s="109">
        <f t="shared" si="39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65</v>
      </c>
      <c r="D183" s="5">
        <v>2013</v>
      </c>
      <c r="E183" s="5">
        <v>1.05</v>
      </c>
      <c r="F183" s="110">
        <v>1.0416666666666667</v>
      </c>
      <c r="G183" s="110">
        <v>-1.337</v>
      </c>
      <c r="H183" s="110">
        <v>-0.85099999999999998</v>
      </c>
      <c r="I183" s="109">
        <f t="shared" si="38"/>
        <v>-1.0939999999999999</v>
      </c>
      <c r="J183" s="110">
        <v>1.734</v>
      </c>
      <c r="K183" s="110">
        <v>1.379</v>
      </c>
      <c r="L183" s="110">
        <v>2.3380000000000001</v>
      </c>
      <c r="M183" s="110">
        <v>1.853</v>
      </c>
      <c r="N183" s="109">
        <f t="shared" si="39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F5:F7"/>
    <mergeCell ref="G5:J5"/>
    <mergeCell ref="K5:N5"/>
    <mergeCell ref="G6:H6"/>
    <mergeCell ref="I6:J6"/>
    <mergeCell ref="K6:L6"/>
    <mergeCell ref="M6:N6"/>
    <mergeCell ref="K63:P63"/>
    <mergeCell ref="Q63:R63"/>
    <mergeCell ref="C64:D64"/>
    <mergeCell ref="E64:F64"/>
    <mergeCell ref="G64:H64"/>
    <mergeCell ref="K64:L64"/>
    <mergeCell ref="M64:N64"/>
    <mergeCell ref="O64:P64"/>
    <mergeCell ref="B93:B95"/>
    <mergeCell ref="C94:F94"/>
    <mergeCell ref="G94:J94"/>
    <mergeCell ref="C63:H63"/>
    <mergeCell ref="I63:J63"/>
  </mergeCells>
  <phoneticPr fontId="14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ボイラ排出量算定（追加)</vt:lpstr>
      <vt:lpstr>空調算定(導入前）</vt:lpstr>
      <vt:lpstr>空調算定（導入後）</vt:lpstr>
      <vt:lpstr>Sheet1</vt:lpstr>
      <vt:lpstr>'空調算定（導入後）'!inv補正COP</vt:lpstr>
      <vt:lpstr>inv補正COP</vt:lpstr>
      <vt:lpstr>'ボイラ排出量算定（追加)'!Print_Area</vt:lpstr>
      <vt:lpstr>'空調算定（導入後）'!Print_Area</vt:lpstr>
      <vt:lpstr>'空調算定(導入前）'!Print_Area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2021-04-19T04:37:29Z</cp:lastPrinted>
  <dcterms:created xsi:type="dcterms:W3CDTF">2013-01-29T04:15:39Z</dcterms:created>
  <dcterms:modified xsi:type="dcterms:W3CDTF">2021-05-11T07:21:50Z</dcterms:modified>
</cp:coreProperties>
</file>